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60" windowWidth="15600" windowHeight="11040"/>
  </bookViews>
  <sheets>
    <sheet name="Equipe" sheetId="3" r:id="rId1"/>
    <sheet name="Minimas" sheetId="4" state="hidden" r:id="rId2"/>
  </sheets>
  <definedNames>
    <definedName name="_xlnm.Print_Area" localSheetId="0">Equipe!$A$1:$X$34</definedName>
  </definedNames>
  <calcPr calcId="125725"/>
</workbook>
</file>

<file path=xl/calcChain.xml><?xml version="1.0" encoding="utf-8"?>
<calcChain xmlns="http://schemas.openxmlformats.org/spreadsheetml/2006/main">
  <c r="O19" i="3"/>
  <c r="V23" l="1"/>
  <c r="V24"/>
  <c r="Z24" s="1"/>
  <c r="AA24"/>
  <c r="AB24"/>
  <c r="AC24"/>
  <c r="AE24"/>
  <c r="AF24"/>
  <c r="AG24"/>
  <c r="AI24"/>
  <c r="AK24"/>
  <c r="AL24"/>
  <c r="V22"/>
  <c r="AH24" l="1"/>
  <c r="AD24"/>
  <c r="O24"/>
  <c r="W24"/>
  <c r="T24"/>
  <c r="S24"/>
  <c r="S23"/>
  <c r="O23"/>
  <c r="AL22"/>
  <c r="S22"/>
  <c r="O22"/>
  <c r="T23" l="1"/>
  <c r="AC23" s="1"/>
  <c r="W23"/>
  <c r="T22"/>
  <c r="U24"/>
  <c r="W22" l="1"/>
  <c r="AA22"/>
  <c r="AE22"/>
  <c r="AB22"/>
  <c r="AF22"/>
  <c r="AC22"/>
  <c r="AG22"/>
  <c r="Z22"/>
  <c r="AD22"/>
  <c r="AH22"/>
  <c r="AI22" s="1"/>
  <c r="AK22" s="1"/>
  <c r="U22" s="1"/>
  <c r="Z23"/>
  <c r="AA23"/>
  <c r="AB23"/>
  <c r="AE23"/>
  <c r="AG23"/>
  <c r="AF23"/>
  <c r="AD23"/>
  <c r="AH23"/>
  <c r="AL23" s="1"/>
  <c r="O20"/>
  <c r="AI23" l="1"/>
  <c r="AK23" s="1"/>
  <c r="U23" s="1"/>
  <c r="S12"/>
  <c r="S18" l="1"/>
  <c r="S19"/>
  <c r="S20"/>
  <c r="S17"/>
  <c r="S13"/>
  <c r="S14"/>
  <c r="S15"/>
  <c r="O18"/>
  <c r="O17"/>
  <c r="O13"/>
  <c r="O14"/>
  <c r="O15"/>
  <c r="O12"/>
  <c r="T12" s="1"/>
  <c r="O8"/>
  <c r="O9"/>
  <c r="O10"/>
  <c r="S8"/>
  <c r="S9"/>
  <c r="S10"/>
  <c r="S7"/>
  <c r="O7"/>
  <c r="V18"/>
  <c r="V19"/>
  <c r="V20"/>
  <c r="V17"/>
  <c r="V13"/>
  <c r="V14"/>
  <c r="V15"/>
  <c r="V12"/>
  <c r="V8"/>
  <c r="V9"/>
  <c r="V10"/>
  <c r="V7"/>
  <c r="T20" l="1"/>
  <c r="W20" s="1"/>
  <c r="T19"/>
  <c r="W19" s="1"/>
  <c r="T18"/>
  <c r="W18" s="1"/>
  <c r="T17"/>
  <c r="W17" s="1"/>
  <c r="T13"/>
  <c r="W13" s="1"/>
  <c r="T15"/>
  <c r="W15" s="1"/>
  <c r="T14"/>
  <c r="W14" s="1"/>
  <c r="T10"/>
  <c r="W10" s="1"/>
  <c r="T9"/>
  <c r="W9" s="1"/>
  <c r="T8"/>
  <c r="W8" s="1"/>
  <c r="T7"/>
  <c r="W7" s="1"/>
  <c r="W12"/>
  <c r="Z19"/>
  <c r="AH19"/>
  <c r="AA19"/>
  <c r="AE19"/>
  <c r="AB19"/>
  <c r="AF19"/>
  <c r="AC19"/>
  <c r="AH13" l="1"/>
  <c r="AG15"/>
  <c r="AH15"/>
  <c r="AF15"/>
  <c r="AE15"/>
  <c r="AE13"/>
  <c r="Z13"/>
  <c r="AA13"/>
  <c r="AD13"/>
  <c r="AG13"/>
  <c r="AB13"/>
  <c r="AC13"/>
  <c r="AG14"/>
  <c r="AF13"/>
  <c r="AI13" s="1"/>
  <c r="AK13" s="1"/>
  <c r="AC20"/>
  <c r="AA20"/>
  <c r="AH20"/>
  <c r="AB20"/>
  <c r="AF20"/>
  <c r="AD20"/>
  <c r="AE20"/>
  <c r="Z20"/>
  <c r="AG20"/>
  <c r="AL20" s="1"/>
  <c r="AF9"/>
  <c r="Z9"/>
  <c r="AA10"/>
  <c r="AD14"/>
  <c r="Z15"/>
  <c r="AH10"/>
  <c r="AC10"/>
  <c r="AD10"/>
  <c r="AF10"/>
  <c r="Z10"/>
  <c r="AB10"/>
  <c r="AG10"/>
  <c r="AE10"/>
  <c r="AC18"/>
  <c r="Z17"/>
  <c r="AH18"/>
  <c r="AF17"/>
  <c r="AE17"/>
  <c r="AB17"/>
  <c r="AE18"/>
  <c r="AD17"/>
  <c r="AD18"/>
  <c r="AA18"/>
  <c r="AG19"/>
  <c r="AD19"/>
  <c r="Z18"/>
  <c r="AF18"/>
  <c r="AG18"/>
  <c r="AB18"/>
  <c r="AA17"/>
  <c r="AG17"/>
  <c r="AH17"/>
  <c r="AC17"/>
  <c r="AF14"/>
  <c r="AH14"/>
  <c r="AE14"/>
  <c r="I14"/>
  <c r="AB15"/>
  <c r="AD15"/>
  <c r="AC15"/>
  <c r="AA15"/>
  <c r="Z14"/>
  <c r="AB14"/>
  <c r="AC14"/>
  <c r="AA14"/>
  <c r="AE9"/>
  <c r="AA9"/>
  <c r="AD9"/>
  <c r="AB9"/>
  <c r="AC9"/>
  <c r="AH9"/>
  <c r="AG9"/>
  <c r="AH8"/>
  <c r="AC8"/>
  <c r="AF8"/>
  <c r="AE8"/>
  <c r="Z8"/>
  <c r="AA8"/>
  <c r="AG8"/>
  <c r="AB8"/>
  <c r="AD8"/>
  <c r="AC7"/>
  <c r="AH7"/>
  <c r="AD7"/>
  <c r="AF12"/>
  <c r="AH12"/>
  <c r="AC12"/>
  <c r="AB12"/>
  <c r="AD12"/>
  <c r="AE12"/>
  <c r="Z12"/>
  <c r="AA12"/>
  <c r="AG12"/>
  <c r="Z7"/>
  <c r="AG7"/>
  <c r="AA7"/>
  <c r="AF7"/>
  <c r="AB7"/>
  <c r="AE7"/>
  <c r="AL13" l="1"/>
  <c r="U13" s="1"/>
  <c r="AL19"/>
  <c r="AI20"/>
  <c r="AK20" s="1"/>
  <c r="U20" s="1"/>
  <c r="AI19"/>
  <c r="AK19" s="1"/>
  <c r="U19" s="1"/>
  <c r="AI10"/>
  <c r="AK10" s="1"/>
  <c r="AL10"/>
  <c r="AI18"/>
  <c r="AK18" s="1"/>
  <c r="AL18"/>
  <c r="AL17"/>
  <c r="AI17"/>
  <c r="AK17" s="1"/>
  <c r="AL15"/>
  <c r="AL14"/>
  <c r="AI14"/>
  <c r="AK14" s="1"/>
  <c r="AL12"/>
  <c r="AI15"/>
  <c r="AK15" s="1"/>
  <c r="U15" s="1"/>
  <c r="AL9"/>
  <c r="AI9"/>
  <c r="AK9" s="1"/>
  <c r="AL8"/>
  <c r="AI8"/>
  <c r="AK8" s="1"/>
  <c r="AL7"/>
  <c r="AI12"/>
  <c r="AK12" s="1"/>
  <c r="U12" s="1"/>
  <c r="AI7"/>
  <c r="AK7" s="1"/>
  <c r="U10" l="1"/>
  <c r="U7"/>
  <c r="U18"/>
  <c r="U17"/>
  <c r="U14"/>
  <c r="U8"/>
  <c r="U9"/>
  <c r="I9" l="1"/>
  <c r="Y8" s="1"/>
  <c r="I19"/>
  <c r="Y10" s="1"/>
  <c r="Y9"/>
  <c r="D20" l="1"/>
  <c r="D17"/>
  <c r="D18"/>
  <c r="D19"/>
  <c r="D14"/>
  <c r="D15"/>
  <c r="D10"/>
  <c r="D9"/>
  <c r="D12"/>
  <c r="D13"/>
  <c r="D7"/>
  <c r="D8"/>
</calcChain>
</file>

<file path=xl/sharedStrings.xml><?xml version="1.0" encoding="utf-8"?>
<sst xmlns="http://schemas.openxmlformats.org/spreadsheetml/2006/main" count="368" uniqueCount="157">
  <si>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</si>
  <si>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</si>
  <si>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</si>
  <si>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</si>
  <si>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</si>
  <si>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</si>
  <si>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</si>
  <si>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</si>
  <si>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</si>
  <si>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</si>
  <si>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</si>
  <si>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</si>
  <si>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</si>
  <si>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</si>
  <si>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</si>
  <si>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</si>
  <si>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</si>
  <si>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</si>
  <si>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</si>
  <si>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</si>
  <si>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</si>
  <si>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</si>
  <si>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</si>
  <si>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</si>
  <si>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</si>
  <si>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/>
  </si>
  <si>
    <t>Genre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</si>
  <si>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</si>
  <si>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</si>
  <si>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</si>
  <si>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</si>
  <si>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</si>
  <si>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</si>
  <si>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</si>
  <si>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</si>
  <si>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</si>
  <si>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</si>
  <si>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</si>
  <si>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</si>
  <si>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</si>
  <si>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</si>
  <si>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</si>
  <si>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</si>
  <si>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</si>
  <si>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</si>
  <si>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</si>
  <si>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</si>
  <si>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</si>
  <si>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</si>
  <si>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</si>
  <si>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</si>
  <si>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</si>
  <si>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FC2 75</t>
  </si>
  <si>
    <t>FC2 +75</t>
  </si>
  <si>
    <t>FJ 48</t>
  </si>
  <si>
    <t>FJ 53</t>
  </si>
  <si>
    <t>FJ 58</t>
  </si>
  <si>
    <t>FJ 63</t>
  </si>
  <si>
    <t>FJ 69</t>
  </si>
  <si>
    <t>FJ 75</t>
  </si>
  <si>
    <t>FJ 90</t>
  </si>
  <si>
    <t>FJ +90</t>
  </si>
  <si>
    <t>FS 48</t>
  </si>
  <si>
    <t>FS 53</t>
  </si>
  <si>
    <t>FS 58</t>
  </si>
  <si>
    <t>FS 63</t>
  </si>
  <si>
    <t>FS 69</t>
  </si>
  <si>
    <t>FS 75</t>
  </si>
  <si>
    <t>FS 90</t>
  </si>
  <si>
    <t>FS +90</t>
  </si>
  <si>
    <t>C1 45</t>
  </si>
  <si>
    <t>C1 50</t>
  </si>
  <si>
    <t>C1 56</t>
  </si>
  <si>
    <t>C1 62</t>
  </si>
  <si>
    <t>C1 69</t>
  </si>
  <si>
    <t>C1 77</t>
  </si>
  <si>
    <t>C1 85</t>
  </si>
  <si>
    <t>C1 +85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</si>
  <si>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</si>
  <si>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</si>
  <si>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</si>
  <si>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</si>
  <si>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</si>
  <si>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</si>
  <si>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</si>
  <si>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</si>
  <si>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</si>
  <si>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</si>
  <si>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</si>
  <si>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</si>
  <si>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</si>
  <si>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</si>
  <si>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</si>
  <si>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</si>
  <si>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</si>
  <si>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</si>
  <si>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</si>
  <si>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</si>
  <si>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</si>
  <si>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</si>
  <si>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</si>
  <si>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</si>
  <si>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</si>
  <si>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</si>
  <si>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</si>
  <si>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</si>
  <si>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</si>
  <si>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</si>
  <si>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</si>
  <si>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</si>
  <si>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</si>
  <si>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</si>
  <si>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</si>
  <si>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</si>
  <si>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</si>
  <si>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</si>
  <si>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</si>
  <si>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</si>
  <si>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>F</t>
  </si>
  <si>
    <t>CHAMPIONNAT REGIONAL DES CLUBS - LIGUE PACA SECTEUR C</t>
  </si>
  <si>
    <t>PACA</t>
  </si>
  <si>
    <t>REG
FEMME</t>
  </si>
  <si>
    <t>NOVES</t>
  </si>
  <si>
    <t>ISTRES SPORTS</t>
  </si>
  <si>
    <t>TEAM HALTERO LIFT 84</t>
  </si>
  <si>
    <t>EEAR MONTEUX</t>
  </si>
  <si>
    <t>CONDE</t>
  </si>
  <si>
    <t>FABIENNE</t>
  </si>
  <si>
    <t>DE BARROS</t>
  </si>
  <si>
    <t>CLARA</t>
  </si>
  <si>
    <t>CASTELLANI</t>
  </si>
  <si>
    <t>LAURA</t>
  </si>
  <si>
    <t>FERRACCI</t>
  </si>
  <si>
    <t>MAEVA</t>
  </si>
  <si>
    <t>THOU</t>
  </si>
  <si>
    <t>ADELINE</t>
  </si>
  <si>
    <t>MOUIREN</t>
  </si>
  <si>
    <t>PRESCILLIA</t>
  </si>
  <si>
    <t>PONOMAREVA</t>
  </si>
  <si>
    <t>ANNA</t>
  </si>
  <si>
    <t>LYCETT</t>
  </si>
  <si>
    <t>JOHANNA</t>
  </si>
  <si>
    <t>SEVGINAR</t>
  </si>
  <si>
    <t>BUL</t>
  </si>
  <si>
    <t>SIMEONOV TOPALOVA</t>
  </si>
  <si>
    <t>BENOIT</t>
  </si>
  <si>
    <t>ARBONA</t>
  </si>
  <si>
    <t>BENOITE</t>
  </si>
  <si>
    <t>MONNIN</t>
  </si>
  <si>
    <t>ANNE</t>
  </si>
  <si>
    <t>RUS</t>
  </si>
  <si>
    <t xml:space="preserve"> -</t>
  </si>
  <si>
    <t>GOURRIER MARTINE</t>
  </si>
  <si>
    <t>TEYSSIER DENIS</t>
  </si>
  <si>
    <t>CLAUX ANTHONY</t>
  </si>
  <si>
    <t>FABIO DEBARROS</t>
  </si>
  <si>
    <t>REYNAUD LIONEL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</si>
</sst>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0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b/>
      <sz val="14"/>
      <color rgb="FFFF00FF"/>
      <name val="Arial"/>
      <family val="2"/>
    </font>
    <font>
      <b/>
      <sz val="18"/>
      <color theme="0"/>
      <name val="Arial"/>
      <family val="2"/>
    </font>
    <font>
      <b/>
      <sz val="22"/>
      <color rgb="FFFF00FF"/>
      <name val="Arial"/>
      <family val="2"/>
    </font>
    <font>
      <b/>
      <sz val="28"/>
      <color rgb="FFFF00FF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sz val="1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/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hair">
        <color rgb="FF00B0F0"/>
      </right>
      <top style="dashed">
        <color rgb="FF00B0F0"/>
      </top>
      <bottom/>
      <diagonal/>
    </border>
    <border>
      <left style="hair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/>
      <diagonal/>
    </border>
    <border>
      <left style="thin">
        <color rgb="FF00B0F0"/>
      </left>
      <right/>
      <top style="dashed">
        <color rgb="FF00B0F0"/>
      </top>
      <bottom/>
      <diagonal/>
    </border>
    <border>
      <left/>
      <right style="thin">
        <color rgb="FF00B0F0"/>
      </right>
      <top style="dashed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 applyProtection="1">
      <alignment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10" fillId="2" borderId="15" xfId="0" applyNumberFormat="1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164" fontId="4" fillId="2" borderId="19" xfId="0" applyNumberFormat="1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5" xfId="0" applyNumberFormat="1" applyFont="1" applyFill="1" applyBorder="1" applyAlignment="1" applyProtection="1">
      <alignment horizontal="center" vertical="center"/>
    </xf>
    <xf numFmtId="164" fontId="4" fillId="2" borderId="26" xfId="0" applyNumberFormat="1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1" fontId="6" fillId="2" borderId="29" xfId="0" applyNumberFormat="1" applyFont="1" applyFill="1" applyBorder="1" applyAlignment="1" applyProtection="1">
      <alignment horizontal="center" vertical="center"/>
      <protection locked="0"/>
    </xf>
    <xf numFmtId="1" fontId="10" fillId="2" borderId="30" xfId="0" applyNumberFormat="1" applyFont="1" applyFill="1" applyBorder="1" applyAlignment="1" applyProtection="1">
      <alignment horizontal="center" vertical="center"/>
    </xf>
    <xf numFmtId="1" fontId="13" fillId="2" borderId="24" xfId="0" applyNumberFormat="1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7" fillId="2" borderId="53" xfId="0" applyFont="1" applyFill="1" applyBorder="1" applyAlignment="1">
      <alignment vertical="center"/>
    </xf>
    <xf numFmtId="2" fontId="14" fillId="2" borderId="16" xfId="0" applyNumberFormat="1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vertical="center"/>
      <protection locked="0" hidden="1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6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7" fillId="11" borderId="0" xfId="0" applyFont="1" applyFill="1"/>
    <xf numFmtId="0" fontId="27" fillId="11" borderId="0" xfId="0" applyFont="1" applyFill="1" applyBorder="1"/>
    <xf numFmtId="0" fontId="26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2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3" fillId="2" borderId="38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1" fontId="4" fillId="2" borderId="25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1" fontId="10" fillId="3" borderId="30" xfId="0" applyNumberFormat="1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1" fontId="6" fillId="2" borderId="59" xfId="0" applyNumberFormat="1" applyFont="1" applyFill="1" applyBorder="1" applyAlignment="1" applyProtection="1">
      <alignment horizontal="center" vertical="center"/>
      <protection locked="0"/>
    </xf>
    <xf numFmtId="1" fontId="6" fillId="2" borderId="60" xfId="0" applyNumberFormat="1" applyFont="1" applyFill="1" applyBorder="1" applyAlignment="1" applyProtection="1">
      <alignment horizontal="center" vertical="center"/>
      <protection locked="0"/>
    </xf>
    <xf numFmtId="1" fontId="13" fillId="2" borderId="58" xfId="0" applyNumberFormat="1" applyFont="1" applyFill="1" applyBorder="1" applyAlignment="1" applyProtection="1">
      <alignment horizontal="center" vertical="center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164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6" fillId="2" borderId="61" xfId="0" applyNumberFormat="1" applyFont="1" applyFill="1" applyBorder="1" applyAlignment="1" applyProtection="1">
      <alignment horizontal="center" vertical="center"/>
      <protection locked="0"/>
    </xf>
    <xf numFmtId="1" fontId="6" fillId="2" borderId="62" xfId="0" applyNumberFormat="1" applyFont="1" applyFill="1" applyBorder="1" applyAlignment="1" applyProtection="1">
      <alignment horizontal="center" vertical="center"/>
      <protection locked="0"/>
    </xf>
    <xf numFmtId="2" fontId="28" fillId="2" borderId="28" xfId="0" applyNumberFormat="1" applyFont="1" applyFill="1" applyBorder="1" applyAlignment="1" applyProtection="1">
      <alignment horizontal="right" vertical="center"/>
      <protection locked="0"/>
    </xf>
    <xf numFmtId="2" fontId="28" fillId="2" borderId="14" xfId="0" applyNumberFormat="1" applyFont="1" applyFill="1" applyBorder="1" applyAlignment="1" applyProtection="1">
      <alignment horizontal="right" vertical="center"/>
      <protection locked="0"/>
    </xf>
    <xf numFmtId="2" fontId="28" fillId="2" borderId="21" xfId="0" applyNumberFormat="1" applyFont="1" applyFill="1" applyBorder="1" applyAlignment="1" applyProtection="1">
      <alignment horizontal="right" vertical="center"/>
      <protection locked="0"/>
    </xf>
    <xf numFmtId="2" fontId="28" fillId="2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 hidden="1"/>
    </xf>
    <xf numFmtId="1" fontId="3" fillId="3" borderId="0" xfId="0" applyNumberFormat="1" applyFont="1" applyFill="1" applyAlignment="1" applyProtection="1">
      <alignment horizontal="center" vertical="center"/>
      <protection locked="0" hidden="1"/>
    </xf>
    <xf numFmtId="2" fontId="3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 applyProtection="1">
      <alignment horizontal="center" vertical="center"/>
      <protection locked="0"/>
    </xf>
    <xf numFmtId="1" fontId="29" fillId="13" borderId="29" xfId="0" applyNumberFormat="1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43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  <xf numFmtId="0" fontId="2" fillId="3" borderId="40" xfId="0" applyFont="1" applyFill="1" applyBorder="1" applyAlignment="1">
      <alignment horizontal="center" vertical="center"/>
    </xf>
    <xf numFmtId="0" fontId="3" fillId="2" borderId="48" xfId="0" applyFont="1" applyFill="1" applyBorder="1" applyAlignment="1" applyProtection="1">
      <alignment horizontal="center" vertical="center" textRotation="90"/>
    </xf>
    <xf numFmtId="0" fontId="3" fillId="2" borderId="49" xfId="0" applyFont="1" applyFill="1" applyBorder="1" applyAlignment="1" applyProtection="1">
      <alignment horizontal="center" vertical="center" textRotation="90"/>
    </xf>
    <xf numFmtId="0" fontId="3" fillId="2" borderId="50" xfId="0" applyFont="1" applyFill="1" applyBorder="1" applyAlignment="1" applyProtection="1">
      <alignment horizontal="center" vertical="center" textRotation="90"/>
    </xf>
    <xf numFmtId="2" fontId="24" fillId="12" borderId="55" xfId="0" applyNumberFormat="1" applyFont="1" applyFill="1" applyBorder="1" applyAlignment="1" applyProtection="1">
      <alignment horizontal="center" vertical="center"/>
      <protection locked="0"/>
    </xf>
    <xf numFmtId="0" fontId="24" fillId="12" borderId="56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 wrapText="1"/>
      <protection locked="0"/>
    </xf>
    <xf numFmtId="0" fontId="1" fillId="2" borderId="51" xfId="0" applyFont="1" applyFill="1" applyBorder="1" applyAlignment="1" applyProtection="1">
      <alignment horizontal="center" vertical="center" wrapText="1"/>
      <protection locked="0"/>
    </xf>
    <xf numFmtId="1" fontId="25" fillId="2" borderId="52" xfId="0" applyNumberFormat="1" applyFont="1" applyFill="1" applyBorder="1" applyAlignment="1" applyProtection="1">
      <alignment horizontal="center" vertical="center"/>
      <protection locked="0"/>
    </xf>
    <xf numFmtId="1" fontId="25" fillId="2" borderId="54" xfId="0" applyNumberFormat="1" applyFont="1" applyFill="1" applyBorder="1" applyAlignment="1" applyProtection="1">
      <alignment horizontal="center" vertical="center"/>
      <protection locked="0"/>
    </xf>
    <xf numFmtId="1" fontId="25" fillId="2" borderId="51" xfId="0" applyNumberFormat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67" fontId="22" fillId="2" borderId="9" xfId="0" applyNumberFormat="1" applyFont="1" applyFill="1" applyBorder="1" applyAlignment="1">
      <alignment horizontal="center" vertical="center"/>
    </xf>
    <xf numFmtId="167" fontId="22" fillId="2" borderId="10" xfId="0" applyNumberFormat="1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47624</xdr:rowOff>
    </xdr:from>
    <xdr:to>
      <xdr:col>2</xdr:col>
      <xdr:colOff>482610</xdr:colOff>
      <xdr:row>3</xdr:row>
      <xdr:rowOff>19050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3349" y="47624"/>
          <a:ext cx="844561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V36"/>
  <sheetViews>
    <sheetView tabSelected="1" topLeftCell="G16" zoomScale="75" zoomScaleNormal="75" zoomScaleSheetLayoutView="86" workbookViewId="0">
      <selection activeCell="M35" sqref="M35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9.7109375" style="1" customWidth="1"/>
    <col min="4" max="4" width="6.7109375" style="1" customWidth="1"/>
    <col min="5" max="5" width="6.42578125" style="1" customWidth="1"/>
    <col min="6" max="7" width="20.7109375" style="1" customWidth="1"/>
    <col min="8" max="8" width="5.7109375" style="1" customWidth="1"/>
    <col min="9" max="9" width="25.7109375" style="1" customWidth="1"/>
    <col min="10" max="10" width="5.570312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0.28515625" style="4" customWidth="1"/>
    <col min="22" max="22" width="9.85546875" style="1" bestFit="1" customWidth="1"/>
    <col min="23" max="23" width="8.7109375" style="1" customWidth="1"/>
    <col min="24" max="24" width="1.7109375" style="1" customWidth="1"/>
    <col min="25" max="38" width="11.42578125" style="160" hidden="1" customWidth="1"/>
    <col min="39" max="78" width="11.42578125" style="136"/>
    <col min="79" max="16384" width="11.42578125" style="1"/>
  </cols>
  <sheetData>
    <row r="1" spans="1:126" ht="5.0999999999999996" customHeight="1" thickBot="1"/>
    <row r="2" spans="1:126" s="12" customFormat="1" ht="30" customHeight="1">
      <c r="B2" s="13"/>
      <c r="C2" s="132"/>
      <c r="D2" s="200" t="s">
        <v>119</v>
      </c>
      <c r="E2" s="201"/>
      <c r="F2" s="201"/>
      <c r="G2" s="201"/>
      <c r="H2" s="201"/>
      <c r="I2" s="201"/>
      <c r="J2" s="201"/>
      <c r="K2" s="201"/>
      <c r="L2" s="82"/>
      <c r="M2" s="201" t="s">
        <v>121</v>
      </c>
      <c r="N2" s="201"/>
      <c r="O2" s="89"/>
      <c r="P2" s="196" t="s">
        <v>6</v>
      </c>
      <c r="Q2" s="196"/>
      <c r="R2" s="196"/>
      <c r="S2" s="196"/>
      <c r="T2" s="196"/>
      <c r="U2" s="81"/>
      <c r="V2" s="196" t="s">
        <v>15</v>
      </c>
      <c r="W2" s="197"/>
      <c r="X2" s="13"/>
      <c r="Y2" s="161"/>
      <c r="Z2" s="161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</row>
    <row r="3" spans="1:126" s="12" customFormat="1" ht="30" customHeight="1" thickBot="1">
      <c r="B3" s="13"/>
      <c r="C3" s="132"/>
      <c r="D3" s="202"/>
      <c r="E3" s="203"/>
      <c r="F3" s="203"/>
      <c r="G3" s="203"/>
      <c r="H3" s="203"/>
      <c r="I3" s="203"/>
      <c r="J3" s="203"/>
      <c r="K3" s="203"/>
      <c r="L3" s="84"/>
      <c r="M3" s="203"/>
      <c r="N3" s="203"/>
      <c r="O3" s="88"/>
      <c r="P3" s="204" t="s">
        <v>122</v>
      </c>
      <c r="Q3" s="204"/>
      <c r="R3" s="204"/>
      <c r="S3" s="204"/>
      <c r="T3" s="204"/>
      <c r="U3" s="83"/>
      <c r="V3" s="198">
        <v>43022</v>
      </c>
      <c r="W3" s="199"/>
      <c r="X3" s="13"/>
      <c r="Y3" s="161"/>
      <c r="Z3" s="161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</row>
    <row r="4" spans="1:126" s="11" customFormat="1" ht="11.25" customHeight="1" thickBot="1">
      <c r="A4" s="8"/>
      <c r="B4" s="29"/>
      <c r="C4" s="30"/>
      <c r="D4" s="31"/>
      <c r="E4" s="31"/>
      <c r="F4" s="32"/>
      <c r="G4" s="33"/>
      <c r="H4" s="34"/>
      <c r="I4" s="35"/>
      <c r="J4" s="36"/>
      <c r="K4" s="37"/>
      <c r="L4" s="38"/>
      <c r="M4" s="38"/>
      <c r="N4" s="38"/>
      <c r="O4" s="39"/>
      <c r="P4" s="38"/>
      <c r="Q4" s="38"/>
      <c r="R4" s="38"/>
      <c r="S4" s="39"/>
      <c r="T4" s="39"/>
      <c r="U4" s="40"/>
      <c r="V4" s="32"/>
      <c r="W4" s="32"/>
      <c r="X4" s="7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9"/>
      <c r="CM4" s="9"/>
      <c r="CN4" s="9"/>
      <c r="CO4" s="9"/>
      <c r="CP4" s="9"/>
      <c r="CQ4" s="9"/>
      <c r="CR4" s="9"/>
      <c r="CS4" s="9"/>
      <c r="CT4" s="9"/>
      <c r="CU4" s="9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s="21" customFormat="1" ht="18" customHeight="1" thickBot="1">
      <c r="A5" s="19"/>
      <c r="B5" s="22" t="s">
        <v>9</v>
      </c>
      <c r="C5" s="23" t="s">
        <v>10</v>
      </c>
      <c r="D5" s="23" t="s">
        <v>7</v>
      </c>
      <c r="E5" s="95" t="s">
        <v>26</v>
      </c>
      <c r="F5" s="195" t="s">
        <v>0</v>
      </c>
      <c r="G5" s="195"/>
      <c r="H5" s="23" t="s">
        <v>12</v>
      </c>
      <c r="I5" s="23" t="s">
        <v>11</v>
      </c>
      <c r="J5" s="24" t="s">
        <v>5</v>
      </c>
      <c r="K5" s="24" t="s">
        <v>1</v>
      </c>
      <c r="L5" s="25">
        <v>1</v>
      </c>
      <c r="M5" s="26">
        <v>2</v>
      </c>
      <c r="N5" s="26">
        <v>3</v>
      </c>
      <c r="O5" s="27" t="s">
        <v>13</v>
      </c>
      <c r="P5" s="25">
        <v>1</v>
      </c>
      <c r="Q5" s="26">
        <v>2</v>
      </c>
      <c r="R5" s="26">
        <v>3</v>
      </c>
      <c r="S5" s="27" t="s">
        <v>14</v>
      </c>
      <c r="T5" s="28" t="s">
        <v>2</v>
      </c>
      <c r="U5" s="24" t="s">
        <v>3</v>
      </c>
      <c r="V5" s="96" t="s">
        <v>8</v>
      </c>
      <c r="W5" s="22" t="s">
        <v>4</v>
      </c>
      <c r="X5" s="90"/>
      <c r="Y5" s="164"/>
      <c r="Z5" s="164" t="s">
        <v>27</v>
      </c>
      <c r="AA5" s="164" t="s">
        <v>28</v>
      </c>
      <c r="AB5" s="164" t="s">
        <v>29</v>
      </c>
      <c r="AC5" s="164" t="s">
        <v>30</v>
      </c>
      <c r="AD5" s="164" t="s">
        <v>31</v>
      </c>
      <c r="AE5" s="164" t="s">
        <v>32</v>
      </c>
      <c r="AF5" s="164" t="s">
        <v>33</v>
      </c>
      <c r="AG5" s="164" t="s">
        <v>34</v>
      </c>
      <c r="AH5" s="164" t="s">
        <v>35</v>
      </c>
      <c r="AI5" s="164"/>
      <c r="AJ5" s="164"/>
      <c r="AK5" s="164"/>
      <c r="AL5" s="164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</row>
    <row r="6" spans="1:126" s="11" customFormat="1" ht="7.5" customHeight="1" thickBot="1">
      <c r="A6" s="8"/>
      <c r="B6" s="49"/>
      <c r="C6" s="50"/>
      <c r="D6" s="52"/>
      <c r="E6" s="52"/>
      <c r="F6" s="53"/>
      <c r="G6" s="54"/>
      <c r="H6" s="56"/>
      <c r="I6" s="55"/>
      <c r="J6" s="51"/>
      <c r="K6" s="57"/>
      <c r="L6" s="58"/>
      <c r="M6" s="58"/>
      <c r="N6" s="58"/>
      <c r="O6" s="59"/>
      <c r="P6" s="58"/>
      <c r="Q6" s="58"/>
      <c r="R6" s="58"/>
      <c r="S6" s="59"/>
      <c r="T6" s="59"/>
      <c r="U6" s="52"/>
      <c r="V6" s="61"/>
      <c r="W6" s="60"/>
      <c r="X6" s="7"/>
      <c r="Y6" s="163"/>
      <c r="Z6" s="163" t="s">
        <v>36</v>
      </c>
      <c r="AA6" s="163" t="s">
        <v>37</v>
      </c>
      <c r="AB6" s="163" t="s">
        <v>29</v>
      </c>
      <c r="AC6" s="163" t="s">
        <v>30</v>
      </c>
      <c r="AD6" s="163" t="s">
        <v>31</v>
      </c>
      <c r="AE6" s="163" t="s">
        <v>32</v>
      </c>
      <c r="AF6" s="163" t="s">
        <v>33</v>
      </c>
      <c r="AG6" s="163" t="s">
        <v>34</v>
      </c>
      <c r="AH6" s="163" t="s">
        <v>35</v>
      </c>
      <c r="AI6" s="163"/>
      <c r="AJ6" s="163"/>
      <c r="AK6" s="163"/>
      <c r="AL6" s="163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9"/>
      <c r="CM6" s="9"/>
      <c r="CN6" s="9"/>
      <c r="CO6" s="9"/>
      <c r="CP6" s="9"/>
      <c r="CQ6" s="9"/>
      <c r="CR6" s="9"/>
      <c r="CS6" s="9"/>
      <c r="CT6" s="9"/>
      <c r="CU6" s="9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s="5" customFormat="1" ht="30" customHeight="1">
      <c r="B7" s="183" t="s">
        <v>120</v>
      </c>
      <c r="C7" s="62">
        <v>112257</v>
      </c>
      <c r="D7" s="192">
        <f>IF(K7=" "," ",RANK(Y8,Y8:Y10,0))</f>
        <v>1</v>
      </c>
      <c r="E7" s="116" t="s">
        <v>118</v>
      </c>
      <c r="F7" s="63" t="s">
        <v>126</v>
      </c>
      <c r="G7" s="64" t="s">
        <v>127</v>
      </c>
      <c r="H7" s="125">
        <v>1985</v>
      </c>
      <c r="I7" s="188" t="s">
        <v>123</v>
      </c>
      <c r="J7" s="122" t="s">
        <v>118</v>
      </c>
      <c r="K7" s="156">
        <v>61.1</v>
      </c>
      <c r="L7" s="171">
        <v>54</v>
      </c>
      <c r="M7" s="171">
        <v>57</v>
      </c>
      <c r="N7" s="65">
        <v>-59</v>
      </c>
      <c r="O7" s="66">
        <f>IF(H7="","",IF(MAXA(L7:N7)&lt;=0,0,MAXA(L7:N7)))</f>
        <v>57</v>
      </c>
      <c r="P7" s="171">
        <v>77</v>
      </c>
      <c r="Q7" s="171">
        <v>80</v>
      </c>
      <c r="R7" s="65">
        <v>-82</v>
      </c>
      <c r="S7" s="66">
        <f>IF(H7="","",IF(MAXA(P7:R7)&lt;=0,0,MAXA(P7:R7)))</f>
        <v>80</v>
      </c>
      <c r="T7" s="67">
        <f>IF(H7="","",O7+S7)</f>
        <v>137</v>
      </c>
      <c r="U7" s="68" t="str">
        <f t="shared" ref="U7:U10" si="0">+CONCATENATE(AK7," ",AL7)</f>
        <v>FED + 7</v>
      </c>
      <c r="V7" s="120" t="str">
        <f>IF(H7=0,"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>FS 63</v>
      </c>
      <c r="W7" s="91">
        <f>IF(H7=0," ",IF(E7="H",10^(0.75194503*LOG(K7/175.508)^2)*T7,IF(E7="F",10^(0.783497476* LOG(K7/153.655)^2)*T7,"")))</f>
        <v>182.9772943856716</v>
      </c>
      <c r="X7" s="92"/>
      <c r="Y7" s="165"/>
      <c r="Z7" s="166">
        <f>T7-HLOOKUP(V7,Minimas!$C$1:$BN$10,2,FALSE)</f>
        <v>62</v>
      </c>
      <c r="AA7" s="166">
        <f>T7-HLOOKUP(V7,Minimas!$C$1:$BN$10,3,FALSE)</f>
        <v>52</v>
      </c>
      <c r="AB7" s="166">
        <f>T7-HLOOKUP(V7,Minimas!$C$1:$BN$10,4,FALSE)</f>
        <v>42</v>
      </c>
      <c r="AC7" s="166">
        <f>T7-HLOOKUP(V7,Minimas!$C$1:$BN$10,5,FALSE)</f>
        <v>27</v>
      </c>
      <c r="AD7" s="166">
        <f>T7-HLOOKUP(V7,Minimas!$C$1:$BN$10,6,FALSE)</f>
        <v>7</v>
      </c>
      <c r="AE7" s="166">
        <f>T7-HLOOKUP(V7,Minimas!$C$1:$BN$10,7,FALSE)</f>
        <v>-13</v>
      </c>
      <c r="AF7" s="166">
        <f>T7-HLOOKUP(V7,Minimas!$C$1:$BN$10,8,FALSE)</f>
        <v>-33</v>
      </c>
      <c r="AG7" s="166">
        <f>T7-HLOOKUP(V7,Minimas!$C$1:$BN$10,9,FALSE)</f>
        <v>-53</v>
      </c>
      <c r="AH7" s="166">
        <f>T7-HLOOKUP(V7,Minimas!$C$1:$BN$10,10,FALSE)</f>
        <v>-68</v>
      </c>
      <c r="AI7" s="165" t="str">
        <f>IF(K7=0," ",IF(AH7&gt;=0,$AH$5,IF(AG7&gt;=0,$AG$5,IF(AF7&gt;=0,$AF$5,IF(AE7&gt;=0,$AE$5,IF(AD7&gt;=0,$AD$5,IF(AC7&gt;=0,$AC$5,IF(AB7&gt;=0,$AB$5,IF(AA7&gt;=0,$AA$5,$Z$5)))))))))</f>
        <v>FED +</v>
      </c>
      <c r="AJ7" s="165"/>
      <c r="AK7" s="165" t="str">
        <f>IF(AI7="","",AI7)</f>
        <v>FED +</v>
      </c>
      <c r="AL7" s="165">
        <f>IF(E7=0," ",IF(AH7&gt;=0,AH7,IF(AG7&gt;=0,AG7,IF(AF7&gt;=0,AF7,IF(AE7&gt;=0,AE7,IF(AD7&gt;=0,AD7,IF(AC7&gt;=0,AC7,IF(AB7&gt;=0,AB7,IF(AA7&gt;=0,AA7,Z7)))))))))</f>
        <v>7</v>
      </c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</row>
    <row r="8" spans="1:126" s="5" customFormat="1" ht="30" customHeight="1" thickBot="1">
      <c r="B8" s="184"/>
      <c r="C8" s="41">
        <v>393897</v>
      </c>
      <c r="D8" s="193" t="e">
        <f>IF(S8="","",RANK(S8,$Y$8:$Y$10,0))</f>
        <v>#N/A</v>
      </c>
      <c r="E8" s="117" t="s">
        <v>118</v>
      </c>
      <c r="F8" s="42" t="s">
        <v>128</v>
      </c>
      <c r="G8" s="43" t="s">
        <v>129</v>
      </c>
      <c r="H8" s="126">
        <v>2002</v>
      </c>
      <c r="I8" s="189"/>
      <c r="J8" s="123" t="s">
        <v>118</v>
      </c>
      <c r="K8" s="157">
        <v>51.4</v>
      </c>
      <c r="L8" s="171">
        <v>40</v>
      </c>
      <c r="M8" s="171">
        <v>43</v>
      </c>
      <c r="N8" s="171">
        <v>46</v>
      </c>
      <c r="O8" s="66">
        <f t="shared" ref="O8:O10" si="1">IF(H8="","",IF(MAXA(L8:N8)&lt;=0,0,MAXA(L8:N8)))</f>
        <v>46</v>
      </c>
      <c r="P8" s="171">
        <v>53</v>
      </c>
      <c r="Q8" s="171">
        <v>57</v>
      </c>
      <c r="R8" s="171">
        <v>60</v>
      </c>
      <c r="S8" s="66">
        <f t="shared" ref="S8:S20" si="2">IF(H8="","",IF(MAXA(P8:R8)&lt;=0,0,MAXA(P8:R8)))</f>
        <v>60</v>
      </c>
      <c r="T8" s="67">
        <f t="shared" ref="T8:T10" si="3">IF(H8="","",O8+S8)</f>
        <v>106</v>
      </c>
      <c r="U8" s="68" t="str">
        <f t="shared" si="0"/>
        <v>NAT + 6</v>
      </c>
      <c r="V8" s="120" t="str">
        <f>IF(H8=0,"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FC2 53</v>
      </c>
      <c r="W8" s="91">
        <f t="shared" ref="W8:W10" si="4">IF(H8=0," ",IF(E8="H",10^(0.75194503*LOG(K8/175.508)^2)*T8,IF(E8="F",10^(0.783497476* LOG(K8/153.655)^2)*T8,"")))</f>
        <v>159.41057209295505</v>
      </c>
      <c r="X8" s="92"/>
      <c r="Y8" s="167">
        <f>I9</f>
        <v>696.6469284288836</v>
      </c>
      <c r="Z8" s="166">
        <f>T8-HLOOKUP(V8,Minimas!$C$1:$BN$10,2,FALSE)</f>
        <v>61</v>
      </c>
      <c r="AA8" s="166">
        <f>T8-HLOOKUP(V8,Minimas!$C$1:$BN$10,3,FALSE)</f>
        <v>51</v>
      </c>
      <c r="AB8" s="166">
        <f>T8-HLOOKUP(V8,Minimas!$C$1:$BN$10,4,FALSE)</f>
        <v>41</v>
      </c>
      <c r="AC8" s="166">
        <f>T8-HLOOKUP(V8,Minimas!$C$1:$BN$10,5,FALSE)</f>
        <v>31</v>
      </c>
      <c r="AD8" s="166">
        <f>T8-HLOOKUP(V8,Minimas!$C$1:$BN$10,6,FALSE)</f>
        <v>16</v>
      </c>
      <c r="AE8" s="166">
        <f>T8-HLOOKUP(V8,Minimas!$C$1:$BN$10,7,FALSE)</f>
        <v>6</v>
      </c>
      <c r="AF8" s="166">
        <f>T8-HLOOKUP(V8,Minimas!$C$1:$BN$10,8,FALSE)</f>
        <v>-4</v>
      </c>
      <c r="AG8" s="166">
        <f>T8-HLOOKUP(V8,Minimas!$C$1:$BN$10,9,FALSE)</f>
        <v>-19</v>
      </c>
      <c r="AH8" s="166">
        <f>T8-HLOOKUP(V8,Minimas!$C$1:$BN$10,10,FALSE)</f>
        <v>-894</v>
      </c>
      <c r="AI8" s="165" t="str">
        <f t="shared" ref="AI8:AI22" si="5">IF(K8=0," ",IF(AH8&gt;=0,$AH$5,IF(AG8&gt;=0,$AG$5,IF(AF8&gt;=0,$AF$5,IF(AE8&gt;=0,$AE$5,IF(AD8&gt;=0,$AD$5,IF(AC8&gt;=0,$AC$5,IF(AB8&gt;=0,$AB$5,IF(AA8&gt;=0,$AA$5,$Z$5)))))))))</f>
        <v>NAT +</v>
      </c>
      <c r="AJ8" s="165"/>
      <c r="AK8" s="165" t="str">
        <f t="shared" ref="AK8:AK20" si="6">IF(AI8="","",AI8)</f>
        <v>NAT +</v>
      </c>
      <c r="AL8" s="165">
        <f>IF(H8=0," ",IF(AH8&gt;=0,AH8,IF(AG8&gt;=0,AG8,IF(AF8&gt;=0,AF8,IF(AE8&gt;=0,AE8,IF(AD8&gt;=0,AD8,IF(AC8&gt;=0,AC8,IF(AB8&gt;=0,AB8,IF(AA8&gt;=0,AA8,Z8)))))))))</f>
        <v>6</v>
      </c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</row>
    <row r="9" spans="1:126" s="5" customFormat="1" ht="30" customHeight="1">
      <c r="B9" s="184"/>
      <c r="C9" s="41">
        <v>405932</v>
      </c>
      <c r="D9" s="193" t="e">
        <f>IF(S9="","",RANK(S9,$Y$8:$Y$10,0))</f>
        <v>#N/A</v>
      </c>
      <c r="E9" s="118" t="s">
        <v>118</v>
      </c>
      <c r="F9" s="42" t="s">
        <v>130</v>
      </c>
      <c r="G9" s="43" t="s">
        <v>131</v>
      </c>
      <c r="H9" s="128">
        <v>1990</v>
      </c>
      <c r="I9" s="186">
        <f>SUM(W7:W10)</f>
        <v>696.6469284288836</v>
      </c>
      <c r="J9" s="130" t="s">
        <v>118</v>
      </c>
      <c r="K9" s="157">
        <v>57.1</v>
      </c>
      <c r="L9" s="65">
        <v>-53</v>
      </c>
      <c r="M9" s="171">
        <v>53</v>
      </c>
      <c r="N9" s="171">
        <v>57</v>
      </c>
      <c r="O9" s="66">
        <f t="shared" si="1"/>
        <v>57</v>
      </c>
      <c r="P9" s="171">
        <v>65</v>
      </c>
      <c r="Q9" s="171">
        <v>68</v>
      </c>
      <c r="R9" s="171">
        <v>71</v>
      </c>
      <c r="S9" s="66">
        <f t="shared" si="2"/>
        <v>71</v>
      </c>
      <c r="T9" s="67">
        <f t="shared" si="3"/>
        <v>128</v>
      </c>
      <c r="U9" s="68" t="str">
        <f t="shared" si="0"/>
        <v>FED + 3</v>
      </c>
      <c r="V9" s="120" t="str">
        <f>IF(H9=0,"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>FS 58</v>
      </c>
      <c r="W9" s="91">
        <f t="shared" si="4"/>
        <v>178.65633198620509</v>
      </c>
      <c r="X9" s="92"/>
      <c r="Y9" s="167">
        <f>I14</f>
        <v>580.6790418081905</v>
      </c>
      <c r="Z9" s="166">
        <f>T9-HLOOKUP(V9,Minimas!$C$1:$BN$10,2,FALSE)</f>
        <v>58</v>
      </c>
      <c r="AA9" s="166">
        <f>T9-HLOOKUP(V9,Minimas!$C$1:$BN$10,3,FALSE)</f>
        <v>48</v>
      </c>
      <c r="AB9" s="166">
        <f>T9-HLOOKUP(V9,Minimas!$C$1:$BN$10,4,FALSE)</f>
        <v>38</v>
      </c>
      <c r="AC9" s="166">
        <f>T9-HLOOKUP(V9,Minimas!$C$1:$BN$10,5,FALSE)</f>
        <v>23</v>
      </c>
      <c r="AD9" s="166">
        <f>T9-HLOOKUP(V9,Minimas!$C$1:$BN$10,6,FALSE)</f>
        <v>3</v>
      </c>
      <c r="AE9" s="166">
        <f>T9-HLOOKUP(V9,Minimas!$C$1:$BN$10,7,FALSE)</f>
        <v>-12</v>
      </c>
      <c r="AF9" s="166">
        <f>T9-HLOOKUP(V9,Minimas!$C$1:$BN$10,8,FALSE)</f>
        <v>-32</v>
      </c>
      <c r="AG9" s="166">
        <f>T9-HLOOKUP(V9,Minimas!$C$1:$BN$10,9,FALSE)</f>
        <v>-52</v>
      </c>
      <c r="AH9" s="166">
        <f>T9-HLOOKUP(V9,Minimas!$C$1:$BN$10,10,FALSE)</f>
        <v>-67</v>
      </c>
      <c r="AI9" s="165" t="str">
        <f t="shared" si="5"/>
        <v>FED +</v>
      </c>
      <c r="AJ9" s="165"/>
      <c r="AK9" s="165" t="str">
        <f t="shared" si="6"/>
        <v>FED +</v>
      </c>
      <c r="AL9" s="165">
        <f t="shared" ref="AL9:AL20" si="7">IF(H9=0," ",IF(AH9&gt;=0,AH9,IF(AG9&gt;=0,AG9,IF(AF9&gt;=0,AF9,IF(AE9&gt;=0,AE9,IF(AD9&gt;=0,AD9,IF(AC9&gt;=0,AC9,IF(AB9&gt;=0,AB9,IF(AA9&gt;=0,AA9,Z9)))))))))</f>
        <v>3</v>
      </c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</row>
    <row r="10" spans="1:126" s="5" customFormat="1" ht="30" customHeight="1" thickBot="1">
      <c r="B10" s="185"/>
      <c r="C10" s="46">
        <v>430811</v>
      </c>
      <c r="D10" s="194" t="e">
        <f>IF(S10="","",RANK(S10,$Y$8:$Y$10,0))</f>
        <v>#N/A</v>
      </c>
      <c r="E10" s="116" t="s">
        <v>118</v>
      </c>
      <c r="F10" s="47" t="s">
        <v>132</v>
      </c>
      <c r="G10" s="48" t="s">
        <v>133</v>
      </c>
      <c r="H10" s="129">
        <v>1995</v>
      </c>
      <c r="I10" s="187"/>
      <c r="J10" s="131" t="s">
        <v>118</v>
      </c>
      <c r="K10" s="158">
        <v>58.6</v>
      </c>
      <c r="L10" s="65">
        <v>-55</v>
      </c>
      <c r="M10" s="171">
        <v>55</v>
      </c>
      <c r="N10" s="171">
        <v>58</v>
      </c>
      <c r="O10" s="66">
        <f t="shared" si="1"/>
        <v>58</v>
      </c>
      <c r="P10" s="171">
        <v>65</v>
      </c>
      <c r="Q10" s="171">
        <v>70</v>
      </c>
      <c r="R10" s="65">
        <v>-75</v>
      </c>
      <c r="S10" s="66">
        <f t="shared" si="2"/>
        <v>70</v>
      </c>
      <c r="T10" s="67">
        <f t="shared" si="3"/>
        <v>128</v>
      </c>
      <c r="U10" s="68" t="str">
        <f t="shared" si="0"/>
        <v>IRG + 18</v>
      </c>
      <c r="V10" s="120" t="str">
        <f>IF(H10=0,"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>FS 63</v>
      </c>
      <c r="W10" s="91">
        <f t="shared" si="4"/>
        <v>175.60272996405195</v>
      </c>
      <c r="X10" s="92"/>
      <c r="Y10" s="167">
        <f>I19</f>
        <v>507.38079142946805</v>
      </c>
      <c r="Z10" s="166">
        <f>T10-HLOOKUP(V10,Minimas!$C$1:$BN$10,2,FALSE)</f>
        <v>53</v>
      </c>
      <c r="AA10" s="166">
        <f>T10-HLOOKUP(V10,Minimas!$C$1:$BN$10,3,FALSE)</f>
        <v>43</v>
      </c>
      <c r="AB10" s="166">
        <f>T10-HLOOKUP(V10,Minimas!$C$1:$BN$10,4,FALSE)</f>
        <v>33</v>
      </c>
      <c r="AC10" s="166">
        <f>T10-HLOOKUP(V10,Minimas!$C$1:$BN$10,5,FALSE)</f>
        <v>18</v>
      </c>
      <c r="AD10" s="166">
        <f>T10-HLOOKUP(V10,Minimas!$C$1:$BN$10,6,FALSE)</f>
        <v>-2</v>
      </c>
      <c r="AE10" s="166">
        <f>T10-HLOOKUP(V10,Minimas!$C$1:$BN$10,7,FALSE)</f>
        <v>-22</v>
      </c>
      <c r="AF10" s="166">
        <f>T10-HLOOKUP(V10,Minimas!$C$1:$BN$10,8,FALSE)</f>
        <v>-42</v>
      </c>
      <c r="AG10" s="166">
        <f>T10-HLOOKUP(V10,Minimas!$C$1:$BN$10,9,FALSE)</f>
        <v>-62</v>
      </c>
      <c r="AH10" s="166">
        <f>T10-HLOOKUP(V10,Minimas!$C$1:$BN$10,10,FALSE)</f>
        <v>-77</v>
      </c>
      <c r="AI10" s="165" t="str">
        <f t="shared" si="5"/>
        <v>IRG +</v>
      </c>
      <c r="AJ10" s="165"/>
      <c r="AK10" s="165" t="str">
        <f t="shared" si="6"/>
        <v>IRG +</v>
      </c>
      <c r="AL10" s="165">
        <f t="shared" si="7"/>
        <v>18</v>
      </c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</row>
    <row r="11" spans="1:126" s="11" customFormat="1" ht="7.5" customHeight="1" thickBot="1">
      <c r="A11" s="8"/>
      <c r="B11" s="49"/>
      <c r="C11" s="50"/>
      <c r="D11" s="94"/>
      <c r="E11" s="119"/>
      <c r="F11" s="53"/>
      <c r="G11" s="54"/>
      <c r="H11" s="127"/>
      <c r="I11" s="55"/>
      <c r="J11" s="124"/>
      <c r="K11" s="159"/>
      <c r="L11" s="93"/>
      <c r="M11" s="93"/>
      <c r="N11" s="93"/>
      <c r="O11" s="59"/>
      <c r="P11" s="93"/>
      <c r="Q11" s="93"/>
      <c r="R11" s="93"/>
      <c r="S11" s="59"/>
      <c r="T11" s="59"/>
      <c r="U11" s="52"/>
      <c r="V11" s="52"/>
      <c r="W11" s="60"/>
      <c r="X11" s="7"/>
      <c r="Y11" s="163"/>
      <c r="Z11" s="166"/>
      <c r="AA11" s="166"/>
      <c r="AB11" s="166"/>
      <c r="AC11" s="166"/>
      <c r="AD11" s="166"/>
      <c r="AE11" s="166"/>
      <c r="AF11" s="166"/>
      <c r="AG11" s="166"/>
      <c r="AH11" s="166"/>
      <c r="AI11" s="165"/>
      <c r="AJ11" s="165"/>
      <c r="AK11" s="165"/>
      <c r="AL11" s="165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</row>
    <row r="12" spans="1:126" s="5" customFormat="1" ht="30" customHeight="1">
      <c r="B12" s="183" t="s">
        <v>120</v>
      </c>
      <c r="C12" s="62">
        <v>420422</v>
      </c>
      <c r="D12" s="192">
        <f>IF(K12=0," ",RANK(Y9,Y8:Y10,0))</f>
        <v>2</v>
      </c>
      <c r="E12" s="116" t="s">
        <v>118</v>
      </c>
      <c r="F12" s="63" t="s">
        <v>134</v>
      </c>
      <c r="G12" s="64" t="s">
        <v>135</v>
      </c>
      <c r="H12" s="125">
        <v>1991</v>
      </c>
      <c r="I12" s="190" t="s">
        <v>124</v>
      </c>
      <c r="J12" s="122" t="s">
        <v>118</v>
      </c>
      <c r="K12" s="156">
        <v>50</v>
      </c>
      <c r="L12" s="171">
        <v>45</v>
      </c>
      <c r="M12" s="65">
        <v>-50</v>
      </c>
      <c r="N12" s="65">
        <v>-50</v>
      </c>
      <c r="O12" s="141">
        <f>IF(H12="","",IF(MAXA(L12:N12)&lt;=0,0,MAXA(L12:N12)))</f>
        <v>45</v>
      </c>
      <c r="P12" s="171">
        <v>55</v>
      </c>
      <c r="Q12" s="65" t="s">
        <v>151</v>
      </c>
      <c r="R12" s="65" t="s">
        <v>151</v>
      </c>
      <c r="S12" s="66">
        <f>IF(H12="","",IF(MAXA(P12:R12)&lt;=0,0,MAXA(P12:R12)))</f>
        <v>55</v>
      </c>
      <c r="T12" s="67">
        <f>IF(H12="","",O12+S12)</f>
        <v>100</v>
      </c>
      <c r="U12" s="68" t="str">
        <f>+CONCATENATE(AK12," ",AL12)</f>
        <v>IRG + 0</v>
      </c>
      <c r="V12" s="120" t="str">
        <f>IF(H12=0," ",IF(E12="H",IF(OR(E12="SEN",H12&lt;1998),VLOOKUP(K12,Minimas!$A$11:$G$29,6),IF(AND(H12&gt;1997,H12&lt;2001),VLOOKUP(K12,Minimas!$A$11:$G$29,5),IF(AND(H12&gt;2000,H12&lt;2003),VLOOKUP(K12,Minimas!$A$11:$G$29,4),IF(AND(H12&gt;2002,H12&lt;2005),VLOOKUP(K12,Minimas!$A$11:$G$29,3),VLOOKUP(K12,Minimas!$A$11:$G$29,2))))),IF(OR(H12="SEN",H12&lt;1998),VLOOKUP(K12,Minimas!$G$11:$L$26,6),IF(AND(H12&gt;1997,H12&lt;2001),VLOOKUP(K12,Minimas!$G$11:$L$26,5),IF(AND(H12&gt;2000,H12&lt;2003),VLOOKUP(K12,Minimas!$G$11:$L$26,4),IF(AND(H12&gt;2002,H12&lt;2005),VLOOKUP(K12,Minimas!$G$11:$L$26,3),VLOOKUP(K12,Minimas!$G$11:$L$26,2)))))))</f>
        <v>FS 53</v>
      </c>
      <c r="W12" s="91">
        <f>IF(H12=0," ",IF(E12="H",10^(0.75194503*LOG(K12/175.508)^2)*T12,IF(E12="F",10^(0.783497476* LOG(K12/153.655)^2)*T12,"")))</f>
        <v>153.55418697976268</v>
      </c>
      <c r="X12" s="92"/>
      <c r="Y12" s="165"/>
      <c r="Z12" s="166">
        <f>T12-HLOOKUP(V12,Minimas!$C$1:$BN$10,2,FALSE)</f>
        <v>35</v>
      </c>
      <c r="AA12" s="166">
        <f>T12-HLOOKUP(V12,Minimas!$C$1:$BN$10,3,FALSE)</f>
        <v>25</v>
      </c>
      <c r="AB12" s="166">
        <f>T12-HLOOKUP(V12,Minimas!$C$1:$BN$10,4,FALSE)</f>
        <v>15</v>
      </c>
      <c r="AC12" s="166">
        <f>T12-HLOOKUP(V12,Minimas!$C$1:$BN$10,5,FALSE)</f>
        <v>0</v>
      </c>
      <c r="AD12" s="166">
        <f>T12-HLOOKUP(V12,Minimas!$C$1:$BN$10,6,FALSE)</f>
        <v>-15</v>
      </c>
      <c r="AE12" s="166">
        <f>T12-HLOOKUP(V12,Minimas!$C$1:$BN$10,7,FALSE)</f>
        <v>-30</v>
      </c>
      <c r="AF12" s="166">
        <f>T12-HLOOKUP(V12,Minimas!$C$1:$BN$10,8,FALSE)</f>
        <v>-50</v>
      </c>
      <c r="AG12" s="166">
        <f>T12-HLOOKUP(V12,Minimas!$C$1:$BN$10,9,FALSE)</f>
        <v>-65</v>
      </c>
      <c r="AH12" s="166">
        <f>T12-HLOOKUP(V12,Minimas!$C$1:$BN$10,10,FALSE)</f>
        <v>-80</v>
      </c>
      <c r="AI12" s="165" t="str">
        <f t="shared" si="5"/>
        <v>IRG +</v>
      </c>
      <c r="AJ12" s="165"/>
      <c r="AK12" s="165" t="str">
        <f t="shared" si="6"/>
        <v>IRG +</v>
      </c>
      <c r="AL12" s="165">
        <f t="shared" si="7"/>
        <v>0</v>
      </c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</row>
    <row r="13" spans="1:126" s="5" customFormat="1" ht="30" customHeight="1" thickBot="1">
      <c r="B13" s="184"/>
      <c r="C13" s="41">
        <v>413763</v>
      </c>
      <c r="D13" s="193" t="e">
        <f>IF(S13="","",RANK(S13,$Y$8:$Y$10,0))</f>
        <v>#N/A</v>
      </c>
      <c r="E13" s="118" t="s">
        <v>118</v>
      </c>
      <c r="F13" s="42" t="s">
        <v>136</v>
      </c>
      <c r="G13" s="43" t="s">
        <v>137</v>
      </c>
      <c r="H13" s="126">
        <v>1994</v>
      </c>
      <c r="I13" s="191"/>
      <c r="J13" s="123" t="s">
        <v>118</v>
      </c>
      <c r="K13" s="157">
        <v>68.8</v>
      </c>
      <c r="L13" s="171">
        <v>55</v>
      </c>
      <c r="M13" s="171">
        <v>60</v>
      </c>
      <c r="N13" s="65">
        <v>-65</v>
      </c>
      <c r="O13" s="141">
        <f t="shared" ref="O13:O15" si="8">IF(H13="","",IF(MAXA(L13:N13)&lt;=0,0,MAXA(L13:N13)))</f>
        <v>60</v>
      </c>
      <c r="P13" s="171">
        <v>65</v>
      </c>
      <c r="Q13" s="171">
        <v>70</v>
      </c>
      <c r="R13" s="65">
        <v>-75</v>
      </c>
      <c r="S13" s="66">
        <f t="shared" si="2"/>
        <v>70</v>
      </c>
      <c r="T13" s="67">
        <f t="shared" ref="T13:T15" si="9">IF(H13="","",O13+S13)</f>
        <v>130</v>
      </c>
      <c r="U13" s="68" t="str">
        <f t="shared" ref="U13:U15" si="10">+CONCATENATE(AK13," ",AL13)</f>
        <v>IRG + 10</v>
      </c>
      <c r="V13" s="120" t="str">
        <f>IF(H13=0,"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FS 69</v>
      </c>
      <c r="W13" s="91">
        <f>IF(H13=0," ",IF(E13="H",10^(0.75194503*LOG(K13/175.508)^2)*T13,IF(E13="F",10^(0.783497476* LOG(K13/153.655)^2)*T13,"")))</f>
        <v>161.93894373752877</v>
      </c>
      <c r="X13" s="92"/>
      <c r="Y13" s="165"/>
      <c r="Z13" s="166">
        <f>T13-HLOOKUP(V13,Minimas!$C$1:$BN$10,2,FALSE)</f>
        <v>50</v>
      </c>
      <c r="AA13" s="166">
        <f>T13-HLOOKUP(V13,Minimas!$C$1:$BN$10,3,FALSE)</f>
        <v>40</v>
      </c>
      <c r="AB13" s="166">
        <f>T13-HLOOKUP(V13,Minimas!$C$1:$BN$10,4,FALSE)</f>
        <v>25</v>
      </c>
      <c r="AC13" s="166">
        <f>T13-HLOOKUP(V13,Minimas!$C$1:$BN$10,5,FALSE)</f>
        <v>10</v>
      </c>
      <c r="AD13" s="166">
        <f>T13-HLOOKUP(V13,Minimas!$C$1:$BN$10,6,FALSE)</f>
        <v>-10</v>
      </c>
      <c r="AE13" s="166">
        <f>T13-HLOOKUP(V13,Minimas!$C$1:$BN$10,7,FALSE)</f>
        <v>-30</v>
      </c>
      <c r="AF13" s="166">
        <f>T13-HLOOKUP(V13,Minimas!$C$1:$BN$10,8,FALSE)</f>
        <v>-50</v>
      </c>
      <c r="AG13" s="166">
        <f>T13-HLOOKUP(V13,Minimas!$C$1:$BN$10,9,FALSE)</f>
        <v>-70</v>
      </c>
      <c r="AH13" s="166">
        <f>T13-HLOOKUP(V13,Minimas!$C$1:$BN$10,10,FALSE)</f>
        <v>-85</v>
      </c>
      <c r="AI13" s="165" t="str">
        <f t="shared" si="5"/>
        <v>IRG +</v>
      </c>
      <c r="AJ13" s="165"/>
      <c r="AK13" s="165" t="str">
        <f t="shared" si="6"/>
        <v>IRG +</v>
      </c>
      <c r="AL13" s="165">
        <f t="shared" si="7"/>
        <v>10</v>
      </c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</row>
    <row r="14" spans="1:126" s="5" customFormat="1" ht="30" customHeight="1">
      <c r="B14" s="184"/>
      <c r="C14" s="41">
        <v>420867</v>
      </c>
      <c r="D14" s="193" t="e">
        <f>IF(S14="","",RANK(S14,$Y$8:$Y$10,0))</f>
        <v>#N/A</v>
      </c>
      <c r="E14" s="118" t="s">
        <v>118</v>
      </c>
      <c r="F14" s="42" t="s">
        <v>138</v>
      </c>
      <c r="G14" s="43" t="s">
        <v>139</v>
      </c>
      <c r="H14" s="128">
        <v>1988</v>
      </c>
      <c r="I14" s="186">
        <f>SUM(W12:W15)</f>
        <v>580.6790418081905</v>
      </c>
      <c r="J14" s="130" t="s">
        <v>150</v>
      </c>
      <c r="K14" s="157">
        <v>68</v>
      </c>
      <c r="L14" s="171">
        <v>40</v>
      </c>
      <c r="M14" s="171">
        <v>43</v>
      </c>
      <c r="N14" s="171">
        <v>46</v>
      </c>
      <c r="O14" s="141">
        <f t="shared" si="8"/>
        <v>46</v>
      </c>
      <c r="P14" s="171">
        <v>52</v>
      </c>
      <c r="Q14" s="65">
        <v>-57</v>
      </c>
      <c r="R14" s="172">
        <v>57</v>
      </c>
      <c r="S14" s="66">
        <f t="shared" si="2"/>
        <v>57</v>
      </c>
      <c r="T14" s="67">
        <f t="shared" si="9"/>
        <v>103</v>
      </c>
      <c r="U14" s="68" t="str">
        <f t="shared" si="10"/>
        <v>DPT + 13</v>
      </c>
      <c r="V14" s="120" t="str">
        <f>IF(H14=0,"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FS 69</v>
      </c>
      <c r="W14" s="91">
        <f t="shared" ref="W14:W15" si="11">IF(H14=0," ",IF(E14="H",10^(0.75194503*LOG(K14/175.508)^2)*T14,IF(E14="F",10^(0.783497476* LOG(K14/153.655)^2)*T14,"")))</f>
        <v>129.13469914332441</v>
      </c>
      <c r="X14" s="92"/>
      <c r="Y14" s="165"/>
      <c r="Z14" s="166">
        <f>T14-HLOOKUP(V14,Minimas!$C$1:$BN$10,2,FALSE)</f>
        <v>23</v>
      </c>
      <c r="AA14" s="166">
        <f>T14-HLOOKUP(V14,Minimas!$C$1:$BN$10,3,FALSE)</f>
        <v>13</v>
      </c>
      <c r="AB14" s="166">
        <f>T14-HLOOKUP(V14,Minimas!$C$1:$BN$10,4,FALSE)</f>
        <v>-2</v>
      </c>
      <c r="AC14" s="166">
        <f>T14-HLOOKUP(V14,Minimas!$C$1:$BN$10,5,FALSE)</f>
        <v>-17</v>
      </c>
      <c r="AD14" s="166">
        <f>T14-HLOOKUP(V14,Minimas!$C$1:$BN$10,6,FALSE)</f>
        <v>-37</v>
      </c>
      <c r="AE14" s="166">
        <f>T14-HLOOKUP(V14,Minimas!$C$1:$BN$10,7,FALSE)</f>
        <v>-57</v>
      </c>
      <c r="AF14" s="166">
        <f>T14-HLOOKUP(V14,Minimas!$C$1:$BN$10,8,FALSE)</f>
        <v>-77</v>
      </c>
      <c r="AG14" s="166">
        <f>T14-HLOOKUP(V14,Minimas!$C$1:$BN$10,9,FALSE)</f>
        <v>-97</v>
      </c>
      <c r="AH14" s="166">
        <f>T14-HLOOKUP(V14,Minimas!$C$1:$BN$10,10,FALSE)</f>
        <v>-112</v>
      </c>
      <c r="AI14" s="165" t="str">
        <f t="shared" si="5"/>
        <v>DPT +</v>
      </c>
      <c r="AJ14" s="165"/>
      <c r="AK14" s="165" t="str">
        <f t="shared" si="6"/>
        <v>DPT +</v>
      </c>
      <c r="AL14" s="165">
        <f t="shared" si="7"/>
        <v>13</v>
      </c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</row>
    <row r="15" spans="1:126" s="5" customFormat="1" ht="30" customHeight="1" thickBot="1">
      <c r="B15" s="185"/>
      <c r="C15" s="41">
        <v>420424</v>
      </c>
      <c r="D15" s="194" t="e">
        <f>IF(S15="","",RANK(S15,$Y$8:$Y$10,0))</f>
        <v>#N/A</v>
      </c>
      <c r="E15" s="116" t="s">
        <v>118</v>
      </c>
      <c r="F15" s="42" t="s">
        <v>140</v>
      </c>
      <c r="G15" s="43" t="s">
        <v>141</v>
      </c>
      <c r="H15" s="128">
        <v>1992</v>
      </c>
      <c r="I15" s="187"/>
      <c r="J15" s="130" t="s">
        <v>118</v>
      </c>
      <c r="K15" s="157">
        <v>55</v>
      </c>
      <c r="L15" s="171">
        <v>37</v>
      </c>
      <c r="M15" s="171">
        <v>40</v>
      </c>
      <c r="N15" s="65">
        <v>-43</v>
      </c>
      <c r="O15" s="141">
        <f t="shared" si="8"/>
        <v>40</v>
      </c>
      <c r="P15" s="171">
        <v>50</v>
      </c>
      <c r="Q15" s="171">
        <v>53</v>
      </c>
      <c r="R15" s="171">
        <v>55</v>
      </c>
      <c r="S15" s="66">
        <f t="shared" si="2"/>
        <v>55</v>
      </c>
      <c r="T15" s="67">
        <f t="shared" si="9"/>
        <v>95</v>
      </c>
      <c r="U15" s="68" t="str">
        <f t="shared" si="10"/>
        <v>REG + 5</v>
      </c>
      <c r="V15" s="120" t="str">
        <f>IF(H15=0,"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>FS 58</v>
      </c>
      <c r="W15" s="91">
        <f t="shared" si="11"/>
        <v>136.05121194757467</v>
      </c>
      <c r="X15" s="92"/>
      <c r="Y15" s="165"/>
      <c r="Z15" s="166">
        <f>T15-HLOOKUP(V15,Minimas!$C$1:$BN$10,2,FALSE)</f>
        <v>25</v>
      </c>
      <c r="AA15" s="166">
        <f>T15-HLOOKUP(V15,Minimas!$C$1:$BN$10,3,FALSE)</f>
        <v>15</v>
      </c>
      <c r="AB15" s="166">
        <f>T15-HLOOKUP(V15,Minimas!$C$1:$BN$10,4,FALSE)</f>
        <v>5</v>
      </c>
      <c r="AC15" s="166">
        <f>T15-HLOOKUP(V15,Minimas!$C$1:$BN$10,5,FALSE)</f>
        <v>-10</v>
      </c>
      <c r="AD15" s="166">
        <f>T15-HLOOKUP(V15,Minimas!$C$1:$BN$10,6,FALSE)</f>
        <v>-30</v>
      </c>
      <c r="AE15" s="166">
        <f>T15-HLOOKUP(V15,Minimas!$C$1:$BN$10,7,FALSE)</f>
        <v>-45</v>
      </c>
      <c r="AF15" s="166">
        <f>T15-HLOOKUP(V15,Minimas!$C$1:$BN$10,8,FALSE)</f>
        <v>-65</v>
      </c>
      <c r="AG15" s="166">
        <f>T15-HLOOKUP(V15,Minimas!$C$1:$BN$10,9,FALSE)</f>
        <v>-85</v>
      </c>
      <c r="AH15" s="166">
        <f>T15-HLOOKUP(V15,Minimas!$C$1:$BN$10,10,FALSE)</f>
        <v>-100</v>
      </c>
      <c r="AI15" s="165" t="str">
        <f t="shared" si="5"/>
        <v>REG +</v>
      </c>
      <c r="AJ15" s="165"/>
      <c r="AK15" s="165" t="str">
        <f t="shared" si="6"/>
        <v>REG +</v>
      </c>
      <c r="AL15" s="165">
        <f t="shared" si="7"/>
        <v>5</v>
      </c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</row>
    <row r="16" spans="1:126" s="11" customFormat="1" ht="7.5" customHeight="1" thickBot="1">
      <c r="A16" s="8"/>
      <c r="B16" s="49"/>
      <c r="C16" s="50"/>
      <c r="D16" s="94"/>
      <c r="E16" s="119"/>
      <c r="F16" s="53"/>
      <c r="G16" s="54"/>
      <c r="H16" s="127"/>
      <c r="I16" s="55"/>
      <c r="J16" s="124"/>
      <c r="K16" s="159"/>
      <c r="L16" s="93"/>
      <c r="M16" s="93"/>
      <c r="N16" s="93"/>
      <c r="O16" s="59"/>
      <c r="P16" s="93"/>
      <c r="Q16" s="93"/>
      <c r="R16" s="93"/>
      <c r="S16" s="59"/>
      <c r="T16" s="59"/>
      <c r="U16" s="52"/>
      <c r="V16" s="52"/>
      <c r="W16" s="60"/>
      <c r="X16" s="7"/>
      <c r="Y16" s="163"/>
      <c r="Z16" s="166"/>
      <c r="AA16" s="166"/>
      <c r="AB16" s="166"/>
      <c r="AC16" s="166"/>
      <c r="AD16" s="166"/>
      <c r="AE16" s="166"/>
      <c r="AF16" s="166"/>
      <c r="AG16" s="166"/>
      <c r="AH16" s="166"/>
      <c r="AI16" s="165"/>
      <c r="AJ16" s="165"/>
      <c r="AK16" s="165"/>
      <c r="AL16" s="165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</row>
    <row r="17" spans="1:126" s="5" customFormat="1" ht="30" customHeight="1">
      <c r="B17" s="183" t="s">
        <v>120</v>
      </c>
      <c r="C17" s="41">
        <v>245793</v>
      </c>
      <c r="D17" s="192">
        <f>IF(K17=0," ",RANK(Y10,Y8:Y10,0))</f>
        <v>3</v>
      </c>
      <c r="E17" s="116" t="s">
        <v>118</v>
      </c>
      <c r="F17" s="42" t="s">
        <v>144</v>
      </c>
      <c r="G17" s="43" t="s">
        <v>142</v>
      </c>
      <c r="H17" s="126">
        <v>1990</v>
      </c>
      <c r="I17" s="188" t="s">
        <v>125</v>
      </c>
      <c r="J17" s="123" t="s">
        <v>143</v>
      </c>
      <c r="K17" s="157">
        <v>54.2</v>
      </c>
      <c r="L17" s="171">
        <v>50</v>
      </c>
      <c r="M17" s="171">
        <v>55</v>
      </c>
      <c r="N17" s="171">
        <v>60</v>
      </c>
      <c r="O17" s="44">
        <f>IF(H17="","",IF(MAXA(L17:N17)&lt;=0,0,MAXA(L17:N17)))</f>
        <v>60</v>
      </c>
      <c r="P17" s="171">
        <v>63</v>
      </c>
      <c r="Q17" s="171">
        <v>70</v>
      </c>
      <c r="R17" s="171">
        <v>72</v>
      </c>
      <c r="S17" s="44">
        <f t="shared" si="2"/>
        <v>72</v>
      </c>
      <c r="T17" s="67">
        <f>IF(H17="","",O17+S17)</f>
        <v>132</v>
      </c>
      <c r="U17" s="45" t="str">
        <f>+CONCATENATE(AK17," ",AL17)</f>
        <v>FED + 7</v>
      </c>
      <c r="V17" s="121" t="str">
        <f>IF(H17=0,"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>FS 58</v>
      </c>
      <c r="W17" s="91">
        <f>IF(H17=0," ",IF(E17="H",10^(0.75194503*LOG(K17/175.508)^2)*T17,IF(E17="F",10^(0.783497476* LOG(K17/153.655)^2)*T17,"")))</f>
        <v>191.00008262175228</v>
      </c>
      <c r="X17" s="92"/>
      <c r="Y17" s="165"/>
      <c r="Z17" s="166">
        <f>T17-HLOOKUP(V17,Minimas!$C$1:$BN$10,2,FALSE)</f>
        <v>62</v>
      </c>
      <c r="AA17" s="166">
        <f>T17-HLOOKUP(V17,Minimas!$C$1:$BN$10,3,FALSE)</f>
        <v>52</v>
      </c>
      <c r="AB17" s="166">
        <f>T17-HLOOKUP(V17,Minimas!$C$1:$BN$10,4,FALSE)</f>
        <v>42</v>
      </c>
      <c r="AC17" s="166">
        <f>T17-HLOOKUP(V17,Minimas!$C$1:$BN$10,5,FALSE)</f>
        <v>27</v>
      </c>
      <c r="AD17" s="166">
        <f>T17-HLOOKUP(V17,Minimas!$C$1:$BN$10,6,FALSE)</f>
        <v>7</v>
      </c>
      <c r="AE17" s="166">
        <f>T17-HLOOKUP(V17,Minimas!$C$1:$BN$10,7,FALSE)</f>
        <v>-8</v>
      </c>
      <c r="AF17" s="166">
        <f>T17-HLOOKUP(V17,Minimas!$C$1:$BN$10,8,FALSE)</f>
        <v>-28</v>
      </c>
      <c r="AG17" s="166">
        <f>T17-HLOOKUP(V17,Minimas!$C$1:$BN$10,9,FALSE)</f>
        <v>-48</v>
      </c>
      <c r="AH17" s="166">
        <f>T17-HLOOKUP(V17,Minimas!$C$1:$BN$10,10,FALSE)</f>
        <v>-63</v>
      </c>
      <c r="AI17" s="165" t="str">
        <f t="shared" si="5"/>
        <v>FED +</v>
      </c>
      <c r="AJ17" s="165"/>
      <c r="AK17" s="165" t="str">
        <f t="shared" si="6"/>
        <v>FED +</v>
      </c>
      <c r="AL17" s="165">
        <f t="shared" si="7"/>
        <v>7</v>
      </c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</row>
    <row r="18" spans="1:126" s="5" customFormat="1" ht="30" customHeight="1" thickBot="1">
      <c r="B18" s="184"/>
      <c r="C18" s="41">
        <v>404871</v>
      </c>
      <c r="D18" s="193" t="e">
        <f>IF(S18="","",RANK(S18,$Y$8:$Y$10,0))</f>
        <v>#N/A</v>
      </c>
      <c r="E18" s="118" t="s">
        <v>118</v>
      </c>
      <c r="F18" s="42" t="s">
        <v>145</v>
      </c>
      <c r="G18" s="43" t="s">
        <v>137</v>
      </c>
      <c r="H18" s="126">
        <v>1993</v>
      </c>
      <c r="I18" s="189"/>
      <c r="J18" s="123" t="s">
        <v>118</v>
      </c>
      <c r="K18" s="157">
        <v>64.2</v>
      </c>
      <c r="L18" s="171">
        <v>42</v>
      </c>
      <c r="M18" s="65">
        <v>-46</v>
      </c>
      <c r="N18" s="65">
        <v>-46</v>
      </c>
      <c r="O18" s="44">
        <f t="shared" ref="O18:O20" si="12">IF(H18="","",IF(MAXA(L18:N18)&lt;=0,0,MAXA(L18:N18)))</f>
        <v>42</v>
      </c>
      <c r="P18" s="171">
        <v>50</v>
      </c>
      <c r="Q18" s="171">
        <v>54</v>
      </c>
      <c r="R18" s="171">
        <v>57</v>
      </c>
      <c r="S18" s="44">
        <f t="shared" si="2"/>
        <v>57</v>
      </c>
      <c r="T18" s="67">
        <f t="shared" ref="T18:T20" si="13">IF(H18="","",O18+S18)</f>
        <v>99</v>
      </c>
      <c r="U18" s="45" t="str">
        <f t="shared" ref="U18:U20" si="14">+CONCATENATE(AK18," ",AL18)</f>
        <v>DPT + 9</v>
      </c>
      <c r="V18" s="121" t="str">
        <f>IF(H18=0," ",IF(E18="H",IF(OR(E18="SEN",H18&lt;1998),VLOOKUP(K18,Minimas!$A$11:$G$29,6),IF(AND(H18&gt;1997,H18&lt;2001),VLOOKUP(K18,Minimas!$A$11:$G$29,5),IF(AND(H18&gt;2000,H18&lt;2003),VLOOKUP(K18,Minimas!$A$11:$G$29,4),IF(AND(H18&gt;2002,H18&lt;2005),VLOOKUP(K18,Minimas!$A$11:$G$29,3),VLOOKUP(K18,Minimas!$A$11:$G$29,2))))),IF(OR(H18="SEN",H18&lt;1998),VLOOKUP(K18,Minimas!$G$11:$L$26,6),IF(AND(H18&gt;1997,H18&lt;2001),VLOOKUP(K18,Minimas!$G$11:$L$26,5),IF(AND(H18&gt;2000,H18&lt;2003),VLOOKUP(K18,Minimas!$G$11:$L$26,4),IF(AND(H18&gt;2002,H18&lt;2005),VLOOKUP(K18,Minimas!$G$11:$L$26,3),VLOOKUP(K18,Minimas!$G$11:$L$26,2)))))))</f>
        <v>FS 69</v>
      </c>
      <c r="W18" s="91">
        <f t="shared" ref="W18:W20" si="15">IF(H18=0," ",IF(E18="H",10^(0.75194503*LOG(K18/175.508)^2)*T18,IF(E18="F",10^(0.783497476* LOG(K18/153.655)^2)*T18,"")))</f>
        <v>128.28754247377054</v>
      </c>
      <c r="X18" s="92"/>
      <c r="Y18" s="165"/>
      <c r="Z18" s="166">
        <f>T18-HLOOKUP(V18,Minimas!$C$1:$BN$10,2,FALSE)</f>
        <v>19</v>
      </c>
      <c r="AA18" s="166">
        <f>T18-HLOOKUP(V18,Minimas!$C$1:$BN$10,3,FALSE)</f>
        <v>9</v>
      </c>
      <c r="AB18" s="166">
        <f>T18-HLOOKUP(V18,Minimas!$C$1:$BN$10,4,FALSE)</f>
        <v>-6</v>
      </c>
      <c r="AC18" s="166">
        <f>T18-HLOOKUP(V18,Minimas!$C$1:$BN$10,5,FALSE)</f>
        <v>-21</v>
      </c>
      <c r="AD18" s="166">
        <f>T18-HLOOKUP(V18,Minimas!$C$1:$BN$10,6,FALSE)</f>
        <v>-41</v>
      </c>
      <c r="AE18" s="166">
        <f>T18-HLOOKUP(V18,Minimas!$C$1:$BN$10,7,FALSE)</f>
        <v>-61</v>
      </c>
      <c r="AF18" s="166">
        <f>T18-HLOOKUP(V18,Minimas!$C$1:$BN$10,8,FALSE)</f>
        <v>-81</v>
      </c>
      <c r="AG18" s="166">
        <f>T18-HLOOKUP(V18,Minimas!$C$1:$BN$10,9,FALSE)</f>
        <v>-101</v>
      </c>
      <c r="AH18" s="166">
        <f>T18-HLOOKUP(V18,Minimas!$C$1:$BN$10,10,FALSE)</f>
        <v>-116</v>
      </c>
      <c r="AI18" s="165" t="str">
        <f t="shared" si="5"/>
        <v>DPT +</v>
      </c>
      <c r="AJ18" s="165"/>
      <c r="AK18" s="165" t="str">
        <f t="shared" si="6"/>
        <v>DPT +</v>
      </c>
      <c r="AL18" s="165">
        <f t="shared" si="7"/>
        <v>9</v>
      </c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</row>
    <row r="19" spans="1:126" s="5" customFormat="1" ht="30" customHeight="1">
      <c r="B19" s="184"/>
      <c r="C19" s="41">
        <v>418729</v>
      </c>
      <c r="D19" s="193" t="e">
        <f>IF(S19="","",RANK(S19,$Y$8:$Y$10,0))</f>
        <v>#N/A</v>
      </c>
      <c r="E19" s="118" t="s">
        <v>118</v>
      </c>
      <c r="F19" s="42" t="s">
        <v>146</v>
      </c>
      <c r="G19" s="43" t="s">
        <v>147</v>
      </c>
      <c r="H19" s="128">
        <v>2002</v>
      </c>
      <c r="I19" s="186">
        <f>SUM(W17:W20)</f>
        <v>507.38079142946805</v>
      </c>
      <c r="J19" s="130" t="s">
        <v>118</v>
      </c>
      <c r="K19" s="157">
        <v>79.2</v>
      </c>
      <c r="L19" s="171">
        <v>30</v>
      </c>
      <c r="M19" s="171">
        <v>33</v>
      </c>
      <c r="N19" s="171">
        <v>36</v>
      </c>
      <c r="O19" s="44">
        <f t="shared" si="12"/>
        <v>36</v>
      </c>
      <c r="P19" s="171">
        <v>40</v>
      </c>
      <c r="Q19" s="171">
        <v>44</v>
      </c>
      <c r="R19" s="171">
        <v>46</v>
      </c>
      <c r="S19" s="44">
        <f t="shared" si="2"/>
        <v>46</v>
      </c>
      <c r="T19" s="67">
        <f t="shared" si="13"/>
        <v>82</v>
      </c>
      <c r="U19" s="45" t="str">
        <f t="shared" si="14"/>
        <v>DPT + 2</v>
      </c>
      <c r="V19" s="121" t="str">
        <f>IF(H19=0," ",IF(E19="H",IF(OR(E19="SEN",H19&lt;1998),VLOOKUP(K19,Minimas!$A$11:$G$29,6),IF(AND(H19&gt;1997,H19&lt;2001),VLOOKUP(K19,Minimas!$A$11:$G$29,5),IF(AND(H19&gt;2000,H19&lt;2003),VLOOKUP(K19,Minimas!$A$11:$G$29,4),IF(AND(H19&gt;2002,H19&lt;2005),VLOOKUP(K19,Minimas!$A$11:$G$29,3),VLOOKUP(K19,Minimas!$A$11:$G$29,2))))),IF(OR(H19="SEN",H19&lt;1998),VLOOKUP(K19,Minimas!$G$11:$L$26,6),IF(AND(H19&gt;1997,H19&lt;2001),VLOOKUP(K19,Minimas!$G$11:$L$26,5),IF(AND(H19&gt;2000,H19&lt;2003),VLOOKUP(K19,Minimas!$G$11:$L$26,4),IF(AND(H19&gt;2002,H19&lt;2005),VLOOKUP(K19,Minimas!$G$11:$L$26,3),VLOOKUP(K19,Minimas!$G$11:$L$26,2)))))))</f>
        <v>FC2 +75</v>
      </c>
      <c r="W19" s="91">
        <f t="shared" si="15"/>
        <v>95.218150781908079</v>
      </c>
      <c r="X19" s="92"/>
      <c r="Y19" s="165"/>
      <c r="Z19" s="166">
        <f>T19-HLOOKUP(V19,Minimas!$C$1:$BN$10,2,FALSE)</f>
        <v>12</v>
      </c>
      <c r="AA19" s="166">
        <f>T19-HLOOKUP(V19,Minimas!$C$1:$BN$10,3,FALSE)</f>
        <v>2</v>
      </c>
      <c r="AB19" s="166">
        <f>T19-HLOOKUP(V19,Minimas!$C$1:$BN$10,4,FALSE)</f>
        <v>-13</v>
      </c>
      <c r="AC19" s="166">
        <f>T19-HLOOKUP(V19,Minimas!$C$1:$BN$10,5,FALSE)</f>
        <v>-23</v>
      </c>
      <c r="AD19" s="166">
        <f>T19-HLOOKUP(V19,Minimas!$C$1:$BN$10,6,FALSE)</f>
        <v>-33</v>
      </c>
      <c r="AE19" s="166">
        <f>T19-HLOOKUP(V19,Minimas!$C$1:$BN$10,7,FALSE)</f>
        <v>-48</v>
      </c>
      <c r="AF19" s="166">
        <f>T19-HLOOKUP(V19,Minimas!$C$1:$BN$10,8,FALSE)</f>
        <v>-63</v>
      </c>
      <c r="AG19" s="166">
        <f>T19-HLOOKUP(V19,Minimas!$C$1:$BN$10,9,FALSE)</f>
        <v>-83</v>
      </c>
      <c r="AH19" s="166">
        <f>T19-HLOOKUP(V19,Minimas!$C$1:$BN$10,10,FALSE)</f>
        <v>-918</v>
      </c>
      <c r="AI19" s="165" t="str">
        <f t="shared" si="5"/>
        <v>DPT +</v>
      </c>
      <c r="AJ19" s="165"/>
      <c r="AK19" s="165" t="str">
        <f t="shared" si="6"/>
        <v>DPT +</v>
      </c>
      <c r="AL19" s="165">
        <f t="shared" si="7"/>
        <v>2</v>
      </c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</row>
    <row r="20" spans="1:126" s="5" customFormat="1" ht="30" customHeight="1" thickBot="1">
      <c r="B20" s="185"/>
      <c r="C20" s="41">
        <v>425234</v>
      </c>
      <c r="D20" s="194" t="e">
        <f>IF(S20="","",RANK(S20,$Y$8:$Y$10,0))</f>
        <v>#N/A</v>
      </c>
      <c r="E20" s="116" t="s">
        <v>118</v>
      </c>
      <c r="F20" s="42" t="s">
        <v>148</v>
      </c>
      <c r="G20" s="43" t="s">
        <v>149</v>
      </c>
      <c r="H20" s="128">
        <v>1984</v>
      </c>
      <c r="I20" s="187"/>
      <c r="J20" s="130" t="s">
        <v>118</v>
      </c>
      <c r="K20" s="157">
        <v>59</v>
      </c>
      <c r="L20" s="171">
        <v>20</v>
      </c>
      <c r="M20" s="171">
        <v>23</v>
      </c>
      <c r="N20" s="171">
        <v>26</v>
      </c>
      <c r="O20" s="44">
        <f t="shared" si="12"/>
        <v>26</v>
      </c>
      <c r="P20" s="171">
        <v>35</v>
      </c>
      <c r="Q20" s="171">
        <v>39</v>
      </c>
      <c r="R20" s="171">
        <v>42</v>
      </c>
      <c r="S20" s="44">
        <f t="shared" si="2"/>
        <v>42</v>
      </c>
      <c r="T20" s="67">
        <f t="shared" si="13"/>
        <v>68</v>
      </c>
      <c r="U20" s="45" t="str">
        <f t="shared" si="14"/>
        <v>DEB -7</v>
      </c>
      <c r="V20" s="121" t="str">
        <f>IF(H20=0," ",IF(E20="H",IF(OR(E20="SEN",H20&lt;1998),VLOOKUP(K20,Minimas!$A$11:$G$29,6),IF(AND(H20&gt;1997,H20&lt;2001),VLOOKUP(K20,Minimas!$A$11:$G$29,5),IF(AND(H20&gt;2000,H20&lt;2003),VLOOKUP(K20,Minimas!$A$11:$G$29,4),IF(AND(H20&gt;2002,H20&lt;2005),VLOOKUP(K20,Minimas!$A$11:$G$29,3),VLOOKUP(K20,Minimas!$A$11:$G$29,2))))),IF(OR(H20="SEN",H20&lt;1998),VLOOKUP(K20,Minimas!$G$11:$L$26,6),IF(AND(H20&gt;1997,H20&lt;2001),VLOOKUP(K20,Minimas!$G$11:$L$26,5),IF(AND(H20&gt;2000,H20&lt;2003),VLOOKUP(K20,Minimas!$G$11:$L$26,4),IF(AND(H20&gt;2002,H20&lt;2005),VLOOKUP(K20,Minimas!$G$11:$L$26,3),VLOOKUP(K20,Minimas!$G$11:$L$26,2)))))))</f>
        <v>FS 63</v>
      </c>
      <c r="W20" s="91">
        <f t="shared" si="15"/>
        <v>92.875015552037169</v>
      </c>
      <c r="X20" s="92"/>
      <c r="Y20" s="165"/>
      <c r="Z20" s="166">
        <f>T20-HLOOKUP(V20,Minimas!$C$1:$BN$10,2,FALSE)</f>
        <v>-7</v>
      </c>
      <c r="AA20" s="166">
        <f>T20-HLOOKUP(V20,Minimas!$C$1:$BN$10,3,FALSE)</f>
        <v>-17</v>
      </c>
      <c r="AB20" s="166">
        <f>T20-HLOOKUP(V20,Minimas!$C$1:$BN$10,4,FALSE)</f>
        <v>-27</v>
      </c>
      <c r="AC20" s="166">
        <f>T20-HLOOKUP(V20,Minimas!$C$1:$BN$10,5,FALSE)</f>
        <v>-42</v>
      </c>
      <c r="AD20" s="166">
        <f>T20-HLOOKUP(V20,Minimas!$C$1:$BN$10,6,FALSE)</f>
        <v>-62</v>
      </c>
      <c r="AE20" s="166">
        <f>T20-HLOOKUP(V20,Minimas!$C$1:$BN$10,7,FALSE)</f>
        <v>-82</v>
      </c>
      <c r="AF20" s="166">
        <f>T20-HLOOKUP(V20,Minimas!$C$1:$BN$10,8,FALSE)</f>
        <v>-102</v>
      </c>
      <c r="AG20" s="166">
        <f>T20-HLOOKUP(V20,Minimas!$C$1:$BN$10,9,FALSE)</f>
        <v>-122</v>
      </c>
      <c r="AH20" s="166">
        <f>T20-HLOOKUP(V20,Minimas!$C$1:$BN$10,10,FALSE)</f>
        <v>-137</v>
      </c>
      <c r="AI20" s="165" t="str">
        <f t="shared" si="5"/>
        <v>DEB</v>
      </c>
      <c r="AJ20" s="165"/>
      <c r="AK20" s="165" t="str">
        <f t="shared" si="6"/>
        <v>DEB</v>
      </c>
      <c r="AL20" s="165">
        <f t="shared" si="7"/>
        <v>-7</v>
      </c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</row>
    <row r="21" spans="1:126" s="11" customFormat="1" ht="7.5" customHeight="1" thickBot="1">
      <c r="A21" s="8"/>
      <c r="B21" s="49"/>
      <c r="C21" s="50"/>
      <c r="D21" s="94"/>
      <c r="E21" s="119"/>
      <c r="F21" s="53"/>
      <c r="G21" s="54"/>
      <c r="H21" s="127"/>
      <c r="I21" s="55"/>
      <c r="J21" s="124"/>
      <c r="K21" s="159"/>
      <c r="L21" s="93"/>
      <c r="M21" s="93"/>
      <c r="N21" s="93"/>
      <c r="O21" s="59"/>
      <c r="P21" s="93"/>
      <c r="Q21" s="93"/>
      <c r="R21" s="93"/>
      <c r="S21" s="59"/>
      <c r="T21" s="59"/>
      <c r="U21" s="52"/>
      <c r="V21" s="52"/>
      <c r="W21" s="60"/>
      <c r="X21" s="7"/>
      <c r="Y21" s="163"/>
      <c r="Z21" s="166"/>
      <c r="AA21" s="166"/>
      <c r="AB21" s="166"/>
      <c r="AC21" s="166"/>
      <c r="AD21" s="166"/>
      <c r="AE21" s="166"/>
      <c r="AF21" s="166"/>
      <c r="AG21" s="166"/>
      <c r="AH21" s="166"/>
      <c r="AI21" s="165"/>
      <c r="AJ21" s="165"/>
      <c r="AK21" s="165"/>
      <c r="AL21" s="165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</row>
    <row r="22" spans="1:126" s="5" customFormat="1" ht="30" customHeight="1">
      <c r="B22" s="142"/>
      <c r="C22" s="41"/>
      <c r="D22" s="143"/>
      <c r="E22" s="144" t="s">
        <v>118</v>
      </c>
      <c r="F22" s="42" t="s">
        <v>25</v>
      </c>
      <c r="G22" s="43" t="s">
        <v>25</v>
      </c>
      <c r="H22" s="126"/>
      <c r="I22" s="145"/>
      <c r="J22" s="123"/>
      <c r="K22" s="157"/>
      <c r="L22" s="146"/>
      <c r="M22" s="147"/>
      <c r="N22" s="147"/>
      <c r="O22" s="44" t="str">
        <f>IF(H22="","",IF(MAXA(L22:N22)&lt;=0,0,MAXA(L22:N22)))</f>
        <v/>
      </c>
      <c r="P22" s="146"/>
      <c r="Q22" s="147"/>
      <c r="R22" s="147"/>
      <c r="S22" s="44" t="str">
        <f>IF(H22="","",IF(MAXA(P22:R22)&lt;=0,0,MAXA(P22:R22)))</f>
        <v/>
      </c>
      <c r="T22" s="148" t="str">
        <f>IF(H22="","",IF(OR(O22=0,S22=0),0,O22+S22))</f>
        <v/>
      </c>
      <c r="U22" s="45" t="str">
        <f>+CONCATENATE(AK22," ",AL22)</f>
        <v xml:space="preserve">   </v>
      </c>
      <c r="V22" s="121" t="str">
        <f>IF(H22=0," ",IF(E22="H",IF(OR(E22="SEN",H22&lt;1998),VLOOKUP(K22,Minimas!$A$11:$G$29,6),IF(AND(H22&gt;1997,H22&lt;2001),VLOOKUP(K22,Minimas!$A$11:$G$29,5),IF(AND(H22&gt;2000,H22&lt;2003),VLOOKUP(K22,Minimas!$A$11:$G$29,4),IF(AND(H22&gt;2002,H22&lt;2005),VLOOKUP(K22,Minimas!$A$11:$G$29,3),VLOOKUP(K22,Minimas!$A$11:$G$29,2))))),IF(OR(H22="SEN",H22&lt;1998),VLOOKUP(K22,Minimas!$G$11:$L$26,6),IF(AND(H22&gt;1997,H22&lt;2001),VLOOKUP(K22,Minimas!$G$11:$L$26,5),IF(AND(H22&gt;2000,H22&lt;2003),VLOOKUP(K22,Minimas!$G$11:$L$26,4),IF(AND(H22&gt;2002,H22&lt;2005),VLOOKUP(K22,Minimas!$G$11:$L$26,3),VLOOKUP(K22,Minimas!$G$11:$L$26,2)))))))</f>
        <v xml:space="preserve"> </v>
      </c>
      <c r="W22" s="91" t="str">
        <f>IF(H22=0," ",IF(E22="H",10^(0.75194503*LOG(K22/175.508)^2)*T22,IF(E22="F",10^(0.783497476* LOG(K22/153.655)^2)*T22,"")))</f>
        <v xml:space="preserve"> </v>
      </c>
      <c r="X22" s="92"/>
      <c r="Y22" s="165"/>
      <c r="Z22" s="166" t="e">
        <f>T22-HLOOKUP(V22,Minimas!$C$1:$BN$10,2,FALSE)</f>
        <v>#VALUE!</v>
      </c>
      <c r="AA22" s="166" t="e">
        <f>T22-HLOOKUP(V22,Minimas!$C$1:$BN$10,3,FALSE)</f>
        <v>#VALUE!</v>
      </c>
      <c r="AB22" s="166" t="e">
        <f>T22-HLOOKUP(V22,Minimas!$C$1:$BN$10,4,FALSE)</f>
        <v>#VALUE!</v>
      </c>
      <c r="AC22" s="166" t="e">
        <f>T22-HLOOKUP(V22,Minimas!$C$1:$BN$10,5,FALSE)</f>
        <v>#VALUE!</v>
      </c>
      <c r="AD22" s="166" t="e">
        <f>T22-HLOOKUP(V22,Minimas!$C$1:$BN$10,6,FALSE)</f>
        <v>#VALUE!</v>
      </c>
      <c r="AE22" s="166" t="e">
        <f>T22-HLOOKUP(V22,Minimas!$C$1:$BN$10,7,FALSE)</f>
        <v>#VALUE!</v>
      </c>
      <c r="AF22" s="166" t="e">
        <f>T22-HLOOKUP(V22,Minimas!$C$1:$BN$10,8,FALSE)</f>
        <v>#VALUE!</v>
      </c>
      <c r="AG22" s="166" t="e">
        <f>T22-HLOOKUP(V22,Minimas!$C$1:$BN$10,9,FALSE)</f>
        <v>#VALUE!</v>
      </c>
      <c r="AH22" s="166" t="e">
        <f>T22-HLOOKUP(V22,Minimas!$C$1:$BN$10,10,FALSE)</f>
        <v>#VALUE!</v>
      </c>
      <c r="AI22" s="165" t="str">
        <f t="shared" si="5"/>
        <v xml:space="preserve"> </v>
      </c>
      <c r="AJ22" s="165"/>
      <c r="AK22" s="165" t="str">
        <f>IF(AI22="","",AI22)</f>
        <v xml:space="preserve"> </v>
      </c>
      <c r="AL22" s="165" t="str">
        <f>IF(H22=0," ",IF(AH22&gt;=0,AH22,IF(AG22&gt;=0,AG22,IF(AF22&gt;=0,AF22,IF(AE22&gt;=0,AE22,IF(AD22&gt;=0,AD22,IF(AC22&gt;=0,AC22,IF(AB22&gt;=0,AB22,IF(AA22&gt;=0,AA22,Z22)))))))))</f>
        <v xml:space="preserve"> </v>
      </c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</row>
    <row r="23" spans="1:126" s="5" customFormat="1" ht="30" customHeight="1">
      <c r="B23" s="142"/>
      <c r="C23" s="46"/>
      <c r="D23" s="149"/>
      <c r="E23" s="150" t="s">
        <v>118</v>
      </c>
      <c r="F23" s="47" t="s">
        <v>25</v>
      </c>
      <c r="G23" s="48" t="s">
        <v>25</v>
      </c>
      <c r="H23" s="151"/>
      <c r="I23" s="152"/>
      <c r="J23" s="153"/>
      <c r="K23" s="158"/>
      <c r="L23" s="154"/>
      <c r="M23" s="155"/>
      <c r="N23" s="155"/>
      <c r="O23" s="44" t="str">
        <f>IF(H23="","",IF(MAXA(L23:N23)&lt;=0,0,MAXA(L23:N23)))</f>
        <v/>
      </c>
      <c r="P23" s="154"/>
      <c r="Q23" s="155"/>
      <c r="R23" s="155"/>
      <c r="S23" s="44" t="str">
        <f>IF(H23="","",IF(MAXA(P23:R23)&lt;=0,0,MAXA(P23:R23)))</f>
        <v/>
      </c>
      <c r="T23" s="148" t="str">
        <f>IF(H23="","",IF(OR(O23=0,S23=0),0,O23+S23))</f>
        <v/>
      </c>
      <c r="U23" s="45" t="str">
        <f>+CONCATENATE(AK23," ",AL23)</f>
        <v xml:space="preserve">   </v>
      </c>
      <c r="V23" s="121" t="str">
        <f>IF(H23=0," ",IF(E23="H",IF(OR(E23="SEN",H23&lt;1998),VLOOKUP(K23,Minimas!$A$11:$G$29,6),IF(AND(H23&gt;1997,H23&lt;2001),VLOOKUP(K23,Minimas!$A$11:$G$29,5),IF(AND(H23&gt;2000,H23&lt;2003),VLOOKUP(K23,Minimas!$A$11:$G$29,4),IF(AND(H23&gt;2002,H23&lt;2005),VLOOKUP(K23,Minimas!$A$11:$G$29,3),VLOOKUP(K23,Minimas!$A$11:$G$29,2))))),IF(OR(H23="SEN",H23&lt;1998),VLOOKUP(K23,Minimas!$G$11:$L$26,6),IF(AND(H23&gt;1997,H23&lt;2001),VLOOKUP(K23,Minimas!$G$11:$L$26,5),IF(AND(H23&gt;2000,H23&lt;2003),VLOOKUP(K23,Minimas!$G$11:$L$26,4),IF(AND(H23&gt;2002,H23&lt;2005),VLOOKUP(K23,Minimas!$G$11:$L$26,3),VLOOKUP(K23,Minimas!$G$11:$L$26,2)))))))</f>
        <v xml:space="preserve"> </v>
      </c>
      <c r="W23" s="91" t="str">
        <f>IF(H23=0," ",IF(E23="H",10^(0.75194503*LOG(K23/175.508)^2)*T23,IF(E23="F",10^(0.783497476* LOG(K23/153.655)^2)*T23,"")))</f>
        <v xml:space="preserve"> </v>
      </c>
      <c r="X23" s="92"/>
      <c r="Y23" s="165"/>
      <c r="Z23" s="166" t="e">
        <f>T23-HLOOKUP(V23,Minimas!$C$1:$BN$10,2,FALSE)</f>
        <v>#VALUE!</v>
      </c>
      <c r="AA23" s="166" t="e">
        <f>T23-HLOOKUP(V23,Minimas!$C$1:$BN$10,3,FALSE)</f>
        <v>#VALUE!</v>
      </c>
      <c r="AB23" s="166" t="e">
        <f>T23-HLOOKUP(V23,Minimas!$C$1:$BN$10,4,FALSE)</f>
        <v>#VALUE!</v>
      </c>
      <c r="AC23" s="166" t="e">
        <f>T23-HLOOKUP(V23,Minimas!$C$1:$BN$10,5,FALSE)</f>
        <v>#VALUE!</v>
      </c>
      <c r="AD23" s="166" t="e">
        <f>T23-HLOOKUP(V23,Minimas!$C$1:$BN$10,6,FALSE)</f>
        <v>#VALUE!</v>
      </c>
      <c r="AE23" s="166" t="e">
        <f>T23-HLOOKUP(V23,Minimas!$C$1:$BN$10,7,FALSE)</f>
        <v>#VALUE!</v>
      </c>
      <c r="AF23" s="166" t="e">
        <f>T23-HLOOKUP(V23,Minimas!$C$1:$BN$10,8,FALSE)</f>
        <v>#VALUE!</v>
      </c>
      <c r="AG23" s="166" t="e">
        <f>T23-HLOOKUP(V23,Minimas!$C$1:$BN$10,9,FALSE)</f>
        <v>#VALUE!</v>
      </c>
      <c r="AH23" s="166" t="e">
        <f>T23-HLOOKUP(V23,Minimas!$C$1:$BN$10,10,FALSE)</f>
        <v>#VALUE!</v>
      </c>
      <c r="AI23" s="165" t="str">
        <f t="shared" ref="AI23:AI24" si="16">IF(K23=0," ",IF(AH23&gt;=0,$AH$5,IF(AG23&gt;=0,$AG$5,IF(AF23&gt;=0,$AF$5,IF(AE23&gt;=0,$AE$5,IF(AD23&gt;=0,$AD$5,IF(AC23&gt;=0,$AC$5,IF(AB23&gt;=0,$AB$5,IF(AA23&gt;=0,$AA$5,$Z$5)))))))))</f>
        <v xml:space="preserve"> </v>
      </c>
      <c r="AJ23" s="165"/>
      <c r="AK23" s="165" t="str">
        <f t="shared" ref="AK23:AK24" si="17">IF(AI23="","",AI23)</f>
        <v xml:space="preserve"> </v>
      </c>
      <c r="AL23" s="165" t="str">
        <f t="shared" ref="AL23:AL24" si="18">IF(H23=0," ",IF(AH23&gt;=0,AH23,IF(AG23&gt;=0,AG23,IF(AF23&gt;=0,AF23,IF(AE23&gt;=0,AE23,IF(AD23&gt;=0,AD23,IF(AC23&gt;=0,AC23,IF(AB23&gt;=0,AB23,IF(AA23&gt;=0,AA23,Z23)))))))))</f>
        <v xml:space="preserve"> </v>
      </c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</row>
    <row r="24" spans="1:126" s="5" customFormat="1" ht="30" customHeight="1" thickBot="1">
      <c r="B24" s="142"/>
      <c r="C24" s="46"/>
      <c r="D24" s="149"/>
      <c r="E24" s="150" t="s">
        <v>118</v>
      </c>
      <c r="F24" s="47" t="s">
        <v>25</v>
      </c>
      <c r="G24" s="48" t="s">
        <v>25</v>
      </c>
      <c r="H24" s="151"/>
      <c r="I24" s="152" t="s">
        <v>25</v>
      </c>
      <c r="J24" s="153" t="s">
        <v>25</v>
      </c>
      <c r="K24" s="158"/>
      <c r="L24" s="154"/>
      <c r="M24" s="155"/>
      <c r="N24" s="155"/>
      <c r="O24" s="44" t="str">
        <f>IF(H24="","",IF(MAXA(L24:N24)&lt;=0,0,MAXA(L24:N24)))</f>
        <v/>
      </c>
      <c r="P24" s="154"/>
      <c r="Q24" s="155"/>
      <c r="R24" s="155"/>
      <c r="S24" s="44" t="str">
        <f>IF(H24="","",IF(MAXA(P24:R24)&lt;=0,0,MAXA(P24:R24)))</f>
        <v/>
      </c>
      <c r="T24" s="148" t="str">
        <f>IF(H24="","",IF(OR(O24=0,S24=0),0,O24+S24))</f>
        <v/>
      </c>
      <c r="U24" s="45" t="str">
        <f>+CONCATENATE(AK24," ",AL24)</f>
        <v xml:space="preserve">   </v>
      </c>
      <c r="V24" s="121" t="str">
        <f>IF(H24=0," ",IF(E24="H",IF(OR(E24="SEN",H24&lt;1998),VLOOKUP(K24,Minimas!$A$11:$G$29,6),IF(AND(H24&gt;1997,H24&lt;2001),VLOOKUP(K24,Minimas!$A$11:$G$29,5),IF(AND(H24&gt;2000,H24&lt;2003),VLOOKUP(K24,Minimas!$A$11:$G$29,4),IF(AND(H24&gt;2002,H24&lt;2005),VLOOKUP(K24,Minimas!$A$11:$G$29,3),VLOOKUP(K24,Minimas!$A$11:$G$29,2))))),IF(OR(H24="SEN",H24&lt;1998),VLOOKUP(K24,Minimas!$G$11:$L$26,6),IF(AND(H24&gt;1997,H24&lt;2001),VLOOKUP(K24,Minimas!$G$11:$L$26,5),IF(AND(H24&gt;2000,H24&lt;2003),VLOOKUP(K24,Minimas!$G$11:$L$26,4),IF(AND(H24&gt;2002,H24&lt;2005),VLOOKUP(K24,Minimas!$G$11:$L$26,3),VLOOKUP(K24,Minimas!$G$11:$L$26,2)))))))</f>
        <v xml:space="preserve"> </v>
      </c>
      <c r="W24" s="91" t="str">
        <f>IF(H24=0," ",IF(E24="H",10^(0.75194503*LOG(K24/175.508)^2)*T24,IF(E24="F",10^(0.783497476* LOG(K24/153.655)^2)*T24,"")))</f>
        <v xml:space="preserve"> </v>
      </c>
      <c r="X24" s="92"/>
      <c r="Y24" s="165"/>
      <c r="Z24" s="166" t="e">
        <f>T24-HLOOKUP(V24,Minimas!$C$1:$BN$10,2,FALSE)</f>
        <v>#VALUE!</v>
      </c>
      <c r="AA24" s="166" t="e">
        <f>T24-HLOOKUP(V24,Minimas!$C$1:$BN$10,3,FALSE)</f>
        <v>#VALUE!</v>
      </c>
      <c r="AB24" s="166" t="e">
        <f>T24-HLOOKUP(V24,Minimas!$C$1:$BN$10,4,FALSE)</f>
        <v>#VALUE!</v>
      </c>
      <c r="AC24" s="166" t="e">
        <f>T24-HLOOKUP(V24,Minimas!$C$1:$BN$10,5,FALSE)</f>
        <v>#VALUE!</v>
      </c>
      <c r="AD24" s="166" t="e">
        <f>T24-HLOOKUP(V24,Minimas!$C$1:$BN$10,6,FALSE)</f>
        <v>#VALUE!</v>
      </c>
      <c r="AE24" s="166" t="e">
        <f>T24-HLOOKUP(V24,Minimas!$C$1:$BN$10,7,FALSE)</f>
        <v>#VALUE!</v>
      </c>
      <c r="AF24" s="166" t="e">
        <f>T24-HLOOKUP(V24,Minimas!$C$1:$BN$10,8,FALSE)</f>
        <v>#VALUE!</v>
      </c>
      <c r="AG24" s="166" t="e">
        <f>T24-HLOOKUP(V24,Minimas!$C$1:$BN$10,9,FALSE)</f>
        <v>#VALUE!</v>
      </c>
      <c r="AH24" s="166" t="e">
        <f>T24-HLOOKUP(V24,Minimas!$C$1:$BN$10,10,FALSE)</f>
        <v>#VALUE!</v>
      </c>
      <c r="AI24" s="165" t="str">
        <f t="shared" si="16"/>
        <v xml:space="preserve"> </v>
      </c>
      <c r="AJ24" s="165"/>
      <c r="AK24" s="165" t="str">
        <f t="shared" si="17"/>
        <v xml:space="preserve"> </v>
      </c>
      <c r="AL24" s="165" t="str">
        <f t="shared" si="18"/>
        <v xml:space="preserve"> </v>
      </c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</row>
    <row r="25" spans="1:126" s="11" customFormat="1" ht="5.0999999999999996" customHeight="1">
      <c r="A25" s="8"/>
      <c r="B25" s="69"/>
      <c r="C25" s="70"/>
      <c r="D25" s="71"/>
      <c r="E25" s="71"/>
      <c r="F25" s="72"/>
      <c r="G25" s="73"/>
      <c r="H25" s="74"/>
      <c r="I25" s="75"/>
      <c r="J25" s="76"/>
      <c r="K25" s="77"/>
      <c r="L25" s="78"/>
      <c r="M25" s="78"/>
      <c r="N25" s="78"/>
      <c r="O25" s="79"/>
      <c r="P25" s="78"/>
      <c r="Q25" s="78"/>
      <c r="R25" s="78"/>
      <c r="S25" s="79"/>
      <c r="T25" s="79"/>
      <c r="U25" s="80"/>
      <c r="V25" s="72"/>
      <c r="W25" s="72"/>
      <c r="X25" s="7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</row>
    <row r="26" spans="1:126" s="16" customFormat="1" ht="22.5" customHeight="1">
      <c r="A26" s="15"/>
      <c r="B26" s="173" t="s">
        <v>16</v>
      </c>
      <c r="C26" s="174"/>
      <c r="D26" s="174"/>
      <c r="E26" s="174"/>
      <c r="F26" s="174"/>
      <c r="G26" s="174"/>
      <c r="H26" s="174"/>
      <c r="I26" s="174"/>
      <c r="J26" s="174"/>
      <c r="K26" s="174"/>
      <c r="L26" s="175"/>
      <c r="N26" s="18"/>
      <c r="O26" s="133"/>
      <c r="P26" s="85" t="s">
        <v>17</v>
      </c>
      <c r="Q26" s="208" t="s">
        <v>152</v>
      </c>
      <c r="R26" s="208"/>
      <c r="S26" s="208"/>
      <c r="T26" s="208"/>
      <c r="U26" s="208"/>
      <c r="V26" s="208"/>
      <c r="W26" s="209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</row>
    <row r="27" spans="1:126" s="17" customFormat="1" ht="22.5" customHeight="1">
      <c r="A27" s="15"/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8"/>
      <c r="N27" s="18"/>
      <c r="O27" s="134"/>
      <c r="P27" s="86" t="s">
        <v>18</v>
      </c>
      <c r="Q27" s="182" t="s">
        <v>153</v>
      </c>
      <c r="R27" s="182"/>
      <c r="S27" s="182"/>
      <c r="T27" s="182"/>
      <c r="U27" s="182"/>
      <c r="V27" s="182"/>
      <c r="W27" s="207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</row>
    <row r="28" spans="1:126" s="18" customFormat="1" ht="22.5" customHeight="1">
      <c r="A28" s="15"/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8"/>
      <c r="O28" s="134"/>
      <c r="P28" s="86" t="s">
        <v>19</v>
      </c>
      <c r="Q28" s="182" t="s">
        <v>154</v>
      </c>
      <c r="R28" s="182"/>
      <c r="S28" s="182"/>
      <c r="T28" s="182"/>
      <c r="U28" s="182"/>
      <c r="V28" s="182"/>
      <c r="W28" s="207"/>
      <c r="X28" s="16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</row>
    <row r="29" spans="1:126" s="18" customFormat="1" ht="22.5" customHeight="1">
      <c r="A29" s="15"/>
      <c r="B29" s="176"/>
      <c r="C29" s="177"/>
      <c r="D29" s="177"/>
      <c r="E29" s="177"/>
      <c r="F29" s="177"/>
      <c r="G29" s="177"/>
      <c r="H29" s="177"/>
      <c r="I29" s="177"/>
      <c r="J29" s="177"/>
      <c r="K29" s="177"/>
      <c r="L29" s="178"/>
      <c r="O29" s="134"/>
      <c r="P29" s="86" t="s">
        <v>20</v>
      </c>
      <c r="Q29" s="182" t="s">
        <v>155</v>
      </c>
      <c r="R29" s="182"/>
      <c r="S29" s="182"/>
      <c r="T29" s="182"/>
      <c r="U29" s="182"/>
      <c r="V29" s="182"/>
      <c r="W29" s="207"/>
      <c r="X29" s="16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</row>
    <row r="30" spans="1:126" s="18" customFormat="1" ht="22.5" customHeight="1">
      <c r="B30" s="176"/>
      <c r="C30" s="177"/>
      <c r="D30" s="177"/>
      <c r="E30" s="177"/>
      <c r="F30" s="177"/>
      <c r="G30" s="177"/>
      <c r="H30" s="177"/>
      <c r="I30" s="177"/>
      <c r="J30" s="177"/>
      <c r="K30" s="177"/>
      <c r="L30" s="178"/>
      <c r="O30" s="134"/>
      <c r="P30" s="86" t="s">
        <v>21</v>
      </c>
      <c r="Q30" s="182"/>
      <c r="R30" s="182"/>
      <c r="S30" s="182"/>
      <c r="T30" s="182"/>
      <c r="U30" s="182"/>
      <c r="V30" s="182"/>
      <c r="W30" s="207"/>
      <c r="X30" s="16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</row>
    <row r="31" spans="1:126" ht="22.5" customHeight="1">
      <c r="A31" s="6"/>
      <c r="B31" s="176"/>
      <c r="C31" s="177"/>
      <c r="D31" s="177"/>
      <c r="E31" s="177"/>
      <c r="F31" s="177"/>
      <c r="G31" s="177"/>
      <c r="H31" s="177"/>
      <c r="I31" s="177"/>
      <c r="J31" s="177"/>
      <c r="K31" s="177"/>
      <c r="L31" s="178"/>
      <c r="M31" s="18"/>
      <c r="N31" s="18"/>
      <c r="O31" s="134"/>
      <c r="P31" s="86" t="s">
        <v>22</v>
      </c>
      <c r="Q31" s="182"/>
      <c r="R31" s="182"/>
      <c r="S31" s="182"/>
      <c r="T31" s="182"/>
      <c r="U31" s="182"/>
      <c r="V31" s="182"/>
      <c r="W31" s="207"/>
    </row>
    <row r="32" spans="1:126" ht="22.5" customHeight="1">
      <c r="A32" s="6"/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8"/>
      <c r="M32" s="18"/>
      <c r="N32" s="18"/>
      <c r="O32" s="134"/>
      <c r="P32" s="86" t="s">
        <v>23</v>
      </c>
      <c r="Q32" s="182" t="s">
        <v>156</v>
      </c>
      <c r="R32" s="182"/>
      <c r="S32" s="182"/>
      <c r="T32" s="182"/>
      <c r="U32" s="182"/>
      <c r="V32" s="182"/>
      <c r="W32" s="207"/>
    </row>
    <row r="33" spans="1:38" ht="22.5" customHeight="1">
      <c r="A33" s="6"/>
      <c r="B33" s="179"/>
      <c r="C33" s="180"/>
      <c r="D33" s="180"/>
      <c r="E33" s="180"/>
      <c r="F33" s="180"/>
      <c r="G33" s="180"/>
      <c r="H33" s="180"/>
      <c r="I33" s="180"/>
      <c r="J33" s="180"/>
      <c r="K33" s="180"/>
      <c r="L33" s="181"/>
      <c r="M33" s="18"/>
      <c r="N33" s="18"/>
      <c r="O33" s="135"/>
      <c r="P33" s="87" t="s">
        <v>24</v>
      </c>
      <c r="Q33" s="205"/>
      <c r="R33" s="205"/>
      <c r="S33" s="205"/>
      <c r="T33" s="205"/>
      <c r="U33" s="205"/>
      <c r="V33" s="205"/>
      <c r="W33" s="206"/>
    </row>
    <row r="34" spans="1:38" s="18" customFormat="1" ht="10.15" customHeight="1">
      <c r="P34" s="15"/>
      <c r="X34" s="16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</row>
    <row r="35" spans="1:38">
      <c r="A35" s="6"/>
      <c r="O35" s="1"/>
    </row>
    <row r="36" spans="1:38">
      <c r="A36" s="6"/>
    </row>
  </sheetData>
  <mergeCells count="36">
    <mergeCell ref="U33:W33"/>
    <mergeCell ref="U31:W31"/>
    <mergeCell ref="U32:W32"/>
    <mergeCell ref="Q33:T33"/>
    <mergeCell ref="U26:W26"/>
    <mergeCell ref="U27:W27"/>
    <mergeCell ref="U28:W28"/>
    <mergeCell ref="U29:W29"/>
    <mergeCell ref="U30:W30"/>
    <mergeCell ref="Q26:T26"/>
    <mergeCell ref="Q27:T27"/>
    <mergeCell ref="F5:G5"/>
    <mergeCell ref="V2:W2"/>
    <mergeCell ref="V3:W3"/>
    <mergeCell ref="D2:K3"/>
    <mergeCell ref="M2:N3"/>
    <mergeCell ref="P2:T2"/>
    <mergeCell ref="P3:T3"/>
    <mergeCell ref="B7:B10"/>
    <mergeCell ref="B12:B15"/>
    <mergeCell ref="B17:B20"/>
    <mergeCell ref="I9:I10"/>
    <mergeCell ref="I7:I8"/>
    <mergeCell ref="I12:I13"/>
    <mergeCell ref="I14:I15"/>
    <mergeCell ref="I17:I18"/>
    <mergeCell ref="I19:I20"/>
    <mergeCell ref="D7:D10"/>
    <mergeCell ref="D12:D15"/>
    <mergeCell ref="D17:D20"/>
    <mergeCell ref="B26:L33"/>
    <mergeCell ref="Q28:T28"/>
    <mergeCell ref="Q29:T29"/>
    <mergeCell ref="Q30:T30"/>
    <mergeCell ref="Q31:T31"/>
    <mergeCell ref="Q32:T32"/>
  </mergeCells>
  <phoneticPr fontId="0" type="noConversion"/>
  <conditionalFormatting sqref="L7:N24 P7:R24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61" orientation="landscape" horizontalDpi="4294967293" verticalDpi="180" r:id="rId1"/>
  <headerFooter alignWithMargins="0"/>
  <ignoredErrors>
    <ignoredError sqref="D8:E8 S8:W8 D7:E7 D9:E9 I9 S9:W9 D12:E12 D20:E20 D17 D15:E15 S7:T7 D10:E10 S15:W15 S12:W12 S20:W20 S13:W14 S17:W17 S18:W19 S10:W10 I8 V7:W7 I10 D13:E13 I13 D14:E14 I14 I15 D18:E18 I18 D19:E19 I19 I20" unlockedFormula="1"/>
    <ignoredError sqref="O7:O9 O15 O18:O19 O10 O13:O14 O17 O12" formulaRange="1" unlockedFormula="1"/>
    <ignoredError sqref="U7" evalError="1"/>
    <ignoredError sqref="O20 O22:O2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N29"/>
  <sheetViews>
    <sheetView workbookViewId="0">
      <selection activeCell="B7" sqref="B7"/>
    </sheetView>
  </sheetViews>
  <sheetFormatPr baseColWidth="10" defaultRowHeight="12.75"/>
  <sheetData>
    <row r="1" spans="1:66">
      <c r="C1" s="97" t="s">
        <v>38</v>
      </c>
      <c r="D1" s="97" t="s">
        <v>39</v>
      </c>
      <c r="E1" s="97" t="s">
        <v>40</v>
      </c>
      <c r="F1" s="97" t="s">
        <v>41</v>
      </c>
      <c r="G1" s="97" t="s">
        <v>42</v>
      </c>
      <c r="H1" s="97" t="s">
        <v>43</v>
      </c>
      <c r="I1" s="97" t="s">
        <v>44</v>
      </c>
      <c r="J1" s="97" t="s">
        <v>45</v>
      </c>
      <c r="K1" s="97" t="s">
        <v>46</v>
      </c>
      <c r="L1" s="97" t="s">
        <v>47</v>
      </c>
      <c r="M1" s="97" t="s">
        <v>48</v>
      </c>
      <c r="N1" s="97" t="s">
        <v>49</v>
      </c>
      <c r="O1" s="97" t="s">
        <v>50</v>
      </c>
      <c r="P1" s="97" t="s">
        <v>51</v>
      </c>
      <c r="Q1" s="97" t="s">
        <v>52</v>
      </c>
      <c r="R1" s="97" t="s">
        <v>53</v>
      </c>
      <c r="S1" s="97" t="s">
        <v>54</v>
      </c>
      <c r="T1" s="97" t="s">
        <v>55</v>
      </c>
      <c r="U1" s="97" t="s">
        <v>56</v>
      </c>
      <c r="V1" s="97" t="s">
        <v>57</v>
      </c>
      <c r="W1" s="97" t="s">
        <v>58</v>
      </c>
      <c r="X1" s="97" t="s">
        <v>59</v>
      </c>
      <c r="Y1" s="97" t="s">
        <v>60</v>
      </c>
      <c r="Z1" s="97" t="s">
        <v>61</v>
      </c>
      <c r="AA1" s="97" t="s">
        <v>62</v>
      </c>
      <c r="AB1" s="97" t="s">
        <v>63</v>
      </c>
      <c r="AC1" s="97" t="s">
        <v>64</v>
      </c>
      <c r="AD1" s="97" t="s">
        <v>65</v>
      </c>
      <c r="AE1" s="97" t="s">
        <v>66</v>
      </c>
      <c r="AF1" s="97" t="s">
        <v>67</v>
      </c>
      <c r="AG1" s="97" t="s">
        <v>68</v>
      </c>
      <c r="AH1" s="97" t="s">
        <v>69</v>
      </c>
      <c r="AI1" s="97" t="s">
        <v>70</v>
      </c>
      <c r="AJ1" s="97" t="s">
        <v>71</v>
      </c>
      <c r="AK1" s="97" t="s">
        <v>72</v>
      </c>
      <c r="AL1" s="97" t="s">
        <v>73</v>
      </c>
      <c r="AM1" s="97" t="s">
        <v>74</v>
      </c>
      <c r="AN1" s="97" t="s">
        <v>75</v>
      </c>
      <c r="AO1" s="97" t="s">
        <v>76</v>
      </c>
      <c r="AP1" s="97" t="s">
        <v>77</v>
      </c>
      <c r="AQ1" s="97" t="s">
        <v>78</v>
      </c>
      <c r="AR1" s="97" t="s">
        <v>79</v>
      </c>
      <c r="AS1" s="97" t="s">
        <v>80</v>
      </c>
      <c r="AT1" s="97" t="s">
        <v>81</v>
      </c>
      <c r="AU1" s="97" t="s">
        <v>82</v>
      </c>
      <c r="AV1" s="97" t="s">
        <v>83</v>
      </c>
      <c r="AW1" s="97" t="s">
        <v>84</v>
      </c>
      <c r="AX1" s="97" t="s">
        <v>85</v>
      </c>
      <c r="AY1" s="97" t="s">
        <v>86</v>
      </c>
      <c r="AZ1" s="97" t="s">
        <v>87</v>
      </c>
      <c r="BA1" s="97" t="s">
        <v>88</v>
      </c>
      <c r="BB1" s="97" t="s">
        <v>89</v>
      </c>
      <c r="BC1" s="97" t="s">
        <v>90</v>
      </c>
      <c r="BD1" s="97" t="s">
        <v>91</v>
      </c>
      <c r="BE1" s="97" t="s">
        <v>92</v>
      </c>
      <c r="BF1" s="97" t="s">
        <v>93</v>
      </c>
      <c r="BG1" s="97" t="s">
        <v>94</v>
      </c>
      <c r="BH1" s="97" t="s">
        <v>95</v>
      </c>
      <c r="BI1" s="97" t="s">
        <v>96</v>
      </c>
      <c r="BJ1" s="97" t="s">
        <v>97</v>
      </c>
      <c r="BK1" s="97" t="s">
        <v>98</v>
      </c>
      <c r="BL1" s="97" t="s">
        <v>99</v>
      </c>
      <c r="BM1" s="97" t="s">
        <v>100</v>
      </c>
      <c r="BN1" s="97" t="s">
        <v>101</v>
      </c>
    </row>
    <row r="2" spans="1:66">
      <c r="B2" s="97" t="s">
        <v>102</v>
      </c>
      <c r="C2" s="98">
        <v>20</v>
      </c>
      <c r="D2" s="98">
        <v>25</v>
      </c>
      <c r="E2" s="98">
        <v>30</v>
      </c>
      <c r="F2" s="98">
        <v>35</v>
      </c>
      <c r="G2" s="98">
        <v>40</v>
      </c>
      <c r="H2" s="98">
        <v>45</v>
      </c>
      <c r="I2" s="98">
        <v>50</v>
      </c>
      <c r="J2" s="98">
        <v>60</v>
      </c>
      <c r="K2" s="99">
        <v>30</v>
      </c>
      <c r="L2" s="99">
        <v>35</v>
      </c>
      <c r="M2" s="99">
        <v>45</v>
      </c>
      <c r="N2" s="99">
        <v>50</v>
      </c>
      <c r="O2" s="99">
        <v>55</v>
      </c>
      <c r="P2" s="99">
        <v>60</v>
      </c>
      <c r="Q2" s="99">
        <v>65</v>
      </c>
      <c r="R2" s="99">
        <v>70</v>
      </c>
      <c r="S2" s="100">
        <v>45</v>
      </c>
      <c r="T2" s="100">
        <v>55</v>
      </c>
      <c r="U2" s="100">
        <v>60</v>
      </c>
      <c r="V2" s="100">
        <v>65</v>
      </c>
      <c r="W2" s="100">
        <v>70</v>
      </c>
      <c r="X2" s="100">
        <v>80</v>
      </c>
      <c r="Y2" s="100">
        <v>85</v>
      </c>
      <c r="Z2" s="100">
        <v>90</v>
      </c>
      <c r="AA2" s="101">
        <v>55</v>
      </c>
      <c r="AB2" s="101">
        <v>65</v>
      </c>
      <c r="AC2" s="101">
        <v>70</v>
      </c>
      <c r="AD2" s="101">
        <v>75</v>
      </c>
      <c r="AE2" s="101">
        <v>80</v>
      </c>
      <c r="AF2" s="101">
        <v>90</v>
      </c>
      <c r="AG2" s="101">
        <v>95</v>
      </c>
      <c r="AH2" s="101">
        <v>100</v>
      </c>
      <c r="AI2" s="99">
        <v>35</v>
      </c>
      <c r="AJ2" s="99">
        <v>40</v>
      </c>
      <c r="AK2" s="99">
        <v>50</v>
      </c>
      <c r="AL2" s="99">
        <v>75</v>
      </c>
      <c r="AM2" s="99">
        <v>85</v>
      </c>
      <c r="AN2" s="99">
        <v>90</v>
      </c>
      <c r="AO2" s="99">
        <v>100</v>
      </c>
      <c r="AP2" s="99">
        <v>110</v>
      </c>
      <c r="AQ2" s="102">
        <v>45</v>
      </c>
      <c r="AR2" s="102">
        <v>65</v>
      </c>
      <c r="AS2" s="102">
        <v>85</v>
      </c>
      <c r="AT2" s="102">
        <v>95</v>
      </c>
      <c r="AU2" s="102">
        <v>110</v>
      </c>
      <c r="AV2" s="102">
        <v>120</v>
      </c>
      <c r="AW2" s="102">
        <v>125</v>
      </c>
      <c r="AX2" s="102">
        <v>135</v>
      </c>
      <c r="AY2" s="99">
        <v>80</v>
      </c>
      <c r="AZ2" s="99">
        <v>90</v>
      </c>
      <c r="BA2" s="99">
        <v>110</v>
      </c>
      <c r="BB2" s="99">
        <v>130</v>
      </c>
      <c r="BC2" s="99">
        <v>145</v>
      </c>
      <c r="BD2" s="99">
        <v>150</v>
      </c>
      <c r="BE2" s="99">
        <v>155</v>
      </c>
      <c r="BF2" s="99">
        <v>165</v>
      </c>
      <c r="BG2" s="103">
        <v>95</v>
      </c>
      <c r="BH2" s="103">
        <v>115</v>
      </c>
      <c r="BI2" s="103">
        <v>130</v>
      </c>
      <c r="BJ2" s="103">
        <v>150</v>
      </c>
      <c r="BK2" s="103">
        <v>165</v>
      </c>
      <c r="BL2" s="103">
        <v>170</v>
      </c>
      <c r="BM2" s="103">
        <v>175</v>
      </c>
      <c r="BN2" s="103">
        <v>185</v>
      </c>
    </row>
    <row r="3" spans="1:66">
      <c r="B3" t="s">
        <v>103</v>
      </c>
      <c r="C3" s="98">
        <v>25</v>
      </c>
      <c r="D3" s="98">
        <v>30</v>
      </c>
      <c r="E3" s="98">
        <v>35</v>
      </c>
      <c r="F3" s="98">
        <v>45</v>
      </c>
      <c r="G3" s="98">
        <v>50</v>
      </c>
      <c r="H3" s="98">
        <v>55</v>
      </c>
      <c r="I3" s="98">
        <v>60</v>
      </c>
      <c r="J3" s="98">
        <v>70</v>
      </c>
      <c r="K3" s="99">
        <v>40</v>
      </c>
      <c r="L3" s="99">
        <v>45</v>
      </c>
      <c r="M3" s="99">
        <v>55</v>
      </c>
      <c r="N3" s="99">
        <v>60</v>
      </c>
      <c r="O3" s="99">
        <v>65</v>
      </c>
      <c r="P3" s="99">
        <v>70</v>
      </c>
      <c r="Q3" s="99">
        <v>75</v>
      </c>
      <c r="R3" s="99">
        <v>80</v>
      </c>
      <c r="S3" s="100">
        <v>55</v>
      </c>
      <c r="T3" s="100">
        <v>65</v>
      </c>
      <c r="U3" s="100">
        <v>70</v>
      </c>
      <c r="V3" s="100">
        <v>75</v>
      </c>
      <c r="W3" s="100">
        <v>80</v>
      </c>
      <c r="X3" s="100">
        <v>90</v>
      </c>
      <c r="Y3" s="100">
        <v>95</v>
      </c>
      <c r="Z3" s="100">
        <v>100</v>
      </c>
      <c r="AA3" s="101">
        <v>65</v>
      </c>
      <c r="AB3" s="101">
        <v>75</v>
      </c>
      <c r="AC3" s="101">
        <v>80</v>
      </c>
      <c r="AD3" s="101">
        <v>85</v>
      </c>
      <c r="AE3" s="101">
        <v>90</v>
      </c>
      <c r="AF3" s="101">
        <v>100</v>
      </c>
      <c r="AG3" s="101">
        <v>105</v>
      </c>
      <c r="AH3" s="101">
        <v>110</v>
      </c>
      <c r="AI3" s="104">
        <v>50</v>
      </c>
      <c r="AJ3" s="104">
        <v>55</v>
      </c>
      <c r="AK3" s="104">
        <v>70</v>
      </c>
      <c r="AL3" s="104">
        <v>95</v>
      </c>
      <c r="AM3" s="104">
        <v>105</v>
      </c>
      <c r="AN3" s="104">
        <v>110</v>
      </c>
      <c r="AO3" s="104">
        <v>120</v>
      </c>
      <c r="AP3" s="104">
        <v>130</v>
      </c>
      <c r="AQ3" s="105">
        <v>65</v>
      </c>
      <c r="AR3" s="105">
        <v>85</v>
      </c>
      <c r="AS3" s="105">
        <v>105</v>
      </c>
      <c r="AT3" s="105">
        <v>115</v>
      </c>
      <c r="AU3" s="105">
        <v>130</v>
      </c>
      <c r="AV3" s="105">
        <v>140</v>
      </c>
      <c r="AW3" s="105">
        <v>145</v>
      </c>
      <c r="AX3" s="105">
        <v>155</v>
      </c>
      <c r="AY3" s="104">
        <v>100</v>
      </c>
      <c r="AZ3" s="104">
        <v>115</v>
      </c>
      <c r="BA3" s="104">
        <v>130</v>
      </c>
      <c r="BB3" s="104">
        <v>150</v>
      </c>
      <c r="BC3" s="104">
        <v>165</v>
      </c>
      <c r="BD3" s="104">
        <v>170</v>
      </c>
      <c r="BE3" s="104">
        <v>175</v>
      </c>
      <c r="BF3" s="104">
        <v>185</v>
      </c>
      <c r="BG3" s="106">
        <v>115</v>
      </c>
      <c r="BH3" s="106">
        <v>135</v>
      </c>
      <c r="BI3" s="106">
        <v>150</v>
      </c>
      <c r="BJ3" s="106">
        <v>170</v>
      </c>
      <c r="BK3" s="106">
        <v>185</v>
      </c>
      <c r="BL3" s="106">
        <v>190</v>
      </c>
      <c r="BM3" s="106">
        <v>195</v>
      </c>
      <c r="BN3" s="106">
        <v>205</v>
      </c>
    </row>
    <row r="4" spans="1:66">
      <c r="B4" t="s">
        <v>104</v>
      </c>
      <c r="C4" s="98">
        <v>35</v>
      </c>
      <c r="D4" s="98">
        <v>40</v>
      </c>
      <c r="E4" s="98">
        <v>45</v>
      </c>
      <c r="F4" s="98">
        <v>55</v>
      </c>
      <c r="G4" s="98">
        <v>60</v>
      </c>
      <c r="H4" s="98">
        <v>65</v>
      </c>
      <c r="I4" s="98">
        <v>70</v>
      </c>
      <c r="J4" s="98">
        <v>80</v>
      </c>
      <c r="K4" s="99">
        <v>50</v>
      </c>
      <c r="L4" s="99">
        <v>55</v>
      </c>
      <c r="M4" s="99">
        <v>65</v>
      </c>
      <c r="N4" s="99">
        <v>70</v>
      </c>
      <c r="O4" s="99">
        <v>75</v>
      </c>
      <c r="P4" s="99">
        <v>80</v>
      </c>
      <c r="Q4" s="99">
        <v>90</v>
      </c>
      <c r="R4" s="99">
        <v>95</v>
      </c>
      <c r="S4" s="100">
        <v>65</v>
      </c>
      <c r="T4" s="100">
        <v>75</v>
      </c>
      <c r="U4" s="100">
        <v>80</v>
      </c>
      <c r="V4" s="100">
        <v>85</v>
      </c>
      <c r="W4" s="100">
        <v>90</v>
      </c>
      <c r="X4" s="100">
        <v>105</v>
      </c>
      <c r="Y4" s="100">
        <v>110</v>
      </c>
      <c r="Z4" s="100">
        <v>115</v>
      </c>
      <c r="AA4" s="101">
        <v>75</v>
      </c>
      <c r="AB4" s="101">
        <v>85</v>
      </c>
      <c r="AC4" s="101">
        <v>90</v>
      </c>
      <c r="AD4" s="101">
        <v>95</v>
      </c>
      <c r="AE4" s="101">
        <v>105</v>
      </c>
      <c r="AF4" s="101">
        <v>115</v>
      </c>
      <c r="AG4" s="101">
        <v>120</v>
      </c>
      <c r="AH4" s="101">
        <v>125</v>
      </c>
      <c r="AI4" s="104">
        <v>60</v>
      </c>
      <c r="AJ4" s="104">
        <v>65</v>
      </c>
      <c r="AK4" s="104">
        <v>85</v>
      </c>
      <c r="AL4" s="104">
        <v>105</v>
      </c>
      <c r="AM4" s="104">
        <v>115</v>
      </c>
      <c r="AN4" s="104">
        <v>130</v>
      </c>
      <c r="AO4" s="104">
        <v>140</v>
      </c>
      <c r="AP4" s="104">
        <v>145</v>
      </c>
      <c r="AQ4" s="105">
        <v>80</v>
      </c>
      <c r="AR4" s="105">
        <v>100</v>
      </c>
      <c r="AS4" s="105">
        <v>120</v>
      </c>
      <c r="AT4" s="105">
        <v>130</v>
      </c>
      <c r="AU4" s="105">
        <v>150</v>
      </c>
      <c r="AV4" s="105">
        <v>160</v>
      </c>
      <c r="AW4" s="105">
        <v>165</v>
      </c>
      <c r="AX4" s="105">
        <v>175</v>
      </c>
      <c r="AY4" s="104">
        <v>115</v>
      </c>
      <c r="AZ4" s="104">
        <v>135</v>
      </c>
      <c r="BA4" s="104">
        <v>150</v>
      </c>
      <c r="BB4" s="104">
        <v>170</v>
      </c>
      <c r="BC4" s="104">
        <v>185</v>
      </c>
      <c r="BD4" s="104">
        <v>190</v>
      </c>
      <c r="BE4" s="104">
        <v>195</v>
      </c>
      <c r="BF4" s="104">
        <v>205</v>
      </c>
      <c r="BG4" s="106">
        <v>130</v>
      </c>
      <c r="BH4" s="106">
        <v>150</v>
      </c>
      <c r="BI4" s="106">
        <v>170</v>
      </c>
      <c r="BJ4" s="106">
        <v>190</v>
      </c>
      <c r="BK4" s="106">
        <v>205</v>
      </c>
      <c r="BL4" s="106">
        <v>215</v>
      </c>
      <c r="BM4" s="106">
        <v>220</v>
      </c>
      <c r="BN4" s="106">
        <v>225</v>
      </c>
    </row>
    <row r="5" spans="1:66">
      <c r="B5" t="s">
        <v>105</v>
      </c>
      <c r="C5" s="98">
        <v>45</v>
      </c>
      <c r="D5" s="98">
        <v>50</v>
      </c>
      <c r="E5" s="98">
        <v>55</v>
      </c>
      <c r="F5" s="98">
        <v>65</v>
      </c>
      <c r="G5" s="98">
        <v>70</v>
      </c>
      <c r="H5" s="98">
        <v>75</v>
      </c>
      <c r="I5" s="98">
        <v>80</v>
      </c>
      <c r="J5" s="98">
        <v>90</v>
      </c>
      <c r="K5" s="99">
        <v>60</v>
      </c>
      <c r="L5" s="99">
        <v>65</v>
      </c>
      <c r="M5" s="99">
        <v>75</v>
      </c>
      <c r="N5" s="99">
        <v>80</v>
      </c>
      <c r="O5" s="99">
        <v>85</v>
      </c>
      <c r="P5" s="99">
        <v>90</v>
      </c>
      <c r="Q5" s="99">
        <v>100</v>
      </c>
      <c r="R5" s="99">
        <v>105</v>
      </c>
      <c r="S5" s="100">
        <v>75</v>
      </c>
      <c r="T5" s="100">
        <v>85</v>
      </c>
      <c r="U5" s="100">
        <v>90</v>
      </c>
      <c r="V5" s="100">
        <v>100</v>
      </c>
      <c r="W5" s="100">
        <v>105</v>
      </c>
      <c r="X5" s="100">
        <v>115</v>
      </c>
      <c r="Y5" s="100">
        <v>120</v>
      </c>
      <c r="Z5" s="100">
        <v>125</v>
      </c>
      <c r="AA5" s="101">
        <v>85</v>
      </c>
      <c r="AB5" s="101">
        <v>100</v>
      </c>
      <c r="AC5" s="101">
        <v>105</v>
      </c>
      <c r="AD5" s="101">
        <v>110</v>
      </c>
      <c r="AE5" s="101">
        <v>120</v>
      </c>
      <c r="AF5" s="101">
        <v>130</v>
      </c>
      <c r="AG5" s="101">
        <v>135</v>
      </c>
      <c r="AH5" s="101">
        <v>140</v>
      </c>
      <c r="AI5" s="104">
        <v>75</v>
      </c>
      <c r="AJ5" s="104">
        <v>80</v>
      </c>
      <c r="AK5" s="104">
        <v>100</v>
      </c>
      <c r="AL5" s="104">
        <v>120</v>
      </c>
      <c r="AM5" s="104">
        <v>130</v>
      </c>
      <c r="AN5" s="104">
        <v>150</v>
      </c>
      <c r="AO5" s="104">
        <v>160</v>
      </c>
      <c r="AP5" s="104">
        <v>165</v>
      </c>
      <c r="AQ5" s="105">
        <v>95</v>
      </c>
      <c r="AR5" s="105">
        <v>115</v>
      </c>
      <c r="AS5" s="105">
        <v>135</v>
      </c>
      <c r="AT5" s="105">
        <v>150</v>
      </c>
      <c r="AU5" s="105">
        <v>170</v>
      </c>
      <c r="AV5" s="105">
        <v>180</v>
      </c>
      <c r="AW5" s="105">
        <v>185</v>
      </c>
      <c r="AX5" s="105">
        <v>195</v>
      </c>
      <c r="AY5" s="104">
        <v>130</v>
      </c>
      <c r="AZ5" s="104">
        <v>150</v>
      </c>
      <c r="BA5" s="104">
        <v>170</v>
      </c>
      <c r="BB5" s="104">
        <v>190</v>
      </c>
      <c r="BC5" s="104">
        <v>205</v>
      </c>
      <c r="BD5" s="104">
        <v>215</v>
      </c>
      <c r="BE5" s="104">
        <v>220</v>
      </c>
      <c r="BF5" s="104">
        <v>225</v>
      </c>
      <c r="BG5" s="106">
        <v>145</v>
      </c>
      <c r="BH5" s="106">
        <v>170</v>
      </c>
      <c r="BI5" s="106">
        <v>195</v>
      </c>
      <c r="BJ5" s="106">
        <v>215</v>
      </c>
      <c r="BK5" s="106">
        <v>225</v>
      </c>
      <c r="BL5" s="106">
        <v>235</v>
      </c>
      <c r="BM5" s="106">
        <v>245</v>
      </c>
      <c r="BN5" s="106">
        <v>250</v>
      </c>
    </row>
    <row r="6" spans="1:66">
      <c r="B6" t="s">
        <v>106</v>
      </c>
      <c r="C6" s="98">
        <v>55</v>
      </c>
      <c r="D6" s="98">
        <v>65</v>
      </c>
      <c r="E6" s="98">
        <v>70</v>
      </c>
      <c r="F6" s="98">
        <v>80</v>
      </c>
      <c r="G6" s="98">
        <v>85</v>
      </c>
      <c r="H6" s="98">
        <v>90</v>
      </c>
      <c r="I6" s="98">
        <v>95</v>
      </c>
      <c r="J6" s="98">
        <v>105</v>
      </c>
      <c r="K6" s="99">
        <v>75</v>
      </c>
      <c r="L6" s="99">
        <v>80</v>
      </c>
      <c r="M6" s="99">
        <v>90</v>
      </c>
      <c r="N6" s="99">
        <v>95</v>
      </c>
      <c r="O6" s="99">
        <v>100</v>
      </c>
      <c r="P6" s="99">
        <v>105</v>
      </c>
      <c r="Q6" s="99">
        <v>110</v>
      </c>
      <c r="R6" s="99">
        <v>115</v>
      </c>
      <c r="S6" s="100">
        <v>90</v>
      </c>
      <c r="T6" s="100">
        <v>100</v>
      </c>
      <c r="U6" s="100">
        <v>105</v>
      </c>
      <c r="V6" s="100">
        <v>115</v>
      </c>
      <c r="W6" s="100">
        <v>120</v>
      </c>
      <c r="X6" s="100">
        <v>130</v>
      </c>
      <c r="Y6" s="100">
        <v>135</v>
      </c>
      <c r="Z6" s="100">
        <v>140</v>
      </c>
      <c r="AA6" s="101">
        <v>100</v>
      </c>
      <c r="AB6" s="101">
        <v>115</v>
      </c>
      <c r="AC6" s="101">
        <v>125</v>
      </c>
      <c r="AD6" s="101">
        <v>130</v>
      </c>
      <c r="AE6" s="101">
        <v>140</v>
      </c>
      <c r="AF6" s="101">
        <v>145</v>
      </c>
      <c r="AG6" s="101">
        <v>150</v>
      </c>
      <c r="AH6" s="101">
        <v>155</v>
      </c>
      <c r="AI6" s="104">
        <v>90</v>
      </c>
      <c r="AJ6" s="104">
        <v>95</v>
      </c>
      <c r="AK6" s="104">
        <v>115</v>
      </c>
      <c r="AL6" s="104">
        <v>135</v>
      </c>
      <c r="AM6" s="104">
        <v>150</v>
      </c>
      <c r="AN6" s="104">
        <v>170</v>
      </c>
      <c r="AO6" s="104">
        <v>180</v>
      </c>
      <c r="AP6" s="104">
        <v>185</v>
      </c>
      <c r="AQ6" s="105">
        <v>110</v>
      </c>
      <c r="AR6" s="105">
        <v>130</v>
      </c>
      <c r="AS6" s="105">
        <v>150</v>
      </c>
      <c r="AT6" s="105">
        <v>170</v>
      </c>
      <c r="AU6" s="105">
        <v>185</v>
      </c>
      <c r="AV6" s="105">
        <v>200</v>
      </c>
      <c r="AW6" s="105">
        <v>210</v>
      </c>
      <c r="AX6" s="105">
        <v>220</v>
      </c>
      <c r="AY6" s="104">
        <v>145</v>
      </c>
      <c r="AZ6" s="104">
        <v>170</v>
      </c>
      <c r="BA6" s="104">
        <v>190</v>
      </c>
      <c r="BB6" s="104">
        <v>210</v>
      </c>
      <c r="BC6" s="104">
        <v>225</v>
      </c>
      <c r="BD6" s="104">
        <v>235</v>
      </c>
      <c r="BE6" s="104">
        <v>245</v>
      </c>
      <c r="BF6" s="104">
        <v>250</v>
      </c>
      <c r="BG6" s="106">
        <v>170</v>
      </c>
      <c r="BH6" s="106">
        <v>195</v>
      </c>
      <c r="BI6" s="106">
        <v>225</v>
      </c>
      <c r="BJ6" s="106">
        <v>245</v>
      </c>
      <c r="BK6" s="106">
        <v>255</v>
      </c>
      <c r="BL6" s="106">
        <v>265</v>
      </c>
      <c r="BM6" s="106">
        <v>275</v>
      </c>
      <c r="BN6" s="106">
        <v>280</v>
      </c>
    </row>
    <row r="7" spans="1:66">
      <c r="B7" t="s">
        <v>107</v>
      </c>
      <c r="C7" s="98">
        <v>56</v>
      </c>
      <c r="D7" s="98">
        <v>75</v>
      </c>
      <c r="E7" s="98">
        <v>80</v>
      </c>
      <c r="F7" s="98">
        <v>90</v>
      </c>
      <c r="G7" s="98">
        <v>95</v>
      </c>
      <c r="H7" s="98">
        <v>100</v>
      </c>
      <c r="I7" s="98">
        <v>105</v>
      </c>
      <c r="J7" s="98">
        <v>115</v>
      </c>
      <c r="K7" s="99">
        <v>85</v>
      </c>
      <c r="L7" s="99">
        <v>90</v>
      </c>
      <c r="M7" s="99">
        <v>100</v>
      </c>
      <c r="N7" s="99">
        <v>105</v>
      </c>
      <c r="O7" s="99">
        <v>155</v>
      </c>
      <c r="P7" s="99">
        <v>120</v>
      </c>
      <c r="Q7" s="99">
        <v>125</v>
      </c>
      <c r="R7" s="99">
        <v>130</v>
      </c>
      <c r="S7" s="100">
        <v>100</v>
      </c>
      <c r="T7" s="100">
        <v>110</v>
      </c>
      <c r="U7" s="100">
        <v>120</v>
      </c>
      <c r="V7" s="100">
        <v>130</v>
      </c>
      <c r="W7" s="100">
        <v>140</v>
      </c>
      <c r="X7" s="100">
        <v>145</v>
      </c>
      <c r="Y7" s="100">
        <v>150</v>
      </c>
      <c r="Z7" s="100">
        <v>155</v>
      </c>
      <c r="AA7" s="101">
        <v>115</v>
      </c>
      <c r="AB7" s="101">
        <v>130</v>
      </c>
      <c r="AC7" s="101">
        <v>140</v>
      </c>
      <c r="AD7" s="101">
        <v>150</v>
      </c>
      <c r="AE7" s="101">
        <v>160</v>
      </c>
      <c r="AF7" s="101">
        <v>165</v>
      </c>
      <c r="AG7" s="101">
        <v>170</v>
      </c>
      <c r="AH7" s="101">
        <v>175</v>
      </c>
      <c r="AI7" s="104">
        <v>105</v>
      </c>
      <c r="AJ7" s="104">
        <v>110</v>
      </c>
      <c r="AK7" s="104">
        <v>130</v>
      </c>
      <c r="AL7" s="104">
        <v>150</v>
      </c>
      <c r="AM7" s="104">
        <v>170</v>
      </c>
      <c r="AN7" s="104">
        <v>185</v>
      </c>
      <c r="AO7" s="104">
        <v>200</v>
      </c>
      <c r="AP7" s="104">
        <v>210</v>
      </c>
      <c r="AQ7" s="105">
        <v>120</v>
      </c>
      <c r="AR7" s="105">
        <v>145</v>
      </c>
      <c r="AS7" s="105">
        <v>170</v>
      </c>
      <c r="AT7" s="105">
        <v>190</v>
      </c>
      <c r="AU7" s="105">
        <v>200</v>
      </c>
      <c r="AV7" s="105">
        <v>220</v>
      </c>
      <c r="AW7" s="105">
        <v>225</v>
      </c>
      <c r="AX7" s="105">
        <v>235</v>
      </c>
      <c r="AY7" s="104">
        <v>170</v>
      </c>
      <c r="AZ7" s="104">
        <v>190</v>
      </c>
      <c r="BA7" s="104">
        <v>220</v>
      </c>
      <c r="BB7" s="104">
        <v>240</v>
      </c>
      <c r="BC7" s="104">
        <v>250</v>
      </c>
      <c r="BD7" s="104">
        <v>260</v>
      </c>
      <c r="BE7" s="104">
        <v>270</v>
      </c>
      <c r="BF7" s="104">
        <v>280</v>
      </c>
      <c r="BG7" s="106">
        <v>190</v>
      </c>
      <c r="BH7" s="106">
        <v>210</v>
      </c>
      <c r="BI7" s="106">
        <v>240</v>
      </c>
      <c r="BJ7" s="106">
        <v>265</v>
      </c>
      <c r="BK7" s="106">
        <v>280</v>
      </c>
      <c r="BL7" s="106">
        <v>290</v>
      </c>
      <c r="BM7" s="106">
        <v>300</v>
      </c>
      <c r="BN7" s="106">
        <v>310</v>
      </c>
    </row>
    <row r="8" spans="1:66">
      <c r="B8" t="s">
        <v>108</v>
      </c>
      <c r="C8" s="98">
        <v>75</v>
      </c>
      <c r="D8" s="98">
        <v>85</v>
      </c>
      <c r="E8" s="98">
        <v>90</v>
      </c>
      <c r="F8" s="98">
        <v>100</v>
      </c>
      <c r="G8" s="98">
        <v>105</v>
      </c>
      <c r="H8" s="98">
        <v>115</v>
      </c>
      <c r="I8" s="98">
        <v>120</v>
      </c>
      <c r="J8" s="98">
        <v>130</v>
      </c>
      <c r="K8" s="99">
        <v>95</v>
      </c>
      <c r="L8" s="99">
        <v>100</v>
      </c>
      <c r="M8" s="99">
        <v>110</v>
      </c>
      <c r="N8" s="99">
        <v>120</v>
      </c>
      <c r="O8" s="99">
        <v>130</v>
      </c>
      <c r="P8" s="99">
        <v>135</v>
      </c>
      <c r="Q8" s="99">
        <v>140</v>
      </c>
      <c r="R8" s="99">
        <v>145</v>
      </c>
      <c r="S8" s="100">
        <v>115</v>
      </c>
      <c r="T8" s="100">
        <v>125</v>
      </c>
      <c r="U8" s="100">
        <v>135</v>
      </c>
      <c r="V8" s="100">
        <v>145</v>
      </c>
      <c r="W8" s="100">
        <v>155</v>
      </c>
      <c r="X8" s="100">
        <v>160</v>
      </c>
      <c r="Y8" s="100">
        <v>165</v>
      </c>
      <c r="Z8" s="100">
        <v>170</v>
      </c>
      <c r="AA8" s="101">
        <v>130</v>
      </c>
      <c r="AB8" s="101">
        <v>150</v>
      </c>
      <c r="AC8" s="101">
        <v>160</v>
      </c>
      <c r="AD8" s="101">
        <v>170</v>
      </c>
      <c r="AE8" s="101">
        <v>180</v>
      </c>
      <c r="AF8" s="101">
        <v>185</v>
      </c>
      <c r="AG8" s="101">
        <v>190</v>
      </c>
      <c r="AH8" s="101">
        <v>195</v>
      </c>
      <c r="AI8" s="104">
        <v>115</v>
      </c>
      <c r="AJ8" s="104">
        <v>120</v>
      </c>
      <c r="AK8" s="104">
        <v>145</v>
      </c>
      <c r="AL8" s="104">
        <v>170</v>
      </c>
      <c r="AM8" s="104">
        <v>190</v>
      </c>
      <c r="AN8" s="104">
        <v>200</v>
      </c>
      <c r="AO8" s="104">
        <v>220</v>
      </c>
      <c r="AP8" s="104">
        <v>230</v>
      </c>
      <c r="AQ8" s="105">
        <v>135</v>
      </c>
      <c r="AR8" s="105">
        <v>170</v>
      </c>
      <c r="AS8" s="105">
        <v>190</v>
      </c>
      <c r="AT8" s="105">
        <v>210</v>
      </c>
      <c r="AU8" s="105">
        <v>220</v>
      </c>
      <c r="AV8" s="105">
        <v>240</v>
      </c>
      <c r="AW8" s="105">
        <v>250</v>
      </c>
      <c r="AX8" s="105">
        <v>260</v>
      </c>
      <c r="AY8" s="104">
        <v>190</v>
      </c>
      <c r="AZ8" s="104">
        <v>210</v>
      </c>
      <c r="BA8" s="104">
        <v>240</v>
      </c>
      <c r="BB8" s="104">
        <v>260</v>
      </c>
      <c r="BC8" s="104">
        <v>280</v>
      </c>
      <c r="BD8" s="104">
        <v>290</v>
      </c>
      <c r="BE8" s="104">
        <v>300</v>
      </c>
      <c r="BF8" s="104">
        <v>310</v>
      </c>
      <c r="BG8" s="106">
        <v>210</v>
      </c>
      <c r="BH8" s="106">
        <v>230</v>
      </c>
      <c r="BI8" s="106">
        <v>260</v>
      </c>
      <c r="BJ8" s="106">
        <v>285</v>
      </c>
      <c r="BK8" s="106">
        <v>300</v>
      </c>
      <c r="BL8" s="106">
        <v>310</v>
      </c>
      <c r="BM8" s="106">
        <v>325</v>
      </c>
      <c r="BN8" s="106">
        <v>330</v>
      </c>
    </row>
    <row r="9" spans="1:66">
      <c r="B9" t="s">
        <v>109</v>
      </c>
      <c r="C9" s="98">
        <v>85</v>
      </c>
      <c r="D9" s="98">
        <v>95</v>
      </c>
      <c r="E9" s="98">
        <v>100</v>
      </c>
      <c r="F9" s="98">
        <v>110</v>
      </c>
      <c r="G9" s="98">
        <v>120</v>
      </c>
      <c r="H9" s="98">
        <v>130</v>
      </c>
      <c r="I9" s="98">
        <v>135</v>
      </c>
      <c r="J9" s="98">
        <v>145</v>
      </c>
      <c r="K9" s="99">
        <v>105</v>
      </c>
      <c r="L9" s="99">
        <v>115</v>
      </c>
      <c r="M9" s="99">
        <v>125</v>
      </c>
      <c r="N9" s="99">
        <v>135</v>
      </c>
      <c r="O9" s="99">
        <v>145</v>
      </c>
      <c r="P9" s="99">
        <v>150</v>
      </c>
      <c r="Q9" s="99">
        <v>160</v>
      </c>
      <c r="R9" s="99">
        <v>165</v>
      </c>
      <c r="S9" s="100">
        <v>130</v>
      </c>
      <c r="T9" s="100">
        <v>140</v>
      </c>
      <c r="U9" s="100">
        <v>155</v>
      </c>
      <c r="V9" s="100">
        <v>165</v>
      </c>
      <c r="W9" s="100">
        <v>175</v>
      </c>
      <c r="X9" s="100">
        <v>180</v>
      </c>
      <c r="Y9" s="100">
        <v>185</v>
      </c>
      <c r="Z9" s="100">
        <v>190</v>
      </c>
      <c r="AA9" s="101">
        <v>145</v>
      </c>
      <c r="AB9" s="101">
        <v>165</v>
      </c>
      <c r="AC9" s="101">
        <v>180</v>
      </c>
      <c r="AD9" s="101">
        <v>190</v>
      </c>
      <c r="AE9" s="101">
        <v>200</v>
      </c>
      <c r="AF9" s="101">
        <v>205</v>
      </c>
      <c r="AG9" s="101">
        <v>210</v>
      </c>
      <c r="AH9" s="101">
        <v>215</v>
      </c>
      <c r="AI9" s="104">
        <v>130</v>
      </c>
      <c r="AJ9" s="104">
        <v>135</v>
      </c>
      <c r="AK9" s="104">
        <v>170</v>
      </c>
      <c r="AL9" s="104">
        <v>190</v>
      </c>
      <c r="AM9" s="104">
        <v>210</v>
      </c>
      <c r="AN9" s="104">
        <v>220</v>
      </c>
      <c r="AO9" s="104">
        <v>240</v>
      </c>
      <c r="AP9" s="104">
        <v>250</v>
      </c>
      <c r="AQ9" s="105">
        <v>150</v>
      </c>
      <c r="AR9" s="105">
        <v>190</v>
      </c>
      <c r="AS9" s="105">
        <v>210</v>
      </c>
      <c r="AT9" s="105">
        <v>230</v>
      </c>
      <c r="AU9" s="105">
        <v>250</v>
      </c>
      <c r="AV9" s="105">
        <v>260</v>
      </c>
      <c r="AW9" s="105">
        <v>280</v>
      </c>
      <c r="AX9" s="105">
        <v>280</v>
      </c>
      <c r="AY9" s="104">
        <v>210</v>
      </c>
      <c r="AZ9" s="104">
        <v>230</v>
      </c>
      <c r="BA9" s="104">
        <v>260</v>
      </c>
      <c r="BB9" s="104">
        <v>285</v>
      </c>
      <c r="BC9" s="104">
        <v>300</v>
      </c>
      <c r="BD9" s="104">
        <v>310</v>
      </c>
      <c r="BE9" s="104">
        <v>325</v>
      </c>
      <c r="BF9" s="104">
        <v>330</v>
      </c>
      <c r="BG9" s="106">
        <v>225</v>
      </c>
      <c r="BH9" s="106">
        <v>255</v>
      </c>
      <c r="BI9" s="106">
        <v>275</v>
      </c>
      <c r="BJ9" s="106">
        <v>305</v>
      </c>
      <c r="BK9" s="106">
        <v>325</v>
      </c>
      <c r="BL9" s="106">
        <v>330</v>
      </c>
      <c r="BM9" s="106">
        <v>345</v>
      </c>
      <c r="BN9" s="106">
        <v>355</v>
      </c>
    </row>
    <row r="10" spans="1:66">
      <c r="B10" t="s">
        <v>110</v>
      </c>
      <c r="C10" s="99">
        <v>1000</v>
      </c>
      <c r="D10" s="99">
        <v>1000</v>
      </c>
      <c r="E10" s="99">
        <v>1000</v>
      </c>
      <c r="F10" s="99">
        <v>1000</v>
      </c>
      <c r="G10" s="99">
        <v>1000</v>
      </c>
      <c r="H10" s="99">
        <v>1000</v>
      </c>
      <c r="I10" s="99">
        <v>1000</v>
      </c>
      <c r="J10" s="99">
        <v>1000</v>
      </c>
      <c r="K10" s="99">
        <v>1000</v>
      </c>
      <c r="L10" s="99">
        <v>1000</v>
      </c>
      <c r="M10" s="99">
        <v>1000</v>
      </c>
      <c r="N10" s="99">
        <v>1000</v>
      </c>
      <c r="O10" s="99">
        <v>1000</v>
      </c>
      <c r="P10" s="99">
        <v>1000</v>
      </c>
      <c r="Q10" s="99">
        <v>1000</v>
      </c>
      <c r="R10" s="99">
        <v>1000</v>
      </c>
      <c r="S10" s="99">
        <v>1000</v>
      </c>
      <c r="T10" s="99">
        <v>1000</v>
      </c>
      <c r="U10" s="99">
        <v>1000</v>
      </c>
      <c r="V10" s="99">
        <v>1000</v>
      </c>
      <c r="W10" s="99">
        <v>1000</v>
      </c>
      <c r="X10" s="99">
        <v>1000</v>
      </c>
      <c r="Y10" s="99">
        <v>1000</v>
      </c>
      <c r="Z10" s="99">
        <v>1000</v>
      </c>
      <c r="AA10" s="101">
        <v>160</v>
      </c>
      <c r="AB10" s="101">
        <v>180</v>
      </c>
      <c r="AC10" s="101">
        <v>195</v>
      </c>
      <c r="AD10" s="101">
        <v>205</v>
      </c>
      <c r="AE10" s="101">
        <v>215</v>
      </c>
      <c r="AF10" s="101">
        <v>220</v>
      </c>
      <c r="AG10" s="101">
        <v>225</v>
      </c>
      <c r="AH10" s="101">
        <v>230</v>
      </c>
      <c r="AI10" s="99">
        <v>1000</v>
      </c>
      <c r="AJ10" s="99">
        <v>1000</v>
      </c>
      <c r="AK10" s="99">
        <v>1000</v>
      </c>
      <c r="AL10" s="99">
        <v>1000</v>
      </c>
      <c r="AM10" s="99">
        <v>1000</v>
      </c>
      <c r="AN10" s="99">
        <v>1000</v>
      </c>
      <c r="AO10" s="99">
        <v>10000</v>
      </c>
      <c r="AP10" s="99">
        <v>1000</v>
      </c>
      <c r="AQ10" s="102">
        <v>1000</v>
      </c>
      <c r="AR10" s="102">
        <v>1000</v>
      </c>
      <c r="AS10" s="102">
        <v>1000</v>
      </c>
      <c r="AT10" s="102">
        <v>1000</v>
      </c>
      <c r="AU10" s="102">
        <v>1000</v>
      </c>
      <c r="AV10" s="102">
        <v>10000</v>
      </c>
      <c r="AW10" s="102">
        <v>1000</v>
      </c>
      <c r="AX10" s="102">
        <v>1000</v>
      </c>
      <c r="AY10" s="99">
        <v>1000</v>
      </c>
      <c r="AZ10" s="99">
        <v>1000</v>
      </c>
      <c r="BA10" s="99">
        <v>1000</v>
      </c>
      <c r="BB10" s="99">
        <v>10000</v>
      </c>
      <c r="BC10" s="99">
        <v>1000</v>
      </c>
      <c r="BD10" s="99">
        <v>1000</v>
      </c>
      <c r="BE10" s="99">
        <v>1000</v>
      </c>
      <c r="BF10" s="99">
        <v>10000</v>
      </c>
      <c r="BG10" s="106">
        <v>240</v>
      </c>
      <c r="BH10" s="106">
        <v>270</v>
      </c>
      <c r="BI10" s="106">
        <v>290</v>
      </c>
      <c r="BJ10" s="106">
        <v>320</v>
      </c>
      <c r="BK10" s="106">
        <v>345</v>
      </c>
      <c r="BL10" s="106">
        <v>355</v>
      </c>
      <c r="BM10" s="106">
        <v>365</v>
      </c>
      <c r="BN10" s="106">
        <v>375</v>
      </c>
    </row>
    <row r="11" spans="1:66">
      <c r="B11" t="s">
        <v>111</v>
      </c>
      <c r="C11" t="s">
        <v>112</v>
      </c>
      <c r="D11" t="s">
        <v>112</v>
      </c>
      <c r="E11" t="s">
        <v>113</v>
      </c>
      <c r="F11" t="s">
        <v>114</v>
      </c>
      <c r="G11" s="107"/>
      <c r="H11" s="108" t="s">
        <v>111</v>
      </c>
      <c r="I11" s="108" t="s">
        <v>115</v>
      </c>
      <c r="J11" s="108" t="s">
        <v>115</v>
      </c>
      <c r="K11" s="108" t="s">
        <v>113</v>
      </c>
      <c r="L11" s="108" t="s">
        <v>114</v>
      </c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66">
      <c r="A12">
        <v>20.010000000000002</v>
      </c>
      <c r="B12" s="109" t="s">
        <v>116</v>
      </c>
      <c r="C12" s="97" t="s">
        <v>70</v>
      </c>
      <c r="D12" s="97" t="s">
        <v>78</v>
      </c>
      <c r="E12" s="97" t="s">
        <v>86</v>
      </c>
      <c r="F12" s="97" t="s">
        <v>94</v>
      </c>
      <c r="G12" s="107">
        <v>20.010000000000002</v>
      </c>
      <c r="H12" s="110" t="s">
        <v>116</v>
      </c>
      <c r="I12" s="111" t="s">
        <v>38</v>
      </c>
      <c r="J12" s="111" t="s">
        <v>46</v>
      </c>
      <c r="K12" s="111" t="s">
        <v>54</v>
      </c>
      <c r="L12" s="111" t="s">
        <v>62</v>
      </c>
      <c r="M12" s="108"/>
      <c r="N12" s="111"/>
      <c r="O12" s="111"/>
      <c r="P12" s="111"/>
      <c r="Q12" s="111"/>
      <c r="R12" s="111"/>
      <c r="S12" s="111"/>
      <c r="T12" s="108"/>
      <c r="U12" s="108"/>
    </row>
    <row r="13" spans="1:66">
      <c r="A13">
        <v>34.01</v>
      </c>
      <c r="B13" s="109" t="s">
        <v>116</v>
      </c>
      <c r="C13" s="97" t="s">
        <v>70</v>
      </c>
      <c r="D13" s="97" t="s">
        <v>78</v>
      </c>
      <c r="E13" s="97" t="s">
        <v>86</v>
      </c>
      <c r="F13" s="97" t="s">
        <v>94</v>
      </c>
      <c r="G13" s="107">
        <v>30.01</v>
      </c>
      <c r="H13" s="110" t="s">
        <v>116</v>
      </c>
      <c r="I13" s="111" t="s">
        <v>38</v>
      </c>
      <c r="J13" s="111" t="s">
        <v>46</v>
      </c>
      <c r="K13" s="111" t="s">
        <v>54</v>
      </c>
      <c r="L13" s="111" t="s">
        <v>62</v>
      </c>
      <c r="M13" s="108"/>
      <c r="N13" s="111"/>
      <c r="O13" s="111"/>
      <c r="P13" s="111"/>
      <c r="Q13" s="111"/>
      <c r="R13" s="111"/>
      <c r="S13" s="111"/>
      <c r="T13" s="108"/>
      <c r="U13" s="108"/>
    </row>
    <row r="14" spans="1:66">
      <c r="A14">
        <v>38.01</v>
      </c>
      <c r="B14" s="109" t="s">
        <v>116</v>
      </c>
      <c r="C14" s="97" t="s">
        <v>70</v>
      </c>
      <c r="D14" s="97" t="s">
        <v>78</v>
      </c>
      <c r="E14" s="97" t="s">
        <v>86</v>
      </c>
      <c r="F14" s="97" t="s">
        <v>94</v>
      </c>
      <c r="G14" s="112">
        <v>35.01</v>
      </c>
      <c r="H14" s="110" t="s">
        <v>116</v>
      </c>
      <c r="I14" s="111" t="s">
        <v>38</v>
      </c>
      <c r="J14" s="111" t="s">
        <v>46</v>
      </c>
      <c r="K14" s="111" t="s">
        <v>54</v>
      </c>
      <c r="L14" s="111" t="s">
        <v>62</v>
      </c>
      <c r="M14" s="108"/>
      <c r="N14" s="111"/>
      <c r="O14" s="111"/>
      <c r="P14" s="111"/>
      <c r="Q14" s="111"/>
      <c r="R14" s="111"/>
      <c r="S14" s="111"/>
      <c r="T14" s="108"/>
      <c r="U14" s="108"/>
    </row>
    <row r="15" spans="1:66">
      <c r="A15">
        <v>40.01</v>
      </c>
      <c r="B15" s="109" t="s">
        <v>116</v>
      </c>
      <c r="C15" s="97" t="s">
        <v>70</v>
      </c>
      <c r="D15" s="97" t="s">
        <v>78</v>
      </c>
      <c r="E15" s="97" t="s">
        <v>86</v>
      </c>
      <c r="F15" s="97" t="s">
        <v>94</v>
      </c>
      <c r="G15" s="113">
        <v>36.01</v>
      </c>
      <c r="H15" s="110" t="s">
        <v>116</v>
      </c>
      <c r="I15" s="111" t="s">
        <v>38</v>
      </c>
      <c r="J15" s="111" t="s">
        <v>46</v>
      </c>
      <c r="K15" s="114" t="s">
        <v>54</v>
      </c>
      <c r="L15" s="114" t="s">
        <v>62</v>
      </c>
      <c r="M15" s="115"/>
      <c r="N15" s="111"/>
      <c r="O15" s="111"/>
      <c r="P15" s="111"/>
      <c r="Q15" s="111"/>
      <c r="R15" s="111"/>
      <c r="S15" s="111"/>
      <c r="T15" s="115"/>
      <c r="U15" s="115"/>
    </row>
    <row r="16" spans="1:66">
      <c r="A16">
        <v>45.01</v>
      </c>
      <c r="B16" s="109" t="s">
        <v>116</v>
      </c>
      <c r="C16" s="97" t="s">
        <v>71</v>
      </c>
      <c r="D16" s="97" t="s">
        <v>78</v>
      </c>
      <c r="E16" s="97" t="s">
        <v>86</v>
      </c>
      <c r="F16" s="97" t="s">
        <v>94</v>
      </c>
      <c r="G16" s="113">
        <v>40.01</v>
      </c>
      <c r="H16" s="110" t="s">
        <v>116</v>
      </c>
      <c r="I16" s="111" t="s">
        <v>39</v>
      </c>
      <c r="J16" s="111" t="s">
        <v>46</v>
      </c>
      <c r="K16" s="114" t="s">
        <v>54</v>
      </c>
      <c r="L16" s="114" t="s">
        <v>62</v>
      </c>
      <c r="M16" s="115"/>
      <c r="N16" s="111"/>
      <c r="O16" s="111"/>
      <c r="P16" s="111"/>
      <c r="Q16" s="111"/>
      <c r="R16" s="111"/>
      <c r="S16" s="111"/>
      <c r="T16" s="115"/>
      <c r="U16" s="115"/>
    </row>
    <row r="17" spans="1:37">
      <c r="A17">
        <v>50.01</v>
      </c>
      <c r="B17" s="109" t="s">
        <v>116</v>
      </c>
      <c r="C17" s="97" t="s">
        <v>72</v>
      </c>
      <c r="D17" s="97" t="s">
        <v>79</v>
      </c>
      <c r="E17" s="97" t="s">
        <v>86</v>
      </c>
      <c r="F17" s="97" t="s">
        <v>94</v>
      </c>
      <c r="G17" s="113">
        <v>44.01</v>
      </c>
      <c r="H17" s="110" t="s">
        <v>116</v>
      </c>
      <c r="I17" s="114" t="s">
        <v>40</v>
      </c>
      <c r="J17" s="114" t="s">
        <v>47</v>
      </c>
      <c r="K17" s="114" t="s">
        <v>54</v>
      </c>
      <c r="L17" s="114" t="s">
        <v>62</v>
      </c>
      <c r="M17" s="115"/>
      <c r="N17" s="114"/>
      <c r="O17" s="114"/>
      <c r="P17" s="114"/>
      <c r="Q17" s="114"/>
      <c r="R17" s="114"/>
      <c r="S17" s="114"/>
      <c r="T17" s="115"/>
      <c r="U17" s="115"/>
    </row>
    <row r="18" spans="1:37">
      <c r="A18">
        <v>52.05</v>
      </c>
      <c r="B18" s="109" t="s">
        <v>116</v>
      </c>
      <c r="C18" s="97" t="s">
        <v>72</v>
      </c>
      <c r="D18" s="97" t="s">
        <v>79</v>
      </c>
      <c r="E18" s="97" t="s">
        <v>86</v>
      </c>
      <c r="F18" s="97" t="s">
        <v>94</v>
      </c>
      <c r="G18" s="113">
        <v>48.01</v>
      </c>
      <c r="H18" s="110" t="s">
        <v>116</v>
      </c>
      <c r="I18" s="114" t="s">
        <v>41</v>
      </c>
      <c r="J18" s="114" t="s">
        <v>48</v>
      </c>
      <c r="K18" s="114" t="s">
        <v>55</v>
      </c>
      <c r="L18" s="114" t="s">
        <v>63</v>
      </c>
      <c r="M18" s="115"/>
      <c r="N18" s="114"/>
      <c r="O18" s="114"/>
      <c r="P18" s="114"/>
      <c r="Q18" s="114"/>
      <c r="R18" s="114"/>
      <c r="S18" s="114"/>
      <c r="T18" s="115"/>
      <c r="U18" s="115"/>
    </row>
    <row r="19" spans="1:37">
      <c r="A19">
        <v>56.01</v>
      </c>
      <c r="B19" s="109" t="s">
        <v>116</v>
      </c>
      <c r="C19" s="97" t="s">
        <v>73</v>
      </c>
      <c r="D19" s="97" t="s">
        <v>80</v>
      </c>
      <c r="E19" s="97" t="s">
        <v>87</v>
      </c>
      <c r="F19" s="97" t="s">
        <v>95</v>
      </c>
      <c r="G19" s="113">
        <v>53.01</v>
      </c>
      <c r="H19" s="110" t="s">
        <v>116</v>
      </c>
      <c r="I19" s="114" t="s">
        <v>42</v>
      </c>
      <c r="J19" s="114" t="s">
        <v>49</v>
      </c>
      <c r="K19" s="114" t="s">
        <v>56</v>
      </c>
      <c r="L19" s="114" t="s">
        <v>64</v>
      </c>
      <c r="M19" s="115"/>
      <c r="N19" s="114"/>
      <c r="O19" s="114"/>
      <c r="P19" s="114"/>
      <c r="Q19" s="114"/>
      <c r="R19" s="114"/>
      <c r="S19" s="114"/>
      <c r="T19" s="115"/>
      <c r="U19" s="115"/>
    </row>
    <row r="20" spans="1:37">
      <c r="A20">
        <v>62.01</v>
      </c>
      <c r="B20" s="109" t="s">
        <v>116</v>
      </c>
      <c r="C20" s="97" t="s">
        <v>74</v>
      </c>
      <c r="D20" s="97" t="s">
        <v>81</v>
      </c>
      <c r="E20" s="97" t="s">
        <v>88</v>
      </c>
      <c r="F20" s="97" t="s">
        <v>96</v>
      </c>
      <c r="G20" s="113">
        <v>58.01</v>
      </c>
      <c r="H20" s="110" t="s">
        <v>116</v>
      </c>
      <c r="I20" s="114" t="s">
        <v>43</v>
      </c>
      <c r="J20" s="114" t="s">
        <v>50</v>
      </c>
      <c r="K20" s="114" t="s">
        <v>57</v>
      </c>
      <c r="L20" s="114" t="s">
        <v>65</v>
      </c>
      <c r="M20" s="115"/>
      <c r="N20" s="114"/>
      <c r="O20" s="114"/>
      <c r="P20" s="114"/>
      <c r="Q20" s="114"/>
      <c r="R20" s="114"/>
      <c r="S20" s="114"/>
      <c r="T20" s="115"/>
      <c r="U20" s="115"/>
    </row>
    <row r="21" spans="1:37">
      <c r="A21">
        <v>69.010000000000005</v>
      </c>
      <c r="B21" s="109" t="s">
        <v>116</v>
      </c>
      <c r="C21" s="97" t="s">
        <v>75</v>
      </c>
      <c r="D21" s="97" t="s">
        <v>82</v>
      </c>
      <c r="E21" s="97" t="s">
        <v>89</v>
      </c>
      <c r="F21" s="97" t="s">
        <v>97</v>
      </c>
      <c r="G21" s="113">
        <v>63.01</v>
      </c>
      <c r="H21" s="110" t="s">
        <v>116</v>
      </c>
      <c r="I21" s="114" t="s">
        <v>44</v>
      </c>
      <c r="J21" s="114" t="s">
        <v>51</v>
      </c>
      <c r="K21" s="114" t="s">
        <v>58</v>
      </c>
      <c r="L21" s="114" t="s">
        <v>66</v>
      </c>
      <c r="M21" s="115"/>
      <c r="N21" s="114"/>
      <c r="O21" s="114"/>
      <c r="P21" s="114"/>
      <c r="Q21" s="114"/>
      <c r="R21" s="114"/>
      <c r="S21" s="114"/>
      <c r="T21" s="115"/>
      <c r="U21" s="115"/>
    </row>
    <row r="22" spans="1:37">
      <c r="A22">
        <v>77.010000000000005</v>
      </c>
      <c r="B22" s="109" t="s">
        <v>116</v>
      </c>
      <c r="C22" s="97" t="s">
        <v>76</v>
      </c>
      <c r="D22" s="97" t="s">
        <v>83</v>
      </c>
      <c r="E22" s="97" t="s">
        <v>90</v>
      </c>
      <c r="F22" s="97" t="s">
        <v>98</v>
      </c>
      <c r="G22" s="113">
        <v>69.010000000000005</v>
      </c>
      <c r="H22" s="110" t="s">
        <v>116</v>
      </c>
      <c r="I22" s="114" t="s">
        <v>45</v>
      </c>
      <c r="J22" s="114" t="s">
        <v>52</v>
      </c>
      <c r="K22" s="114" t="s">
        <v>59</v>
      </c>
      <c r="L22" s="114" t="s">
        <v>67</v>
      </c>
      <c r="M22" s="115"/>
      <c r="N22" s="114"/>
      <c r="O22" s="114"/>
      <c r="P22" s="114"/>
      <c r="Q22" s="114"/>
      <c r="R22" s="114"/>
      <c r="S22" s="114"/>
      <c r="T22" s="115"/>
      <c r="U22" s="115"/>
    </row>
    <row r="23" spans="1:37">
      <c r="A23">
        <v>85.01</v>
      </c>
      <c r="B23" s="109" t="s">
        <v>116</v>
      </c>
      <c r="C23" s="97" t="s">
        <v>77</v>
      </c>
      <c r="D23" s="97" t="s">
        <v>84</v>
      </c>
      <c r="E23" s="97" t="s">
        <v>91</v>
      </c>
      <c r="F23" s="97" t="s">
        <v>99</v>
      </c>
      <c r="G23" s="113">
        <v>75.010000000000005</v>
      </c>
      <c r="H23" s="110" t="s">
        <v>116</v>
      </c>
      <c r="I23" s="114" t="s">
        <v>45</v>
      </c>
      <c r="J23" s="114" t="s">
        <v>53</v>
      </c>
      <c r="K23" s="114" t="s">
        <v>60</v>
      </c>
      <c r="L23" s="114" t="s">
        <v>68</v>
      </c>
      <c r="M23" s="115"/>
      <c r="N23" s="114"/>
      <c r="O23" s="114"/>
      <c r="P23" s="114"/>
      <c r="Q23" s="114"/>
      <c r="R23" s="114"/>
      <c r="S23" s="114"/>
      <c r="T23" s="115"/>
      <c r="U23" s="115"/>
    </row>
    <row r="24" spans="1:37">
      <c r="A24">
        <v>94.01</v>
      </c>
      <c r="B24" s="109" t="s">
        <v>116</v>
      </c>
      <c r="C24" s="97" t="s">
        <v>77</v>
      </c>
      <c r="D24" s="97" t="s">
        <v>85</v>
      </c>
      <c r="E24" s="97" t="s">
        <v>92</v>
      </c>
      <c r="F24" s="97" t="s">
        <v>100</v>
      </c>
      <c r="G24" s="113">
        <v>90.01</v>
      </c>
      <c r="H24" s="110" t="s">
        <v>116</v>
      </c>
      <c r="I24" s="114" t="s">
        <v>45</v>
      </c>
      <c r="J24" s="114" t="s">
        <v>53</v>
      </c>
      <c r="K24" s="114" t="s">
        <v>61</v>
      </c>
      <c r="L24" s="114" t="s">
        <v>69</v>
      </c>
      <c r="M24" s="115"/>
      <c r="N24" s="114"/>
      <c r="O24" s="114"/>
      <c r="P24" s="114"/>
      <c r="Q24" s="114"/>
      <c r="R24" s="114"/>
      <c r="S24" s="114"/>
      <c r="T24" s="115"/>
      <c r="U24" s="115"/>
    </row>
    <row r="25" spans="1:37">
      <c r="A25">
        <v>105.01</v>
      </c>
      <c r="B25" s="109" t="s">
        <v>116</v>
      </c>
      <c r="C25" s="97" t="s">
        <v>77</v>
      </c>
      <c r="D25" s="97" t="s">
        <v>85</v>
      </c>
      <c r="E25" s="97" t="s">
        <v>93</v>
      </c>
      <c r="F25" s="97" t="s">
        <v>101</v>
      </c>
      <c r="G25">
        <v>110</v>
      </c>
      <c r="H25" s="110" t="s">
        <v>116</v>
      </c>
      <c r="I25" s="114" t="s">
        <v>45</v>
      </c>
      <c r="J25" s="114" t="s">
        <v>53</v>
      </c>
      <c r="K25" s="114" t="s">
        <v>61</v>
      </c>
      <c r="L25" s="114" t="s">
        <v>69</v>
      </c>
      <c r="M25" s="115"/>
      <c r="N25" s="114"/>
      <c r="O25" s="114"/>
      <c r="P25" s="114"/>
      <c r="Q25" s="114"/>
      <c r="R25" s="114"/>
      <c r="S25" s="114"/>
      <c r="T25" s="115"/>
      <c r="U25" s="115"/>
    </row>
    <row r="26" spans="1:37">
      <c r="A26">
        <v>110</v>
      </c>
      <c r="B26" s="109" t="s">
        <v>116</v>
      </c>
      <c r="C26" s="97" t="s">
        <v>77</v>
      </c>
      <c r="D26" s="97" t="s">
        <v>85</v>
      </c>
      <c r="E26" s="97" t="s">
        <v>93</v>
      </c>
      <c r="F26" s="97" t="s">
        <v>101</v>
      </c>
      <c r="G26">
        <v>140</v>
      </c>
      <c r="H26" s="110" t="s">
        <v>116</v>
      </c>
      <c r="I26" s="114" t="s">
        <v>45</v>
      </c>
      <c r="J26" s="114" t="s">
        <v>53</v>
      </c>
      <c r="K26" s="114" t="s">
        <v>61</v>
      </c>
      <c r="L26" s="114" t="s">
        <v>69</v>
      </c>
    </row>
    <row r="27" spans="1:37">
      <c r="A27">
        <v>120</v>
      </c>
      <c r="B27" s="109" t="s">
        <v>116</v>
      </c>
      <c r="C27" s="97" t="s">
        <v>77</v>
      </c>
      <c r="D27" s="97" t="s">
        <v>85</v>
      </c>
      <c r="E27" s="97" t="s">
        <v>93</v>
      </c>
      <c r="F27" s="97" t="s">
        <v>101</v>
      </c>
    </row>
    <row r="28" spans="1:37">
      <c r="A28">
        <v>130</v>
      </c>
      <c r="B28" s="109" t="s">
        <v>116</v>
      </c>
      <c r="C28" s="97" t="s">
        <v>77</v>
      </c>
      <c r="D28" s="97" t="s">
        <v>85</v>
      </c>
      <c r="E28" s="97" t="s">
        <v>93</v>
      </c>
      <c r="F28" s="97" t="s">
        <v>101</v>
      </c>
    </row>
    <row r="29" spans="1:37">
      <c r="A29">
        <v>140</v>
      </c>
      <c r="B29" s="109" t="s">
        <v>116</v>
      </c>
      <c r="C29" s="97" t="s">
        <v>77</v>
      </c>
      <c r="D29" s="97" t="s">
        <v>85</v>
      </c>
      <c r="E29" s="97" t="s">
        <v>93</v>
      </c>
      <c r="F29" s="97" t="s">
        <v>101</v>
      </c>
      <c r="AK29" s="97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Equipe</vt:lpstr>
      <vt:lpstr>Minimas</vt:lpstr>
      <vt:lpstr>Equipe!Zone_d_impression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2017-10-14T17:16:31Z</cp:lastPrinted>
  <dcterms:created xsi:type="dcterms:W3CDTF">2004-10-09T07:29:01Z</dcterms:created>
  <dcterms:modified xsi:type="dcterms:W3CDTF">2017-10-16T04:36:07Z</dcterms:modified>
</cp:coreProperties>
</file>