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60" windowWidth="15600" windowHeight="11040"/>
  </bookViews>
  <sheets>
    <sheet name="Equipe" sheetId="3" r:id="rId1"/>
    <sheet name="Minimas" sheetId="4" state="hidden" r:id="rId2"/>
  </sheets>
  <definedNames>
    <definedName name="_xlnm.Print_Area" localSheetId="0">Equipe!$A$1:$X$37</definedName>
  </definedNames>
  <calcPr calcId="125725"/>
</workbook>
</file>

<file path=xl/calcChain.xml><?xml version="1.0" encoding="utf-8"?>
<calcChain xmlns="http://schemas.openxmlformats.org/spreadsheetml/2006/main">
  <c r="O27" i="3"/>
  <c r="O26"/>
  <c r="O25"/>
  <c r="O23"/>
  <c r="O22"/>
  <c r="O21"/>
  <c r="O20"/>
  <c r="O19"/>
  <c r="O17"/>
  <c r="O16"/>
  <c r="O15"/>
  <c r="O14"/>
  <c r="O13"/>
  <c r="O9"/>
  <c r="O10"/>
  <c r="O11"/>
  <c r="V26" l="1"/>
  <c r="V27"/>
  <c r="V25"/>
  <c r="V20" l="1"/>
  <c r="S20"/>
  <c r="T20" s="1"/>
  <c r="W20" s="1"/>
  <c r="V14"/>
  <c r="S14"/>
  <c r="T14" s="1"/>
  <c r="W14" s="1"/>
  <c r="Y8"/>
  <c r="V8"/>
  <c r="S8"/>
  <c r="O8"/>
  <c r="T8" l="1"/>
  <c r="AG8" s="1"/>
  <c r="AG14"/>
  <c r="AG20"/>
  <c r="AA20"/>
  <c r="AE20"/>
  <c r="AB20"/>
  <c r="AF20"/>
  <c r="Z20"/>
  <c r="AD20"/>
  <c r="AH20"/>
  <c r="AC20"/>
  <c r="Z14"/>
  <c r="AH14"/>
  <c r="AA14"/>
  <c r="AE14"/>
  <c r="AD14"/>
  <c r="AB14"/>
  <c r="AF14"/>
  <c r="AC14"/>
  <c r="S27"/>
  <c r="S26"/>
  <c r="S25"/>
  <c r="AB8" l="1"/>
  <c r="AC8"/>
  <c r="AF8"/>
  <c r="AE8"/>
  <c r="AH8"/>
  <c r="AA8"/>
  <c r="W8"/>
  <c r="AL20"/>
  <c r="AI20"/>
  <c r="AK20" s="1"/>
  <c r="AL14"/>
  <c r="AI14"/>
  <c r="AK14" s="1"/>
  <c r="AD8"/>
  <c r="AI8" s="1"/>
  <c r="AK8" s="1"/>
  <c r="Z8"/>
  <c r="T25"/>
  <c r="AF25" s="1"/>
  <c r="W25"/>
  <c r="Z25"/>
  <c r="T27"/>
  <c r="AC27" s="1"/>
  <c r="W27"/>
  <c r="T26"/>
  <c r="U20" l="1"/>
  <c r="U14"/>
  <c r="AL8"/>
  <c r="U8" s="1"/>
  <c r="AB25"/>
  <c r="AG25"/>
  <c r="AE25"/>
  <c r="AD25"/>
  <c r="AC25"/>
  <c r="AA25"/>
  <c r="AH25"/>
  <c r="AI25"/>
  <c r="AK25" s="1"/>
  <c r="AL25"/>
  <c r="AB27"/>
  <c r="AE27"/>
  <c r="AD27"/>
  <c r="AA27"/>
  <c r="AG27"/>
  <c r="Z27"/>
  <c r="AF27"/>
  <c r="AH27"/>
  <c r="AL27" s="1"/>
  <c r="W26"/>
  <c r="Z26"/>
  <c r="AD26"/>
  <c r="AH26"/>
  <c r="AA26"/>
  <c r="AB26"/>
  <c r="AF26"/>
  <c r="AC26"/>
  <c r="AG26"/>
  <c r="AE26"/>
  <c r="U25" l="1"/>
  <c r="AI27"/>
  <c r="AK27" s="1"/>
  <c r="U27" s="1"/>
  <c r="AI26"/>
  <c r="AK26" s="1"/>
  <c r="AL26"/>
  <c r="S13"/>
  <c r="U26" l="1"/>
  <c r="S21" l="1"/>
  <c r="S23"/>
  <c r="S19"/>
  <c r="S15"/>
  <c r="S16"/>
  <c r="S17"/>
  <c r="T13"/>
  <c r="S9"/>
  <c r="S10"/>
  <c r="S11"/>
  <c r="S7"/>
  <c r="O7"/>
  <c r="V21"/>
  <c r="V22"/>
  <c r="V23"/>
  <c r="V19"/>
  <c r="V15"/>
  <c r="V16"/>
  <c r="V17"/>
  <c r="V13"/>
  <c r="V9"/>
  <c r="V10"/>
  <c r="V11"/>
  <c r="V7"/>
  <c r="T23" l="1"/>
  <c r="W23" s="1"/>
  <c r="T22"/>
  <c r="W22" s="1"/>
  <c r="T21"/>
  <c r="W21" s="1"/>
  <c r="T19"/>
  <c r="W19" s="1"/>
  <c r="T15"/>
  <c r="W15" s="1"/>
  <c r="T17"/>
  <c r="W17" s="1"/>
  <c r="T16"/>
  <c r="W16" s="1"/>
  <c r="T11"/>
  <c r="W11" s="1"/>
  <c r="T10"/>
  <c r="W10" s="1"/>
  <c r="T9"/>
  <c r="W9" s="1"/>
  <c r="T7"/>
  <c r="W7" s="1"/>
  <c r="W13"/>
  <c r="AE22" l="1"/>
  <c r="AF22"/>
  <c r="AH22"/>
  <c r="AC22"/>
  <c r="AB22"/>
  <c r="AA22"/>
  <c r="Z22"/>
  <c r="AB23"/>
  <c r="AD23"/>
  <c r="AE15"/>
  <c r="AA23"/>
  <c r="AG23"/>
  <c r="AB15"/>
  <c r="AF23"/>
  <c r="AE23"/>
  <c r="AH23"/>
  <c r="Z23"/>
  <c r="AC23"/>
  <c r="AD15"/>
  <c r="Z15"/>
  <c r="AF17"/>
  <c r="AF15"/>
  <c r="AE17"/>
  <c r="AA15"/>
  <c r="AG15"/>
  <c r="AH17"/>
  <c r="AH15"/>
  <c r="AC15"/>
  <c r="AG17"/>
  <c r="AG16"/>
  <c r="AF10"/>
  <c r="Z10"/>
  <c r="AA11"/>
  <c r="AD16"/>
  <c r="Z17"/>
  <c r="AH11"/>
  <c r="AC11"/>
  <c r="AD11"/>
  <c r="AF11"/>
  <c r="Z11"/>
  <c r="AB11"/>
  <c r="AG11"/>
  <c r="AE11"/>
  <c r="AC21"/>
  <c r="Z19"/>
  <c r="AH21"/>
  <c r="AF19"/>
  <c r="AE19"/>
  <c r="AB19"/>
  <c r="AE21"/>
  <c r="AD19"/>
  <c r="AD21"/>
  <c r="AA21"/>
  <c r="AG22"/>
  <c r="AD22"/>
  <c r="Z21"/>
  <c r="AF21"/>
  <c r="AG21"/>
  <c r="AB21"/>
  <c r="AA19"/>
  <c r="AG19"/>
  <c r="AH19"/>
  <c r="AC19"/>
  <c r="AF16"/>
  <c r="AH16"/>
  <c r="AE16"/>
  <c r="I16"/>
  <c r="AB17"/>
  <c r="AD17"/>
  <c r="AC17"/>
  <c r="AA17"/>
  <c r="Z16"/>
  <c r="AB16"/>
  <c r="AC16"/>
  <c r="AA16"/>
  <c r="AE10"/>
  <c r="AA10"/>
  <c r="AD10"/>
  <c r="AB10"/>
  <c r="AC10"/>
  <c r="AH10"/>
  <c r="AG10"/>
  <c r="AH9"/>
  <c r="AC9"/>
  <c r="AF9"/>
  <c r="AE9"/>
  <c r="Z9"/>
  <c r="AA9"/>
  <c r="AG9"/>
  <c r="AB9"/>
  <c r="AD9"/>
  <c r="AC7"/>
  <c r="AH7"/>
  <c r="AD7"/>
  <c r="AF13"/>
  <c r="AH13"/>
  <c r="AC13"/>
  <c r="AB13"/>
  <c r="AD13"/>
  <c r="AE13"/>
  <c r="Z13"/>
  <c r="AA13"/>
  <c r="AG13"/>
  <c r="Z7"/>
  <c r="AG7"/>
  <c r="AA7"/>
  <c r="AF7"/>
  <c r="AB7"/>
  <c r="AE7"/>
  <c r="AI22" l="1"/>
  <c r="AK22" s="1"/>
  <c r="AI15"/>
  <c r="AK15" s="1"/>
  <c r="AL23"/>
  <c r="AI23"/>
  <c r="AK23" s="1"/>
  <c r="AL22"/>
  <c r="AI21"/>
  <c r="AK21" s="1"/>
  <c r="AL15"/>
  <c r="AI11"/>
  <c r="AK11" s="1"/>
  <c r="AL11"/>
  <c r="AL21"/>
  <c r="AL19"/>
  <c r="AI19"/>
  <c r="AK19" s="1"/>
  <c r="AL17"/>
  <c r="AL16"/>
  <c r="AI16"/>
  <c r="AK16" s="1"/>
  <c r="AL13"/>
  <c r="AI17"/>
  <c r="AK17" s="1"/>
  <c r="U17" s="1"/>
  <c r="AL10"/>
  <c r="AI10"/>
  <c r="AK10" s="1"/>
  <c r="AL9"/>
  <c r="AI9"/>
  <c r="AK9" s="1"/>
  <c r="AL7"/>
  <c r="AI13"/>
  <c r="AK13" s="1"/>
  <c r="AI7"/>
  <c r="AK7" s="1"/>
  <c r="U23" l="1"/>
  <c r="U15"/>
  <c r="U13"/>
  <c r="U22"/>
  <c r="U11"/>
  <c r="U7"/>
  <c r="U21"/>
  <c r="U19"/>
  <c r="U16"/>
  <c r="U9"/>
  <c r="U10"/>
  <c r="I10" l="1"/>
  <c r="Y9" s="1"/>
  <c r="I22"/>
  <c r="Y11" s="1"/>
  <c r="Y10"/>
  <c r="D23" l="1"/>
  <c r="D19"/>
  <c r="D21"/>
  <c r="D22"/>
  <c r="D16"/>
  <c r="D17"/>
  <c r="D11"/>
  <c r="D10"/>
  <c r="D13"/>
  <c r="D15"/>
  <c r="D7"/>
  <c r="D9"/>
</calcChain>
</file>

<file path=xl/sharedStrings.xml><?xml version="1.0" encoding="utf-8"?>
<sst xmlns="http://schemas.openxmlformats.org/spreadsheetml/2006/main" count="376" uniqueCount="162">
  <si>
    <t>NOM - Prénom</t>
  </si>
  <si>
    <t>P.C.</t>
  </si>
  <si>
    <t>TOTAL</t>
  </si>
  <si>
    <t>Serie</t>
  </si>
  <si>
    <t>IWF</t>
  </si>
  <si>
    <t>NAT</t>
  </si>
  <si>
    <t>LIEU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</si>
  <si>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</si>
  <si>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</si>
  <si>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</si>
  <si>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</si>
  <si>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</si>
  <si>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</si>
  <si>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</si>
  <si>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</si>
  <si>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</si>
  <si>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 xml:space="preserve">Réserves / Observations / Records : </t>
  </si>
  <si>
    <t>Arbitre 1</t>
  </si>
  <si>
    <t>Arbitre 2</t>
  </si>
  <si>
    <t>Arbitre 3</t>
  </si>
  <si>
    <t>Chrono</t>
  </si>
  <si>
    <t>Ctrl Tech</t>
  </si>
  <si>
    <t>Marshal</t>
  </si>
  <si>
    <t>Secrétaire</t>
  </si>
  <si>
    <t>Micro</t>
  </si>
  <si>
    <t/>
  </si>
  <si>
    <t>Genre</t>
  </si>
  <si>
    <t>DEB</t>
  </si>
  <si>
    <t>DPT +</t>
  </si>
  <si>
    <t>REG +</t>
  </si>
  <si>
    <t>IRG +</t>
  </si>
  <si>
    <t>FED +</t>
  </si>
  <si>
    <t>NAT +</t>
  </si>
  <si>
    <t>INTB +</t>
  </si>
  <si>
    <t>INTA +</t>
  </si>
  <si>
    <t>OLY +</t>
  </si>
  <si>
    <t xml:space="preserve">DEB </t>
  </si>
  <si>
    <t>DEP +</t>
  </si>
  <si>
    <t>FC1 40</t>
  </si>
  <si>
    <t>FC1 44</t>
  </si>
  <si>
    <t>FC1 48</t>
  </si>
  <si>
    <t>FC1 53</t>
  </si>
  <si>
    <t>FC1 58</t>
  </si>
  <si>
    <t>FC1 63</t>
  </si>
  <si>
    <t>FC1 69</t>
  </si>
  <si>
    <t>FC1 +69</t>
  </si>
  <si>
    <t>FC2 44</t>
  </si>
  <si>
    <t>FC2 48</t>
  </si>
  <si>
    <t>FC2 53</t>
  </si>
  <si>
    <t>FC2 58</t>
  </si>
  <si>
    <t>FC2 63</t>
  </si>
  <si>
    <t>FC2 69</t>
  </si>
  <si>
    <t>FC2 75</t>
  </si>
  <si>
    <t>FC2 +75</t>
  </si>
  <si>
    <t>FJ 48</t>
  </si>
  <si>
    <t>FJ 53</t>
  </si>
  <si>
    <t>FJ 58</t>
  </si>
  <si>
    <t>FJ 63</t>
  </si>
  <si>
    <t>FJ 69</t>
  </si>
  <si>
    <t>FJ 75</t>
  </si>
  <si>
    <t>FJ 90</t>
  </si>
  <si>
    <t>FJ +90</t>
  </si>
  <si>
    <t>FS 48</t>
  </si>
  <si>
    <t>FS 53</t>
  </si>
  <si>
    <t>FS 58</t>
  </si>
  <si>
    <t>FS 63</t>
  </si>
  <si>
    <t>FS 69</t>
  </si>
  <si>
    <t>FS 75</t>
  </si>
  <si>
    <t>FS 90</t>
  </si>
  <si>
    <t>FS +90</t>
  </si>
  <si>
    <t>C1 45</t>
  </si>
  <si>
    <t>C1 50</t>
  </si>
  <si>
    <t>C1 56</t>
  </si>
  <si>
    <t>C1 62</t>
  </si>
  <si>
    <t>C1 69</t>
  </si>
  <si>
    <t>C1 77</t>
  </si>
  <si>
    <t>C1 85</t>
  </si>
  <si>
    <t>C1 +85</t>
  </si>
  <si>
    <t>C2 50</t>
  </si>
  <si>
    <t>C2 56</t>
  </si>
  <si>
    <t>C2 62</t>
  </si>
  <si>
    <t>C2 69</t>
  </si>
  <si>
    <t>C2 77</t>
  </si>
  <si>
    <t>C2 85</t>
  </si>
  <si>
    <t>C2 94</t>
  </si>
  <si>
    <t>C2 +94</t>
  </si>
  <si>
    <t>J 56</t>
  </si>
  <si>
    <t>J 62</t>
  </si>
  <si>
    <t>J 69</t>
  </si>
  <si>
    <t>J 77</t>
  </si>
  <si>
    <t>J 85</t>
  </si>
  <si>
    <t>J 94</t>
  </si>
  <si>
    <t>J 105</t>
  </si>
  <si>
    <t>J +105</t>
  </si>
  <si>
    <t>S 56</t>
  </si>
  <si>
    <t>S 62</t>
  </si>
  <si>
    <t>S 69</t>
  </si>
  <si>
    <t>S 77</t>
  </si>
  <si>
    <t>S 85</t>
  </si>
  <si>
    <t>S 94</t>
  </si>
  <si>
    <t>S 105</t>
  </si>
  <si>
    <t>S +105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</si>
  <si>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</si>
  <si>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</si>
  <si>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</si>
  <si>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</si>
  <si>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</si>
  <si>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</si>
  <si>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</si>
  <si>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</si>
  <si>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</si>
  <si>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</si>
  <si>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</si>
  <si>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</si>
  <si>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</si>
  <si>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</si>
  <si>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</si>
  <si>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 </t>
  </si>
  <si>
    <t>H</t>
  </si>
  <si>
    <t>Lic.</t>
  </si>
  <si>
    <t>Signature</t>
  </si>
  <si>
    <t>CHAMPIONNAT REGIONAL DES CLUBS - LIGUE PACA SECTEUR C</t>
  </si>
  <si>
    <t>REG
HOMME</t>
  </si>
  <si>
    <t>NOVES</t>
  </si>
  <si>
    <t>ISTRES SPORTS 2</t>
  </si>
  <si>
    <t>AVIGNON-SORGUES HALTEROPHILIE</t>
  </si>
  <si>
    <t>EEAR MONTEUX</t>
  </si>
  <si>
    <t>PACA</t>
  </si>
  <si>
    <t>GNERUCCI</t>
  </si>
  <si>
    <t>MATTHEW</t>
  </si>
  <si>
    <t>HARDOUIN</t>
  </si>
  <si>
    <t>EDOUARD</t>
  </si>
  <si>
    <t>HAYOT</t>
  </si>
  <si>
    <t>LIONEL</t>
  </si>
  <si>
    <t>PINAZO</t>
  </si>
  <si>
    <t>HUBERT</t>
  </si>
  <si>
    <t>ROMAIN</t>
  </si>
  <si>
    <t>BAUDRY</t>
  </si>
  <si>
    <t>MARC</t>
  </si>
  <si>
    <t>OUARDI</t>
  </si>
  <si>
    <t>ADIL</t>
  </si>
  <si>
    <t>NOUVEAUX</t>
  </si>
  <si>
    <t>MICK</t>
  </si>
  <si>
    <t>VUILLEMINOT</t>
  </si>
  <si>
    <t>ALEX</t>
  </si>
  <si>
    <t>GANDON</t>
  </si>
  <si>
    <t>GIANNOTTI</t>
  </si>
  <si>
    <t>SYLVAIN</t>
  </si>
  <si>
    <t>BENOIT</t>
  </si>
  <si>
    <t>JOAN</t>
  </si>
  <si>
    <t>LATREILLE</t>
  </si>
  <si>
    <t>FLORIAN</t>
  </si>
  <si>
    <t>MATS</t>
  </si>
  <si>
    <t>ARTHUR</t>
  </si>
  <si>
    <t>MESSOUD</t>
  </si>
  <si>
    <t>ABDELKARIM</t>
  </si>
  <si>
    <t>DIMANCHE</t>
  </si>
  <si>
    <t>BRUNO</t>
  </si>
  <si>
    <t>TSVETAN SIMEONOV</t>
  </si>
  <si>
    <t>FABIENNE CONDE</t>
  </si>
  <si>
    <t>PIERRE LEBAILLY</t>
  </si>
  <si>
    <t>MARTINE GOURRIER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</si>
</sst>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yy"/>
    <numFmt numFmtId="167" formatCode="[$-40C]d\-mmm\-yy;@"/>
  </numFmts>
  <fonts count="29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4"/>
      <color rgb="FF0000FF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i/>
      <sz val="10"/>
      <color theme="0" tint="-0.499984740745262"/>
      <name val="Arial"/>
      <family val="2"/>
    </font>
    <font>
      <b/>
      <sz val="9"/>
      <color theme="0"/>
      <name val="Arial"/>
      <family val="2"/>
    </font>
    <font>
      <b/>
      <sz val="18"/>
      <color theme="0"/>
      <name val="Arial"/>
      <family val="2"/>
    </font>
    <font>
      <b/>
      <sz val="28"/>
      <color rgb="FFFF00FF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28"/>
      <color rgb="FF0000FF"/>
      <name val="Arial"/>
      <family val="2"/>
    </font>
    <font>
      <b/>
      <sz val="22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63">
    <border>
      <left/>
      <right/>
      <top/>
      <bottom/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 style="dashed">
        <color rgb="FF00B0F0"/>
      </top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 style="dashed">
        <color rgb="FF00B0F0"/>
      </top>
      <bottom style="dashed">
        <color rgb="FF00B0F0"/>
      </bottom>
      <diagonal/>
    </border>
    <border>
      <left style="dotted">
        <color rgb="FF00B0F0"/>
      </left>
      <right style="medium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/>
      <top style="dashed">
        <color rgb="FF00B0F0"/>
      </top>
      <bottom style="dashed">
        <color rgb="FF00B0F0"/>
      </bottom>
      <diagonal/>
    </border>
    <border>
      <left/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/>
      <diagonal/>
    </border>
    <border>
      <left style="thin">
        <color rgb="FF00B0F0"/>
      </left>
      <right style="hair">
        <color rgb="FF00B0F0"/>
      </right>
      <top style="dashed">
        <color rgb="FF00B0F0"/>
      </top>
      <bottom/>
      <diagonal/>
    </border>
    <border>
      <left style="hair">
        <color rgb="FF00B0F0"/>
      </left>
      <right style="thin">
        <color rgb="FF00B0F0"/>
      </right>
      <top style="dashed">
        <color rgb="FF00B0F0"/>
      </top>
      <bottom/>
      <diagonal/>
    </border>
    <border>
      <left style="thin">
        <color rgb="FF00B0F0"/>
      </left>
      <right style="medium">
        <color rgb="FF00B0F0"/>
      </right>
      <top style="dashed">
        <color rgb="FF00B0F0"/>
      </top>
      <bottom/>
      <diagonal/>
    </border>
    <border>
      <left style="thin">
        <color rgb="FF00B0F0"/>
      </left>
      <right/>
      <top style="dashed">
        <color rgb="FF00B0F0"/>
      </top>
      <bottom/>
      <diagonal/>
    </border>
    <border>
      <left/>
      <right style="thin">
        <color rgb="FF00B0F0"/>
      </right>
      <top style="dashed">
        <color rgb="FF00B0F0"/>
      </top>
      <bottom/>
      <diagonal/>
    </border>
    <border>
      <left style="medium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/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thin">
        <color rgb="FF00B0F0"/>
      </left>
      <right/>
      <top/>
      <bottom style="dashed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thin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thin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thin">
        <color rgb="FF00B0F0"/>
      </bottom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/>
      <diagonal/>
    </border>
    <border>
      <left style="medium">
        <color rgb="FF00B0F0"/>
      </left>
      <right style="thin">
        <color rgb="FF00B0F0"/>
      </right>
      <top/>
      <bottom/>
      <diagonal/>
    </border>
    <border>
      <left style="medium">
        <color rgb="FF00B0F0"/>
      </left>
      <right style="thin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 style="thin">
        <color rgb="FF00B0F0"/>
      </left>
      <right style="thin">
        <color rgb="FF00B0F0"/>
      </right>
      <top/>
      <bottom/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 style="dashed">
        <color rgb="FF00B0F0"/>
      </top>
      <bottom/>
      <diagonal/>
    </border>
    <border>
      <left style="dotted">
        <color rgb="FF00B0F0"/>
      </left>
      <right style="dotted">
        <color rgb="FF00B0F0"/>
      </right>
      <top style="dashed">
        <color rgb="FF00B0F0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2" fillId="2" borderId="0" xfId="0" applyFont="1" applyFill="1" applyAlignment="1" applyProtection="1">
      <alignment vertical="center"/>
      <protection locked="0" hidden="1"/>
    </xf>
    <xf numFmtId="166" fontId="2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2" fontId="2" fillId="2" borderId="0" xfId="0" applyNumberFormat="1" applyFont="1" applyFill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8" fillId="2" borderId="0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3" borderId="0" xfId="0" applyFont="1" applyFill="1" applyBorder="1" applyAlignment="1" applyProtection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7" fillId="2" borderId="0" xfId="0" applyFont="1" applyFill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8" fillId="4" borderId="1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center" vertical="center"/>
    </xf>
    <xf numFmtId="164" fontId="18" fillId="4" borderId="3" xfId="0" applyNumberFormat="1" applyFont="1" applyFill="1" applyBorder="1" applyAlignment="1" applyProtection="1">
      <alignment horizontal="center" vertical="center"/>
    </xf>
    <xf numFmtId="164" fontId="18" fillId="4" borderId="4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textRotation="90"/>
    </xf>
    <xf numFmtId="0" fontId="3" fillId="2" borderId="0" xfId="0" applyNumberFormat="1" applyFont="1" applyFill="1" applyBorder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166" fontId="3" fillId="2" borderId="0" xfId="0" applyNumberFormat="1" applyFont="1" applyFill="1" applyBorder="1" applyAlignment="1" applyProtection="1">
      <alignment horizontal="center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</xf>
    <xf numFmtId="165" fontId="3" fillId="2" borderId="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164" fontId="4" fillId="2" borderId="12" xfId="0" applyNumberFormat="1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1" fontId="10" fillId="2" borderId="15" xfId="0" applyNumberFormat="1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3" fillId="2" borderId="18" xfId="0" applyNumberFormat="1" applyFont="1" applyFill="1" applyBorder="1" applyAlignment="1" applyProtection="1">
      <alignment horizontal="center" vertical="center"/>
    </xf>
    <xf numFmtId="164" fontId="4" fillId="2" borderId="19" xfId="0" applyNumberFormat="1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 textRotation="90"/>
    </xf>
    <xf numFmtId="0" fontId="3" fillId="2" borderId="2" xfId="0" applyNumberFormat="1" applyFont="1" applyFill="1" applyBorder="1" applyAlignment="1" applyProtection="1">
      <alignment vertical="center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16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166" fontId="3" fillId="2" borderId="2" xfId="0" applyNumberFormat="1" applyFont="1" applyFill="1" applyBorder="1" applyAlignment="1" applyProtection="1">
      <alignment horizontal="center"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</xf>
    <xf numFmtId="165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right" vertical="center"/>
    </xf>
    <xf numFmtId="0" fontId="3" fillId="2" borderId="25" xfId="0" applyNumberFormat="1" applyFont="1" applyFill="1" applyBorder="1" applyAlignment="1" applyProtection="1">
      <alignment horizontal="center" vertical="center"/>
    </xf>
    <xf numFmtId="164" fontId="4" fillId="2" borderId="26" xfId="0" applyNumberFormat="1" applyFont="1" applyFill="1" applyBorder="1" applyAlignment="1" applyProtection="1">
      <alignment horizontal="left" vertical="center"/>
      <protection locked="0"/>
    </xf>
    <xf numFmtId="0" fontId="3" fillId="2" borderId="27" xfId="0" applyFont="1" applyFill="1" applyBorder="1" applyAlignment="1" applyProtection="1">
      <alignment vertical="center"/>
      <protection locked="0"/>
    </xf>
    <xf numFmtId="1" fontId="6" fillId="2" borderId="29" xfId="0" applyNumberFormat="1" applyFont="1" applyFill="1" applyBorder="1" applyAlignment="1" applyProtection="1">
      <alignment horizontal="center" vertical="center"/>
      <protection locked="0"/>
    </xf>
    <xf numFmtId="1" fontId="10" fillId="2" borderId="30" xfId="0" applyNumberFormat="1" applyFont="1" applyFill="1" applyBorder="1" applyAlignment="1" applyProtection="1">
      <alignment horizontal="center" vertical="center"/>
    </xf>
    <xf numFmtId="1" fontId="13" fillId="2" borderId="24" xfId="0" applyNumberFormat="1" applyFont="1" applyFill="1" applyBorder="1" applyAlignment="1" applyProtection="1">
      <alignment horizontal="center" vertical="center"/>
    </xf>
    <xf numFmtId="0" fontId="9" fillId="2" borderId="2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textRotation="90"/>
    </xf>
    <xf numFmtId="0" fontId="3" fillId="2" borderId="6" xfId="0" applyNumberFormat="1" applyFont="1" applyFill="1" applyBorder="1" applyAlignment="1" applyProtection="1">
      <alignment vertical="center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</xf>
    <xf numFmtId="164" fontId="3" fillId="2" borderId="6" xfId="0" applyNumberFormat="1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166" fontId="3" fillId="2" borderId="6" xfId="0" applyNumberFormat="1" applyFont="1" applyFill="1" applyBorder="1" applyAlignment="1" applyProtection="1">
      <alignment horizontal="center"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</xf>
    <xf numFmtId="165" fontId="3" fillId="2" borderId="6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21" fillId="4" borderId="36" xfId="0" applyFont="1" applyFill="1" applyBorder="1" applyAlignment="1">
      <alignment horizontal="center" vertical="center"/>
    </xf>
    <xf numFmtId="0" fontId="21" fillId="4" borderId="40" xfId="0" applyFont="1" applyFill="1" applyBorder="1" applyAlignment="1">
      <alignment horizontal="center" vertical="center"/>
    </xf>
    <xf numFmtId="0" fontId="21" fillId="4" borderId="45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2" fontId="14" fillId="2" borderId="16" xfId="0" applyNumberFormat="1" applyFont="1" applyFill="1" applyBorder="1" applyAlignment="1" applyProtection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23" fillId="2" borderId="2" xfId="0" applyNumberFormat="1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24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1" fontId="0" fillId="6" borderId="0" xfId="0" applyNumberFormat="1" applyFill="1"/>
    <xf numFmtId="1" fontId="0" fillId="9" borderId="0" xfId="0" applyNumberFormat="1" applyFill="1"/>
    <xf numFmtId="1" fontId="0" fillId="10" borderId="0" xfId="0" applyNumberFormat="1" applyFill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25" fillId="11" borderId="0" xfId="0" applyFont="1" applyFill="1"/>
    <xf numFmtId="0" fontId="25" fillId="11" borderId="0" xfId="0" applyFont="1" applyFill="1" applyBorder="1"/>
    <xf numFmtId="0" fontId="24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24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3" fillId="2" borderId="38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alignment horizontal="center" vertical="center"/>
      <protection locked="0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</xf>
    <xf numFmtId="0" fontId="9" fillId="2" borderId="31" xfId="0" applyFont="1" applyFill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horizontal="center" vertical="center"/>
    </xf>
    <xf numFmtId="1" fontId="4" fillId="2" borderId="25" xfId="0" applyNumberFormat="1" applyFont="1" applyFill="1" applyBorder="1" applyAlignment="1" applyProtection="1">
      <alignment horizontal="center" vertical="center"/>
      <protection locked="0"/>
    </xf>
    <xf numFmtId="1" fontId="4" fillId="2" borderId="11" xfId="0" applyNumberFormat="1" applyFont="1" applyFill="1" applyBorder="1" applyAlignment="1" applyProtection="1">
      <alignment horizontal="center" vertic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5" xfId="0" applyNumberFormat="1" applyFont="1" applyFill="1" applyBorder="1" applyAlignment="1" applyProtection="1">
      <alignment horizontal="center" vertical="center"/>
      <protection locked="0"/>
    </xf>
    <xf numFmtId="0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22" xfId="0" applyNumberFormat="1" applyFont="1" applyFill="1" applyBorder="1" applyAlignment="1" applyProtection="1">
      <alignment horizontal="center" vertical="center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1" fontId="4" fillId="2" borderId="23" xfId="0" applyNumberFormat="1" applyFont="1" applyFill="1" applyBorder="1" applyAlignment="1" applyProtection="1">
      <alignment horizontal="center" vertical="center"/>
      <protection locked="0"/>
    </xf>
    <xf numFmtId="0" fontId="5" fillId="2" borderId="57" xfId="0" applyFont="1" applyFill="1" applyBorder="1" applyAlignment="1">
      <alignment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vertical="center"/>
    </xf>
    <xf numFmtId="0" fontId="2" fillId="3" borderId="47" xfId="0" applyFont="1" applyFill="1" applyBorder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5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 hidden="1"/>
    </xf>
    <xf numFmtId="0" fontId="3" fillId="2" borderId="58" xfId="0" applyFont="1" applyFill="1" applyBorder="1" applyAlignment="1" applyProtection="1">
      <alignment horizontal="center" vertical="center"/>
    </xf>
    <xf numFmtId="164" fontId="4" fillId="2" borderId="11" xfId="0" applyNumberFormat="1" applyFont="1" applyFill="1" applyBorder="1" applyAlignment="1" applyProtection="1">
      <alignment horizontal="center" vertical="center"/>
      <protection locked="0"/>
    </xf>
    <xf numFmtId="164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1" fontId="6" fillId="2" borderId="59" xfId="0" applyNumberFormat="1" applyFont="1" applyFill="1" applyBorder="1" applyAlignment="1" applyProtection="1">
      <alignment horizontal="center" vertical="center"/>
      <protection locked="0"/>
    </xf>
    <xf numFmtId="1" fontId="6" fillId="2" borderId="60" xfId="0" applyNumberFormat="1" applyFont="1" applyFill="1" applyBorder="1" applyAlignment="1" applyProtection="1">
      <alignment horizontal="center" vertical="center"/>
      <protection locked="0"/>
    </xf>
    <xf numFmtId="1" fontId="13" fillId="2" borderId="58" xfId="0" applyNumberFormat="1" applyFont="1" applyFill="1" applyBorder="1" applyAlignment="1" applyProtection="1">
      <alignment horizontal="center" vertical="center"/>
    </xf>
    <xf numFmtId="164" fontId="4" fillId="2" borderId="18" xfId="0" applyNumberFormat="1" applyFont="1" applyFill="1" applyBorder="1" applyAlignment="1" applyProtection="1">
      <alignment horizontal="center" vertical="center"/>
      <protection locked="0"/>
    </xf>
    <xf numFmtId="164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vertical="center"/>
      <protection locked="0"/>
    </xf>
    <xf numFmtId="1" fontId="4" fillId="2" borderId="18" xfId="0" applyNumberFormat="1" applyFont="1" applyFill="1" applyBorder="1" applyAlignment="1" applyProtection="1">
      <alignment horizontal="center" vertical="center"/>
      <protection locked="0"/>
    </xf>
    <xf numFmtId="1" fontId="6" fillId="2" borderId="61" xfId="0" applyNumberFormat="1" applyFont="1" applyFill="1" applyBorder="1" applyAlignment="1" applyProtection="1">
      <alignment horizontal="center" vertical="center"/>
      <protection locked="0"/>
    </xf>
    <xf numFmtId="1" fontId="6" fillId="2" borderId="62" xfId="0" applyNumberFormat="1" applyFont="1" applyFill="1" applyBorder="1" applyAlignment="1" applyProtection="1">
      <alignment horizontal="center" vertical="center"/>
      <protection locked="0"/>
    </xf>
    <xf numFmtId="1" fontId="27" fillId="2" borderId="2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5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 hidden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3" fillId="3" borderId="53" xfId="0" applyFont="1" applyFill="1" applyBorder="1" applyAlignment="1" applyProtection="1">
      <alignment horizontal="center" vertical="center"/>
      <protection locked="0" hidden="1"/>
    </xf>
    <xf numFmtId="1" fontId="3" fillId="3" borderId="0" xfId="0" applyNumberFormat="1" applyFont="1" applyFill="1" applyAlignment="1" applyProtection="1">
      <alignment horizontal="center" vertical="center"/>
      <protection locked="0" hidden="1"/>
    </xf>
    <xf numFmtId="2" fontId="3" fillId="3" borderId="0" xfId="0" applyNumberFormat="1" applyFont="1" applyFill="1" applyAlignment="1" applyProtection="1">
      <alignment horizontal="center" vertical="center"/>
      <protection locked="0" hidden="1"/>
    </xf>
    <xf numFmtId="164" fontId="12" fillId="2" borderId="0" xfId="0" applyNumberFormat="1" applyFont="1" applyFill="1" applyBorder="1" applyAlignment="1" applyProtection="1">
      <alignment horizontal="center" vertical="center"/>
      <protection locked="0"/>
    </xf>
    <xf numFmtId="164" fontId="12" fillId="2" borderId="2" xfId="0" applyNumberFormat="1" applyFont="1" applyFill="1" applyBorder="1" applyAlignment="1" applyProtection="1">
      <alignment horizontal="center" vertical="center"/>
      <protection locked="0"/>
    </xf>
    <xf numFmtId="2" fontId="26" fillId="2" borderId="28" xfId="0" applyNumberFormat="1" applyFont="1" applyFill="1" applyBorder="1" applyAlignment="1" applyProtection="1">
      <alignment horizontal="center" vertical="center"/>
      <protection locked="0"/>
    </xf>
    <xf numFmtId="2" fontId="26" fillId="2" borderId="14" xfId="0" applyNumberFormat="1" applyFont="1" applyFill="1" applyBorder="1" applyAlignment="1" applyProtection="1">
      <alignment horizontal="center" vertical="center"/>
      <protection locked="0"/>
    </xf>
    <xf numFmtId="2" fontId="26" fillId="2" borderId="21" xfId="0" applyNumberFormat="1" applyFont="1" applyFill="1" applyBorder="1" applyAlignment="1" applyProtection="1">
      <alignment horizontal="center" vertical="center"/>
      <protection locked="0"/>
    </xf>
    <xf numFmtId="2" fontId="26" fillId="2" borderId="2" xfId="0" applyNumberFormat="1" applyFont="1" applyFill="1" applyBorder="1" applyAlignment="1" applyProtection="1">
      <alignment horizontal="center" vertical="center"/>
      <protection locked="0"/>
    </xf>
    <xf numFmtId="164" fontId="12" fillId="2" borderId="6" xfId="0" applyNumberFormat="1" applyFont="1" applyFill="1" applyBorder="1" applyAlignment="1" applyProtection="1">
      <alignment horizontal="center" vertical="center"/>
      <protection locked="0"/>
    </xf>
    <xf numFmtId="1" fontId="6" fillId="13" borderId="29" xfId="0" applyNumberFormat="1" applyFont="1" applyFill="1" applyBorder="1" applyAlignment="1" applyProtection="1">
      <alignment horizontal="center" vertical="center"/>
      <protection locked="0"/>
    </xf>
    <xf numFmtId="1" fontId="6" fillId="3" borderId="29" xfId="0" applyNumberFormat="1" applyFont="1" applyFill="1" applyBorder="1" applyAlignment="1" applyProtection="1">
      <alignment horizontal="center" vertical="center"/>
      <protection locked="0"/>
    </xf>
    <xf numFmtId="0" fontId="20" fillId="3" borderId="32" xfId="0" applyFont="1" applyFill="1" applyBorder="1" applyAlignment="1">
      <alignment horizontal="left" vertical="top"/>
    </xf>
    <xf numFmtId="0" fontId="2" fillId="3" borderId="33" xfId="0" applyFont="1" applyFill="1" applyBorder="1" applyAlignment="1">
      <alignment horizontal="left" vertical="top"/>
    </xf>
    <xf numFmtId="0" fontId="2" fillId="3" borderId="34" xfId="0" applyFont="1" applyFill="1" applyBorder="1" applyAlignment="1">
      <alignment horizontal="left" vertical="top"/>
    </xf>
    <xf numFmtId="0" fontId="2" fillId="3" borderId="38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9" xfId="0" applyFont="1" applyFill="1" applyBorder="1" applyAlignment="1">
      <alignment horizontal="left" vertical="top"/>
    </xf>
    <xf numFmtId="0" fontId="2" fillId="3" borderId="42" xfId="0" applyFont="1" applyFill="1" applyBorder="1" applyAlignment="1">
      <alignment horizontal="left" vertical="top"/>
    </xf>
    <xf numFmtId="0" fontId="2" fillId="3" borderId="43" xfId="0" applyFont="1" applyFill="1" applyBorder="1" applyAlignment="1">
      <alignment horizontal="left" vertical="top"/>
    </xf>
    <xf numFmtId="0" fontId="2" fillId="3" borderId="44" xfId="0" applyFont="1" applyFill="1" applyBorder="1" applyAlignment="1">
      <alignment horizontal="left" vertical="top"/>
    </xf>
    <xf numFmtId="0" fontId="2" fillId="3" borderId="40" xfId="0" applyFont="1" applyFill="1" applyBorder="1" applyAlignment="1">
      <alignment horizontal="center" vertical="center"/>
    </xf>
    <xf numFmtId="0" fontId="3" fillId="2" borderId="48" xfId="0" applyFont="1" applyFill="1" applyBorder="1" applyAlignment="1" applyProtection="1">
      <alignment horizontal="center" vertical="center" textRotation="90"/>
    </xf>
    <xf numFmtId="0" fontId="3" fillId="2" borderId="49" xfId="0" applyFont="1" applyFill="1" applyBorder="1" applyAlignment="1" applyProtection="1">
      <alignment horizontal="center" vertical="center" textRotation="90"/>
    </xf>
    <xf numFmtId="0" fontId="3" fillId="2" borderId="50" xfId="0" applyFont="1" applyFill="1" applyBorder="1" applyAlignment="1" applyProtection="1">
      <alignment horizontal="center" vertical="center" textRotation="90"/>
    </xf>
    <xf numFmtId="2" fontId="28" fillId="12" borderId="55" xfId="0" applyNumberFormat="1" applyFont="1" applyFill="1" applyBorder="1" applyAlignment="1" applyProtection="1">
      <alignment horizontal="center" vertical="center"/>
      <protection locked="0"/>
    </xf>
    <xf numFmtId="0" fontId="28" fillId="12" borderId="56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 applyProtection="1">
      <alignment horizontal="center" vertical="center" wrapText="1"/>
      <protection locked="0"/>
    </xf>
    <xf numFmtId="0" fontId="1" fillId="2" borderId="51" xfId="0" applyFont="1" applyFill="1" applyBorder="1" applyAlignment="1" applyProtection="1">
      <alignment horizontal="center" vertical="center" wrapText="1"/>
      <protection locked="0"/>
    </xf>
    <xf numFmtId="1" fontId="27" fillId="2" borderId="52" xfId="0" applyNumberFormat="1" applyFont="1" applyFill="1" applyBorder="1" applyAlignment="1" applyProtection="1">
      <alignment horizontal="center" vertical="center"/>
      <protection locked="0"/>
    </xf>
    <xf numFmtId="1" fontId="27" fillId="2" borderId="54" xfId="0" applyNumberFormat="1" applyFont="1" applyFill="1" applyBorder="1" applyAlignment="1" applyProtection="1">
      <alignment horizontal="center" vertical="center"/>
      <protection locked="0"/>
    </xf>
    <xf numFmtId="1" fontId="27" fillId="2" borderId="51" xfId="0" applyNumberFormat="1" applyFont="1" applyFill="1" applyBorder="1" applyAlignment="1" applyProtection="1">
      <alignment horizontal="center" vertical="center"/>
      <protection locked="0"/>
    </xf>
    <xf numFmtId="0" fontId="18" fillId="4" borderId="2" xfId="0" applyFont="1" applyFill="1" applyBorder="1" applyAlignment="1" applyProtection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167" fontId="15" fillId="2" borderId="9" xfId="0" applyNumberFormat="1" applyFont="1" applyFill="1" applyBorder="1" applyAlignment="1">
      <alignment horizontal="center" vertical="center"/>
    </xf>
    <xf numFmtId="167" fontId="15" fillId="2" borderId="10" xfId="0" applyNumberFormat="1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47624</xdr:rowOff>
    </xdr:from>
    <xdr:to>
      <xdr:col>2</xdr:col>
      <xdr:colOff>482610</xdr:colOff>
      <xdr:row>3</xdr:row>
      <xdr:rowOff>19050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9" y="47624"/>
          <a:ext cx="844561" cy="79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DV39"/>
  <sheetViews>
    <sheetView tabSelected="1" topLeftCell="E19" zoomScale="75" zoomScaleNormal="75" zoomScaleSheetLayoutView="86" workbookViewId="0">
      <selection activeCell="R27" sqref="R27"/>
    </sheetView>
  </sheetViews>
  <sheetFormatPr baseColWidth="10" defaultColWidth="11.42578125" defaultRowHeight="12.75"/>
  <cols>
    <col min="1" max="1" width="1.7109375" style="1" customWidth="1"/>
    <col min="2" max="2" width="5.7109375" style="1" customWidth="1"/>
    <col min="3" max="3" width="9.7109375" style="1" customWidth="1"/>
    <col min="4" max="4" width="6.7109375" style="1" customWidth="1"/>
    <col min="5" max="5" width="6.42578125" style="1" customWidth="1"/>
    <col min="6" max="7" width="20.7109375" style="1" customWidth="1"/>
    <col min="8" max="8" width="5.7109375" style="1" customWidth="1"/>
    <col min="9" max="9" width="25.7109375" style="1" customWidth="1"/>
    <col min="10" max="10" width="5.5703125" style="2" bestFit="1" customWidth="1"/>
    <col min="11" max="11" width="8.7109375" style="3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0.28515625" style="4" customWidth="1"/>
    <col min="22" max="22" width="9.85546875" style="1" bestFit="1" customWidth="1"/>
    <col min="23" max="23" width="8.7109375" style="1" customWidth="1"/>
    <col min="24" max="24" width="1.7109375" style="151" customWidth="1"/>
    <col min="25" max="38" width="11.42578125" style="151" hidden="1" customWidth="1"/>
    <col min="39" max="39" width="11.42578125" style="151"/>
    <col min="40" max="78" width="11.42578125" style="131"/>
    <col min="79" max="16384" width="11.42578125" style="1"/>
  </cols>
  <sheetData>
    <row r="1" spans="1:126" ht="5.0999999999999996" customHeight="1" thickBot="1"/>
    <row r="2" spans="1:126" s="12" customFormat="1" ht="30" customHeight="1">
      <c r="B2" s="13"/>
      <c r="C2" s="127"/>
      <c r="D2" s="204" t="s">
        <v>121</v>
      </c>
      <c r="E2" s="201"/>
      <c r="F2" s="201"/>
      <c r="G2" s="201"/>
      <c r="H2" s="201"/>
      <c r="I2" s="201"/>
      <c r="J2" s="201"/>
      <c r="K2" s="201"/>
      <c r="L2" s="79"/>
      <c r="M2" s="201" t="s">
        <v>122</v>
      </c>
      <c r="N2" s="201"/>
      <c r="O2" s="86"/>
      <c r="P2" s="197" t="s">
        <v>6</v>
      </c>
      <c r="Q2" s="197"/>
      <c r="R2" s="197"/>
      <c r="S2" s="197"/>
      <c r="T2" s="197"/>
      <c r="U2" s="78"/>
      <c r="V2" s="197" t="s">
        <v>15</v>
      </c>
      <c r="W2" s="198"/>
      <c r="X2" s="159"/>
      <c r="Y2" s="159"/>
      <c r="Z2" s="159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</row>
    <row r="3" spans="1:126" s="12" customFormat="1" ht="30" customHeight="1" thickBot="1">
      <c r="B3" s="13"/>
      <c r="C3" s="127"/>
      <c r="D3" s="205"/>
      <c r="E3" s="202"/>
      <c r="F3" s="202"/>
      <c r="G3" s="202"/>
      <c r="H3" s="202"/>
      <c r="I3" s="202"/>
      <c r="J3" s="202"/>
      <c r="K3" s="202"/>
      <c r="L3" s="81"/>
      <c r="M3" s="202"/>
      <c r="N3" s="202"/>
      <c r="O3" s="85"/>
      <c r="P3" s="203" t="s">
        <v>123</v>
      </c>
      <c r="Q3" s="203"/>
      <c r="R3" s="203"/>
      <c r="S3" s="203"/>
      <c r="T3" s="203"/>
      <c r="U3" s="80"/>
      <c r="V3" s="199">
        <v>43022</v>
      </c>
      <c r="W3" s="200"/>
      <c r="X3" s="159"/>
      <c r="Y3" s="159"/>
      <c r="Z3" s="159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</row>
    <row r="4" spans="1:126" s="11" customFormat="1" ht="11.25" customHeight="1" thickBot="1">
      <c r="A4" s="8"/>
      <c r="B4" s="29"/>
      <c r="C4" s="30"/>
      <c r="D4" s="31"/>
      <c r="E4" s="31"/>
      <c r="F4" s="32"/>
      <c r="G4" s="33"/>
      <c r="H4" s="34"/>
      <c r="I4" s="35"/>
      <c r="J4" s="36"/>
      <c r="K4" s="164"/>
      <c r="L4" s="37"/>
      <c r="M4" s="37"/>
      <c r="N4" s="37"/>
      <c r="O4" s="38"/>
      <c r="P4" s="37"/>
      <c r="Q4" s="37"/>
      <c r="R4" s="37"/>
      <c r="S4" s="38"/>
      <c r="T4" s="38"/>
      <c r="U4" s="39"/>
      <c r="V4" s="32"/>
      <c r="W4" s="32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9"/>
      <c r="CM4" s="9"/>
      <c r="CN4" s="9"/>
      <c r="CO4" s="9"/>
      <c r="CP4" s="9"/>
      <c r="CQ4" s="9"/>
      <c r="CR4" s="9"/>
      <c r="CS4" s="9"/>
      <c r="CT4" s="9"/>
      <c r="CU4" s="9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</row>
    <row r="5" spans="1:126" s="21" customFormat="1" ht="18" customHeight="1" thickBot="1">
      <c r="A5" s="19"/>
      <c r="B5" s="22" t="s">
        <v>9</v>
      </c>
      <c r="C5" s="23" t="s">
        <v>10</v>
      </c>
      <c r="D5" s="23" t="s">
        <v>7</v>
      </c>
      <c r="E5" s="90" t="s">
        <v>26</v>
      </c>
      <c r="F5" s="196" t="s">
        <v>0</v>
      </c>
      <c r="G5" s="196"/>
      <c r="H5" s="23" t="s">
        <v>12</v>
      </c>
      <c r="I5" s="23" t="s">
        <v>11</v>
      </c>
      <c r="J5" s="24" t="s">
        <v>5</v>
      </c>
      <c r="K5" s="91" t="s">
        <v>1</v>
      </c>
      <c r="L5" s="25">
        <v>1</v>
      </c>
      <c r="M5" s="26">
        <v>2</v>
      </c>
      <c r="N5" s="26">
        <v>3</v>
      </c>
      <c r="O5" s="27" t="s">
        <v>13</v>
      </c>
      <c r="P5" s="25">
        <v>1</v>
      </c>
      <c r="Q5" s="26">
        <v>2</v>
      </c>
      <c r="R5" s="26">
        <v>3</v>
      </c>
      <c r="S5" s="27" t="s">
        <v>14</v>
      </c>
      <c r="T5" s="28" t="s">
        <v>2</v>
      </c>
      <c r="U5" s="24" t="s">
        <v>3</v>
      </c>
      <c r="V5" s="91" t="s">
        <v>8</v>
      </c>
      <c r="W5" s="22" t="s">
        <v>4</v>
      </c>
      <c r="X5" s="160"/>
      <c r="Y5" s="154"/>
      <c r="Z5" s="154" t="s">
        <v>27</v>
      </c>
      <c r="AA5" s="154" t="s">
        <v>28</v>
      </c>
      <c r="AB5" s="154" t="s">
        <v>29</v>
      </c>
      <c r="AC5" s="154" t="s">
        <v>30</v>
      </c>
      <c r="AD5" s="154" t="s">
        <v>31</v>
      </c>
      <c r="AE5" s="154" t="s">
        <v>32</v>
      </c>
      <c r="AF5" s="154" t="s">
        <v>33</v>
      </c>
      <c r="AG5" s="154" t="s">
        <v>34</v>
      </c>
      <c r="AH5" s="154" t="s">
        <v>35</v>
      </c>
      <c r="AI5" s="154"/>
      <c r="AJ5" s="154"/>
      <c r="AK5" s="154"/>
      <c r="AL5" s="154"/>
      <c r="AM5" s="15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</row>
    <row r="6" spans="1:126" s="11" customFormat="1" ht="7.5" customHeight="1" thickBot="1">
      <c r="A6" s="8"/>
      <c r="B6" s="48"/>
      <c r="C6" s="49"/>
      <c r="D6" s="51"/>
      <c r="E6" s="51"/>
      <c r="F6" s="52"/>
      <c r="G6" s="53"/>
      <c r="H6" s="55"/>
      <c r="I6" s="54"/>
      <c r="J6" s="50"/>
      <c r="K6" s="165"/>
      <c r="L6" s="56"/>
      <c r="M6" s="56"/>
      <c r="N6" s="56"/>
      <c r="O6" s="57"/>
      <c r="P6" s="56"/>
      <c r="Q6" s="56"/>
      <c r="R6" s="56"/>
      <c r="S6" s="57"/>
      <c r="T6" s="57"/>
      <c r="U6" s="51"/>
      <c r="V6" s="59"/>
      <c r="W6" s="58"/>
      <c r="X6" s="153"/>
      <c r="Y6" s="153"/>
      <c r="Z6" s="153" t="s">
        <v>36</v>
      </c>
      <c r="AA6" s="153" t="s">
        <v>37</v>
      </c>
      <c r="AB6" s="153" t="s">
        <v>29</v>
      </c>
      <c r="AC6" s="153" t="s">
        <v>30</v>
      </c>
      <c r="AD6" s="153" t="s">
        <v>31</v>
      </c>
      <c r="AE6" s="153" t="s">
        <v>32</v>
      </c>
      <c r="AF6" s="153" t="s">
        <v>33</v>
      </c>
      <c r="AG6" s="153" t="s">
        <v>34</v>
      </c>
      <c r="AH6" s="153" t="s">
        <v>35</v>
      </c>
      <c r="AI6" s="153"/>
      <c r="AJ6" s="153"/>
      <c r="AK6" s="153"/>
      <c r="AL6" s="153"/>
      <c r="AM6" s="15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9"/>
      <c r="CM6" s="9"/>
      <c r="CN6" s="9"/>
      <c r="CO6" s="9"/>
      <c r="CP6" s="9"/>
      <c r="CQ6" s="9"/>
      <c r="CR6" s="9"/>
      <c r="CS6" s="9"/>
      <c r="CT6" s="9"/>
      <c r="CU6" s="9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</row>
    <row r="7" spans="1:126" s="5" customFormat="1" ht="30" customHeight="1">
      <c r="B7" s="183" t="s">
        <v>127</v>
      </c>
      <c r="C7" s="60">
        <v>49107</v>
      </c>
      <c r="D7" s="193">
        <f>IF(K7=" "," ",RANK(Y9,Y9:Y11,0))</f>
        <v>3</v>
      </c>
      <c r="E7" s="111" t="s">
        <v>118</v>
      </c>
      <c r="F7" s="61" t="s">
        <v>156</v>
      </c>
      <c r="G7" s="62" t="s">
        <v>157</v>
      </c>
      <c r="H7" s="120">
        <v>1969</v>
      </c>
      <c r="I7" s="188" t="s">
        <v>124</v>
      </c>
      <c r="J7" s="117"/>
      <c r="K7" s="166">
        <v>80.5</v>
      </c>
      <c r="L7" s="171">
        <v>60</v>
      </c>
      <c r="M7" s="171">
        <v>70</v>
      </c>
      <c r="N7" s="171">
        <v>80</v>
      </c>
      <c r="O7" s="64">
        <f>IF(H7="","",IF(MAXA(L7:N7)&lt;=0,0,MAXA(L7:N7)))</f>
        <v>80</v>
      </c>
      <c r="P7" s="171">
        <v>90</v>
      </c>
      <c r="Q7" s="171">
        <v>100</v>
      </c>
      <c r="R7" s="63">
        <v>-110</v>
      </c>
      <c r="S7" s="64">
        <f>IF(H7="","",IF(MAXA(P7:R7)&lt;=0,0,MAXA(P7:R7)))</f>
        <v>100</v>
      </c>
      <c r="T7" s="65">
        <f>IF(H7="","",O7+S7)</f>
        <v>180</v>
      </c>
      <c r="U7" s="66" t="str">
        <f t="shared" ref="U7:U11" si="0">+CONCATENATE(AK7," ",AL7)</f>
        <v>DEB 15</v>
      </c>
      <c r="V7" s="115" t="str">
        <f>IF(H7=0," ",IF(E7="H",IF(OR(E7="SEN",H7&lt;1998),VLOOKUP(K7,Minimas!$A$11:$G$29,6),IF(AND(H7&gt;1997,H7&lt;2001),VLOOKUP(K7,Minimas!$A$11:$G$29,5),IF(AND(H7&gt;2000,H7&lt;2003),VLOOKUP(K7,Minimas!$A$11:$G$29,4),IF(AND(H7&gt;2002,H7&lt;2005),VLOOKUP(K7,Minimas!$A$11:$G$29,3),VLOOKUP(K7,Minimas!$A$11:$G$29,2))))),IF(OR(H7="SEN",H7&lt;1998),VLOOKUP(K7,Minimas!$G$11:$L$26,6),IF(AND(H7&gt;1997,H7&lt;2001),VLOOKUP(K7,Minimas!$G$11:$L$26,5),IF(AND(H7&gt;2000,H7&lt;2003),VLOOKUP(K7,Minimas!$G$11:$L$26,4),IF(AND(H7&gt;2002,H7&lt;2005),VLOOKUP(K7,Minimas!$G$11:$L$26,3),VLOOKUP(K7,Minimas!$G$11:$L$26,2)))))))</f>
        <v>S 85</v>
      </c>
      <c r="W7" s="87">
        <f>IF(H7=0," ",IF(E7="H",10^(0.75194503*LOG(K7/175.508)^2)*T7,IF(E7="F",10^(0.783497476* LOG(K7/153.655)^2)*T7,"")))</f>
        <v>219.49902039302904</v>
      </c>
      <c r="X7" s="161"/>
      <c r="Y7" s="155"/>
      <c r="Z7" s="162">
        <f>T7-HLOOKUP(V7,Minimas!$C$1:$BN$10,2,FALSE)</f>
        <v>15</v>
      </c>
      <c r="AA7" s="162">
        <f>T7-HLOOKUP(V7,Minimas!$C$1:$BN$10,3,FALSE)</f>
        <v>-5</v>
      </c>
      <c r="AB7" s="162">
        <f>T7-HLOOKUP(V7,Minimas!$C$1:$BN$10,4,FALSE)</f>
        <v>-25</v>
      </c>
      <c r="AC7" s="162">
        <f>T7-HLOOKUP(V7,Minimas!$C$1:$BN$10,5,FALSE)</f>
        <v>-45</v>
      </c>
      <c r="AD7" s="162">
        <f>T7-HLOOKUP(V7,Minimas!$C$1:$BN$10,6,FALSE)</f>
        <v>-75</v>
      </c>
      <c r="AE7" s="162">
        <f>T7-HLOOKUP(V7,Minimas!$C$1:$BN$10,7,FALSE)</f>
        <v>-100</v>
      </c>
      <c r="AF7" s="162">
        <f>T7-HLOOKUP(V7,Minimas!$C$1:$BN$10,8,FALSE)</f>
        <v>-120</v>
      </c>
      <c r="AG7" s="162">
        <f>T7-HLOOKUP(V7,Minimas!$C$1:$BN$10,9,FALSE)</f>
        <v>-145</v>
      </c>
      <c r="AH7" s="162">
        <f>T7-HLOOKUP(V7,Minimas!$C$1:$BN$10,10,FALSE)</f>
        <v>-165</v>
      </c>
      <c r="AI7" s="155" t="str">
        <f>IF(K7=0," ",IF(AH7&gt;=0,$AH$5,IF(AG7&gt;=0,$AG$5,IF(AF7&gt;=0,$AF$5,IF(AE7&gt;=0,$AE$5,IF(AD7&gt;=0,$AD$5,IF(AC7&gt;=0,$AC$5,IF(AB7&gt;=0,$AB$5,IF(AA7&gt;=0,$AA$5,$Z$5)))))))))</f>
        <v>DEB</v>
      </c>
      <c r="AJ7" s="155"/>
      <c r="AK7" s="155" t="str">
        <f>IF(AI7="","",AI7)</f>
        <v>DEB</v>
      </c>
      <c r="AL7" s="155">
        <f>IF(E7=0," ",IF(AH7&gt;=0,AH7,IF(AG7&gt;=0,AG7,IF(AF7&gt;=0,AF7,IF(AE7&gt;=0,AE7,IF(AD7&gt;=0,AD7,IF(AC7&gt;=0,AC7,IF(AB7&gt;=0,AB7,IF(AA7&gt;=0,AA7,Z7)))))))))</f>
        <v>15</v>
      </c>
      <c r="AM7" s="15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</row>
    <row r="8" spans="1:126" s="5" customFormat="1" ht="30" customHeight="1">
      <c r="B8" s="184"/>
      <c r="C8" s="40">
        <v>430488</v>
      </c>
      <c r="D8" s="194"/>
      <c r="E8" s="112" t="s">
        <v>118</v>
      </c>
      <c r="F8" s="41" t="s">
        <v>128</v>
      </c>
      <c r="G8" s="42" t="s">
        <v>129</v>
      </c>
      <c r="H8" s="121">
        <v>1977</v>
      </c>
      <c r="I8" s="189"/>
      <c r="J8" s="118" t="s">
        <v>25</v>
      </c>
      <c r="K8" s="167">
        <v>83.1</v>
      </c>
      <c r="L8" s="171">
        <v>77</v>
      </c>
      <c r="M8" s="63">
        <v>-81</v>
      </c>
      <c r="N8" s="171">
        <v>81</v>
      </c>
      <c r="O8" s="64">
        <f t="shared" ref="O8:O11" si="1">IF(H8="","",IF(MAXA(L8:N8)&lt;=0,0,MAXA(L8:N8)))</f>
        <v>81</v>
      </c>
      <c r="P8" s="171">
        <v>95</v>
      </c>
      <c r="Q8" s="171">
        <v>100</v>
      </c>
      <c r="R8" s="63">
        <v>-105</v>
      </c>
      <c r="S8" s="64">
        <f t="shared" ref="S8" si="2">IF(H8="","",IF(MAXA(P8:R8)&lt;=0,0,MAXA(P8:R8)))</f>
        <v>100</v>
      </c>
      <c r="T8" s="65">
        <f t="shared" ref="T8" si="3">IF(H8="","",O8+S8)</f>
        <v>181</v>
      </c>
      <c r="U8" s="66" t="str">
        <f t="shared" ref="U8" si="4">+CONCATENATE(AK8," ",AL8)</f>
        <v>DEB 16</v>
      </c>
      <c r="V8" s="115" t="str">
        <f>IF(H8=0," ",IF(E8="H",IF(OR(E8="SEN",H8&lt;1998),VLOOKUP(K8,Minimas!$A$11:$G$29,6),IF(AND(H8&gt;1997,H8&lt;2001),VLOOKUP(K8,Minimas!$A$11:$G$29,5),IF(AND(H8&gt;2000,H8&lt;2003),VLOOKUP(K8,Minimas!$A$11:$G$29,4),IF(AND(H8&gt;2002,H8&lt;2005),VLOOKUP(K8,Minimas!$A$11:$G$29,3),VLOOKUP(K8,Minimas!$A$11:$G$29,2))))),IF(OR(H8="SEN",H8&lt;1998),VLOOKUP(K8,Minimas!$G$11:$L$26,6),IF(AND(H8&gt;1997,H8&lt;2001),VLOOKUP(K8,Minimas!$G$11:$L$26,5),IF(AND(H8&gt;2000,H8&lt;2003),VLOOKUP(K8,Minimas!$G$11:$L$26,4),IF(AND(H8&gt;2002,H8&lt;2005),VLOOKUP(K8,Minimas!$G$11:$L$26,3),VLOOKUP(K8,Minimas!$G$11:$L$26,2)))))))</f>
        <v>S 85</v>
      </c>
      <c r="W8" s="87">
        <f t="shared" ref="W8" si="5">IF(H8=0," ",IF(E8="H",10^(0.75194503*LOG(K8/175.508)^2)*T8,IF(E8="F",10^(0.783497476* LOG(K8/153.655)^2)*T8,"")))</f>
        <v>217.24720703425106</v>
      </c>
      <c r="X8" s="161"/>
      <c r="Y8" s="163">
        <f>I9</f>
        <v>0</v>
      </c>
      <c r="Z8" s="162">
        <f>T8-HLOOKUP(V8,Minimas!$C$1:$BN$10,2,FALSE)</f>
        <v>16</v>
      </c>
      <c r="AA8" s="162">
        <f>T8-HLOOKUP(V8,Minimas!$C$1:$BN$10,3,FALSE)</f>
        <v>-4</v>
      </c>
      <c r="AB8" s="162">
        <f>T8-HLOOKUP(V8,Minimas!$C$1:$BN$10,4,FALSE)</f>
        <v>-24</v>
      </c>
      <c r="AC8" s="162">
        <f>T8-HLOOKUP(V8,Minimas!$C$1:$BN$10,5,FALSE)</f>
        <v>-44</v>
      </c>
      <c r="AD8" s="162">
        <f>T8-HLOOKUP(V8,Minimas!$C$1:$BN$10,6,FALSE)</f>
        <v>-74</v>
      </c>
      <c r="AE8" s="162">
        <f>T8-HLOOKUP(V8,Minimas!$C$1:$BN$10,7,FALSE)</f>
        <v>-99</v>
      </c>
      <c r="AF8" s="162">
        <f>T8-HLOOKUP(V8,Minimas!$C$1:$BN$10,8,FALSE)</f>
        <v>-119</v>
      </c>
      <c r="AG8" s="162">
        <f>T8-HLOOKUP(V8,Minimas!$C$1:$BN$10,9,FALSE)</f>
        <v>-144</v>
      </c>
      <c r="AH8" s="162">
        <f>T8-HLOOKUP(V8,Minimas!$C$1:$BN$10,10,FALSE)</f>
        <v>-164</v>
      </c>
      <c r="AI8" s="155" t="str">
        <f t="shared" ref="AI8" si="6">IF(K8=0," ",IF(AH8&gt;=0,$AH$5,IF(AG8&gt;=0,$AG$5,IF(AF8&gt;=0,$AF$5,IF(AE8&gt;=0,$AE$5,IF(AD8&gt;=0,$AD$5,IF(AC8&gt;=0,$AC$5,IF(AB8&gt;=0,$AB$5,IF(AA8&gt;=0,$AA$5,$Z$5)))))))))</f>
        <v>DEB</v>
      </c>
      <c r="AJ8" s="155"/>
      <c r="AK8" s="155" t="str">
        <f t="shared" ref="AK8" si="7">IF(AI8="","",AI8)</f>
        <v>DEB</v>
      </c>
      <c r="AL8" s="155">
        <f>IF(H8=0," ",IF(AH8&gt;=0,AH8,IF(AG8&gt;=0,AG8,IF(AF8&gt;=0,AF8,IF(AE8&gt;=0,AE8,IF(AD8&gt;=0,AD8,IF(AC8&gt;=0,AC8,IF(AB8&gt;=0,AB8,IF(AA8&gt;=0,AA8,Z8)))))))))</f>
        <v>16</v>
      </c>
      <c r="AM8" s="15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</row>
    <row r="9" spans="1:126" s="5" customFormat="1" ht="30" customHeight="1" thickBot="1">
      <c r="B9" s="184"/>
      <c r="C9" s="40">
        <v>418922</v>
      </c>
      <c r="D9" s="194" t="e">
        <f>IF(S9="","",RANK(S9,$Y$9:$Y$11,0))</f>
        <v>#N/A</v>
      </c>
      <c r="E9" s="112" t="s">
        <v>118</v>
      </c>
      <c r="F9" s="41" t="s">
        <v>130</v>
      </c>
      <c r="G9" s="42" t="s">
        <v>131</v>
      </c>
      <c r="H9" s="121">
        <v>1980</v>
      </c>
      <c r="I9" s="189"/>
      <c r="J9" s="118" t="s">
        <v>25</v>
      </c>
      <c r="K9" s="167">
        <v>72.400000000000006</v>
      </c>
      <c r="L9" s="171">
        <v>60</v>
      </c>
      <c r="M9" s="171">
        <v>65</v>
      </c>
      <c r="N9" s="171">
        <v>70</v>
      </c>
      <c r="O9" s="64">
        <f t="shared" si="1"/>
        <v>70</v>
      </c>
      <c r="P9" s="171">
        <v>80</v>
      </c>
      <c r="Q9" s="172">
        <v>-85</v>
      </c>
      <c r="R9" s="63">
        <v>-85</v>
      </c>
      <c r="S9" s="64">
        <f t="shared" ref="S9:S23" si="8">IF(H9="","",IF(MAXA(P9:R9)&lt;=0,0,MAXA(P9:R9)))</f>
        <v>80</v>
      </c>
      <c r="T9" s="65">
        <f t="shared" ref="T9:T11" si="9">IF(H9="","",O9+S9)</f>
        <v>150</v>
      </c>
      <c r="U9" s="66" t="str">
        <f t="shared" si="0"/>
        <v>DEB 0</v>
      </c>
      <c r="V9" s="115" t="str">
        <f>IF(H9=0," ",IF(E9="H",IF(OR(E9="SEN",H9&lt;1998),VLOOKUP(K9,Minimas!$A$11:$G$29,6),IF(AND(H9&gt;1997,H9&lt;2001),VLOOKUP(K9,Minimas!$A$11:$G$29,5),IF(AND(H9&gt;2000,H9&lt;2003),VLOOKUP(K9,Minimas!$A$11:$G$29,4),IF(AND(H9&gt;2002,H9&lt;2005),VLOOKUP(K9,Minimas!$A$11:$G$29,3),VLOOKUP(K9,Minimas!$A$11:$G$29,2))))),IF(OR(H9="SEN",H9&lt;1998),VLOOKUP(K9,Minimas!$G$11:$L$26,6),IF(AND(H9&gt;1997,H9&lt;2001),VLOOKUP(K9,Minimas!$G$11:$L$26,5),IF(AND(H9&gt;2000,H9&lt;2003),VLOOKUP(K9,Minimas!$G$11:$L$26,4),IF(AND(H9&gt;2002,H9&lt;2005),VLOOKUP(K9,Minimas!$G$11:$L$26,3),VLOOKUP(K9,Minimas!$G$11:$L$26,2)))))))</f>
        <v>S 77</v>
      </c>
      <c r="W9" s="87">
        <f t="shared" ref="W9:W11" si="10">IF(H9=0," ",IF(E9="H",10^(0.75194503*LOG(K9/175.508)^2)*T9,IF(E9="F",10^(0.783497476* LOG(K9/153.655)^2)*T9,"")))</f>
        <v>193.77276843694031</v>
      </c>
      <c r="X9" s="161"/>
      <c r="Y9" s="163">
        <f>I10</f>
        <v>1059.8762019150768</v>
      </c>
      <c r="Z9" s="162">
        <f>T9-HLOOKUP(V9,Minimas!$C$1:$BN$10,2,FALSE)</f>
        <v>0</v>
      </c>
      <c r="AA9" s="162">
        <f>T9-HLOOKUP(V9,Minimas!$C$1:$BN$10,3,FALSE)</f>
        <v>-20</v>
      </c>
      <c r="AB9" s="162">
        <f>T9-HLOOKUP(V9,Minimas!$C$1:$BN$10,4,FALSE)</f>
        <v>-40</v>
      </c>
      <c r="AC9" s="162">
        <f>T9-HLOOKUP(V9,Minimas!$C$1:$BN$10,5,FALSE)</f>
        <v>-65</v>
      </c>
      <c r="AD9" s="162">
        <f>T9-HLOOKUP(V9,Minimas!$C$1:$BN$10,6,FALSE)</f>
        <v>-95</v>
      </c>
      <c r="AE9" s="162">
        <f>T9-HLOOKUP(V9,Minimas!$C$1:$BN$10,7,FALSE)</f>
        <v>-115</v>
      </c>
      <c r="AF9" s="162">
        <f>T9-HLOOKUP(V9,Minimas!$C$1:$BN$10,8,FALSE)</f>
        <v>-135</v>
      </c>
      <c r="AG9" s="162">
        <f>T9-HLOOKUP(V9,Minimas!$C$1:$BN$10,9,FALSE)</f>
        <v>-155</v>
      </c>
      <c r="AH9" s="162">
        <f>T9-HLOOKUP(V9,Minimas!$C$1:$BN$10,10,FALSE)</f>
        <v>-170</v>
      </c>
      <c r="AI9" s="155" t="str">
        <f t="shared" ref="AI9:AI27" si="11">IF(K9=0," ",IF(AH9&gt;=0,$AH$5,IF(AG9&gt;=0,$AG$5,IF(AF9&gt;=0,$AF$5,IF(AE9&gt;=0,$AE$5,IF(AD9&gt;=0,$AD$5,IF(AC9&gt;=0,$AC$5,IF(AB9&gt;=0,$AB$5,IF(AA9&gt;=0,$AA$5,$Z$5)))))))))</f>
        <v>DEB</v>
      </c>
      <c r="AJ9" s="155"/>
      <c r="AK9" s="155" t="str">
        <f t="shared" ref="AK9:AK23" si="12">IF(AI9="","",AI9)</f>
        <v>DEB</v>
      </c>
      <c r="AL9" s="155">
        <f>IF(H9=0," ",IF(AH9&gt;=0,AH9,IF(AG9&gt;=0,AG9,IF(AF9&gt;=0,AF9,IF(AE9&gt;=0,AE9,IF(AD9&gt;=0,AD9,IF(AC9&gt;=0,AC9,IF(AB9&gt;=0,AB9,IF(AA9&gt;=0,AA9,Z9)))))))))</f>
        <v>0</v>
      </c>
      <c r="AM9" s="15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</row>
    <row r="10" spans="1:126" s="5" customFormat="1" ht="30" customHeight="1">
      <c r="B10" s="184"/>
      <c r="C10" s="40">
        <v>273494</v>
      </c>
      <c r="D10" s="194" t="e">
        <f>IF(S10="","",RANK(S10,$Y$9:$Y$11,0))</f>
        <v>#N/A</v>
      </c>
      <c r="E10" s="113" t="s">
        <v>118</v>
      </c>
      <c r="F10" s="41" t="s">
        <v>132</v>
      </c>
      <c r="G10" s="42" t="s">
        <v>133</v>
      </c>
      <c r="H10" s="123">
        <v>1981</v>
      </c>
      <c r="I10" s="186">
        <f>SUM(W7:W11)</f>
        <v>1059.8762019150768</v>
      </c>
      <c r="J10" s="125" t="s">
        <v>25</v>
      </c>
      <c r="K10" s="167">
        <v>93.5</v>
      </c>
      <c r="L10" s="171">
        <v>75</v>
      </c>
      <c r="M10" s="63">
        <v>-80</v>
      </c>
      <c r="N10" s="63">
        <v>-80</v>
      </c>
      <c r="O10" s="64">
        <f t="shared" si="1"/>
        <v>75</v>
      </c>
      <c r="P10" s="171">
        <v>95</v>
      </c>
      <c r="Q10" s="171">
        <v>100</v>
      </c>
      <c r="R10" s="171">
        <v>105</v>
      </c>
      <c r="S10" s="64">
        <f t="shared" si="8"/>
        <v>105</v>
      </c>
      <c r="T10" s="65">
        <f t="shared" si="9"/>
        <v>180</v>
      </c>
      <c r="U10" s="66" t="str">
        <f t="shared" si="0"/>
        <v>DEB 10</v>
      </c>
      <c r="V10" s="115" t="str">
        <f>IF(H10=0," ",IF(E10="H",IF(OR(E10="SEN",H10&lt;1998),VLOOKUP(K10,Minimas!$A$11:$G$29,6),IF(AND(H10&gt;1997,H10&lt;2001),VLOOKUP(K10,Minimas!$A$11:$G$29,5),IF(AND(H10&gt;2000,H10&lt;2003),VLOOKUP(K10,Minimas!$A$11:$G$29,4),IF(AND(H10&gt;2002,H10&lt;2005),VLOOKUP(K10,Minimas!$A$11:$G$29,3),VLOOKUP(K10,Minimas!$A$11:$G$29,2))))),IF(OR(H10="SEN",H10&lt;1998),VLOOKUP(K10,Minimas!$G$11:$L$26,6),IF(AND(H10&gt;1997,H10&lt;2001),VLOOKUP(K10,Minimas!$G$11:$L$26,5),IF(AND(H10&gt;2000,H10&lt;2003),VLOOKUP(K10,Minimas!$G$11:$L$26,4),IF(AND(H10&gt;2002,H10&lt;2005),VLOOKUP(K10,Minimas!$G$11:$L$26,3),VLOOKUP(K10,Minimas!$G$11:$L$26,2)))))))</f>
        <v>S 94</v>
      </c>
      <c r="W10" s="87">
        <f t="shared" si="10"/>
        <v>204.886640622155</v>
      </c>
      <c r="X10" s="161"/>
      <c r="Y10" s="163">
        <f>I16</f>
        <v>1203.1142656680543</v>
      </c>
      <c r="Z10" s="162">
        <f>T10-HLOOKUP(V10,Minimas!$C$1:$BN$10,2,FALSE)</f>
        <v>10</v>
      </c>
      <c r="AA10" s="162">
        <f>T10-HLOOKUP(V10,Minimas!$C$1:$BN$10,3,FALSE)</f>
        <v>-10</v>
      </c>
      <c r="AB10" s="162">
        <f>T10-HLOOKUP(V10,Minimas!$C$1:$BN$10,4,FALSE)</f>
        <v>-35</v>
      </c>
      <c r="AC10" s="162">
        <f>T10-HLOOKUP(V10,Minimas!$C$1:$BN$10,5,FALSE)</f>
        <v>-55</v>
      </c>
      <c r="AD10" s="162">
        <f>T10-HLOOKUP(V10,Minimas!$C$1:$BN$10,6,FALSE)</f>
        <v>-85</v>
      </c>
      <c r="AE10" s="162">
        <f>T10-HLOOKUP(V10,Minimas!$C$1:$BN$10,7,FALSE)</f>
        <v>-110</v>
      </c>
      <c r="AF10" s="162">
        <f>T10-HLOOKUP(V10,Minimas!$C$1:$BN$10,8,FALSE)</f>
        <v>-130</v>
      </c>
      <c r="AG10" s="162">
        <f>T10-HLOOKUP(V10,Minimas!$C$1:$BN$10,9,FALSE)</f>
        <v>-150</v>
      </c>
      <c r="AH10" s="162">
        <f>T10-HLOOKUP(V10,Minimas!$C$1:$BN$10,10,FALSE)</f>
        <v>-175</v>
      </c>
      <c r="AI10" s="155" t="str">
        <f t="shared" si="11"/>
        <v>DEB</v>
      </c>
      <c r="AJ10" s="155"/>
      <c r="AK10" s="155" t="str">
        <f t="shared" si="12"/>
        <v>DEB</v>
      </c>
      <c r="AL10" s="155">
        <f t="shared" ref="AL10:AL23" si="13">IF(H10=0," ",IF(AH10&gt;=0,AH10,IF(AG10&gt;=0,AG10,IF(AF10&gt;=0,AF10,IF(AE10&gt;=0,AE10,IF(AD10&gt;=0,AD10,IF(AC10&gt;=0,AC10,IF(AB10&gt;=0,AB10,IF(AA10&gt;=0,AA10,Z10)))))))))</f>
        <v>10</v>
      </c>
      <c r="AM10" s="15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</row>
    <row r="11" spans="1:126" s="5" customFormat="1" ht="30" customHeight="1" thickBot="1">
      <c r="B11" s="185"/>
      <c r="C11" s="45">
        <v>427603</v>
      </c>
      <c r="D11" s="195" t="e">
        <f>IF(S11="","",RANK(S11,$Y$9:$Y$11,0))</f>
        <v>#N/A</v>
      </c>
      <c r="E11" s="111" t="s">
        <v>118</v>
      </c>
      <c r="F11" s="46" t="s">
        <v>134</v>
      </c>
      <c r="G11" s="47" t="s">
        <v>135</v>
      </c>
      <c r="H11" s="124">
        <v>1973</v>
      </c>
      <c r="I11" s="187"/>
      <c r="J11" s="126" t="s">
        <v>25</v>
      </c>
      <c r="K11" s="168">
        <v>81.3</v>
      </c>
      <c r="L11" s="171">
        <v>77</v>
      </c>
      <c r="M11" s="171">
        <v>82</v>
      </c>
      <c r="N11" s="171">
        <v>85</v>
      </c>
      <c r="O11" s="64">
        <f t="shared" si="1"/>
        <v>85</v>
      </c>
      <c r="P11" s="171">
        <v>95</v>
      </c>
      <c r="Q11" s="171">
        <v>100</v>
      </c>
      <c r="R11" s="63">
        <v>-105</v>
      </c>
      <c r="S11" s="64">
        <f t="shared" si="8"/>
        <v>100</v>
      </c>
      <c r="T11" s="65">
        <f t="shared" si="9"/>
        <v>185</v>
      </c>
      <c r="U11" s="66" t="str">
        <f t="shared" si="0"/>
        <v>DPT + 0</v>
      </c>
      <c r="V11" s="115" t="str">
        <f>IF(H11=0," ",IF(E11="H",IF(OR(E11="SEN",H11&lt;1998),VLOOKUP(K11,Minimas!$A$11:$G$29,6),IF(AND(H11&gt;1997,H11&lt;2001),VLOOKUP(K11,Minimas!$A$11:$G$29,5),IF(AND(H11&gt;2000,H11&lt;2003),VLOOKUP(K11,Minimas!$A$11:$G$29,4),IF(AND(H11&gt;2002,H11&lt;2005),VLOOKUP(K11,Minimas!$A$11:$G$29,3),VLOOKUP(K11,Minimas!$A$11:$G$29,2))))),IF(OR(H11="SEN",H11&lt;1998),VLOOKUP(K11,Minimas!$G$11:$L$26,6),IF(AND(H11&gt;1997,H11&lt;2001),VLOOKUP(K11,Minimas!$G$11:$L$26,5),IF(AND(H11&gt;2000,H11&lt;2003),VLOOKUP(K11,Minimas!$G$11:$L$26,4),IF(AND(H11&gt;2002,H11&lt;2005),VLOOKUP(K11,Minimas!$G$11:$L$26,3),VLOOKUP(K11,Minimas!$G$11:$L$26,2)))))))</f>
        <v>S 85</v>
      </c>
      <c r="W11" s="87">
        <f t="shared" si="10"/>
        <v>224.47056542870124</v>
      </c>
      <c r="X11" s="161"/>
      <c r="Y11" s="163">
        <f>I22</f>
        <v>1124.7199065430432</v>
      </c>
      <c r="Z11" s="162">
        <f>T11-HLOOKUP(V11,Minimas!$C$1:$BN$10,2,FALSE)</f>
        <v>20</v>
      </c>
      <c r="AA11" s="162">
        <f>T11-HLOOKUP(V11,Minimas!$C$1:$BN$10,3,FALSE)</f>
        <v>0</v>
      </c>
      <c r="AB11" s="162">
        <f>T11-HLOOKUP(V11,Minimas!$C$1:$BN$10,4,FALSE)</f>
        <v>-20</v>
      </c>
      <c r="AC11" s="162">
        <f>T11-HLOOKUP(V11,Minimas!$C$1:$BN$10,5,FALSE)</f>
        <v>-40</v>
      </c>
      <c r="AD11" s="162">
        <f>T11-HLOOKUP(V11,Minimas!$C$1:$BN$10,6,FALSE)</f>
        <v>-70</v>
      </c>
      <c r="AE11" s="162">
        <f>T11-HLOOKUP(V11,Minimas!$C$1:$BN$10,7,FALSE)</f>
        <v>-95</v>
      </c>
      <c r="AF11" s="162">
        <f>T11-HLOOKUP(V11,Minimas!$C$1:$BN$10,8,FALSE)</f>
        <v>-115</v>
      </c>
      <c r="AG11" s="162">
        <f>T11-HLOOKUP(V11,Minimas!$C$1:$BN$10,9,FALSE)</f>
        <v>-140</v>
      </c>
      <c r="AH11" s="162">
        <f>T11-HLOOKUP(V11,Minimas!$C$1:$BN$10,10,FALSE)</f>
        <v>-160</v>
      </c>
      <c r="AI11" s="155" t="str">
        <f t="shared" si="11"/>
        <v>DPT +</v>
      </c>
      <c r="AJ11" s="155"/>
      <c r="AK11" s="155" t="str">
        <f t="shared" si="12"/>
        <v>DPT +</v>
      </c>
      <c r="AL11" s="155">
        <f t="shared" si="13"/>
        <v>0</v>
      </c>
      <c r="AM11" s="15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</row>
    <row r="12" spans="1:126" s="11" customFormat="1" ht="7.5" customHeight="1" thickBot="1">
      <c r="A12" s="8"/>
      <c r="B12" s="48"/>
      <c r="C12" s="49"/>
      <c r="D12" s="150"/>
      <c r="E12" s="114"/>
      <c r="F12" s="52"/>
      <c r="G12" s="53"/>
      <c r="H12" s="122"/>
      <c r="I12" s="54"/>
      <c r="J12" s="119"/>
      <c r="K12" s="169"/>
      <c r="L12" s="88"/>
      <c r="M12" s="88"/>
      <c r="N12" s="88"/>
      <c r="O12" s="57"/>
      <c r="P12" s="88"/>
      <c r="Q12" s="88"/>
      <c r="R12" s="88"/>
      <c r="S12" s="57"/>
      <c r="T12" s="57"/>
      <c r="U12" s="51"/>
      <c r="V12" s="51"/>
      <c r="W12" s="58"/>
      <c r="X12" s="153"/>
      <c r="Y12" s="153"/>
      <c r="Z12" s="162"/>
      <c r="AA12" s="162"/>
      <c r="AB12" s="162"/>
      <c r="AC12" s="162"/>
      <c r="AD12" s="162"/>
      <c r="AE12" s="162"/>
      <c r="AF12" s="162"/>
      <c r="AG12" s="162"/>
      <c r="AH12" s="162"/>
      <c r="AI12" s="155"/>
      <c r="AJ12" s="155"/>
      <c r="AK12" s="155"/>
      <c r="AL12" s="155"/>
      <c r="AM12" s="15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</row>
    <row r="13" spans="1:126" s="5" customFormat="1" ht="30" customHeight="1">
      <c r="B13" s="183" t="s">
        <v>127</v>
      </c>
      <c r="C13" s="60">
        <v>230768</v>
      </c>
      <c r="D13" s="193">
        <f>IF(K13=0," ",RANK(Y10,Y9:Y11,0))</f>
        <v>1</v>
      </c>
      <c r="E13" s="111" t="s">
        <v>118</v>
      </c>
      <c r="F13" s="61" t="s">
        <v>145</v>
      </c>
      <c r="G13" s="62" t="s">
        <v>136</v>
      </c>
      <c r="H13" s="120">
        <v>1997</v>
      </c>
      <c r="I13" s="190" t="s">
        <v>125</v>
      </c>
      <c r="J13" s="117" t="s">
        <v>25</v>
      </c>
      <c r="K13" s="166">
        <v>71.099999999999994</v>
      </c>
      <c r="L13" s="171">
        <v>90</v>
      </c>
      <c r="M13" s="63">
        <v>-100</v>
      </c>
      <c r="N13" s="171">
        <v>100</v>
      </c>
      <c r="O13" s="64">
        <f>IF(H13="","",IF(MAXA(L13:N13)&lt;=0,0,MAXA(L13:N13)))</f>
        <v>100</v>
      </c>
      <c r="P13" s="171">
        <v>110</v>
      </c>
      <c r="Q13" s="171">
        <v>115</v>
      </c>
      <c r="R13" s="171">
        <v>120</v>
      </c>
      <c r="S13" s="64">
        <f>IF(H13="","",IF(MAXA(P13:R13)&lt;=0,0,MAXA(P13:R13)))</f>
        <v>120</v>
      </c>
      <c r="T13" s="65">
        <f>IF(H13="","",O13+S13)</f>
        <v>220</v>
      </c>
      <c r="U13" s="66" t="str">
        <f>+CONCATENATE(AK13," ",AL13)</f>
        <v>IRG + 5</v>
      </c>
      <c r="V13" s="115" t="str">
        <f>IF(H13=0," ",IF(E13="H",IF(OR(E13="SEN",H13&lt;1998),VLOOKUP(K13,Minimas!$A$11:$G$29,6),IF(AND(H13&gt;1997,H13&lt;2001),VLOOKUP(K13,Minimas!$A$11:$G$29,5),IF(AND(H13&gt;2000,H13&lt;2003),VLOOKUP(K13,Minimas!$A$11:$G$29,4),IF(AND(H13&gt;2002,H13&lt;2005),VLOOKUP(K13,Minimas!$A$11:$G$29,3),VLOOKUP(K13,Minimas!$A$11:$G$29,2))))),IF(OR(H13="SEN",H13&lt;1998),VLOOKUP(K13,Minimas!$G$11:$L$26,6),IF(AND(H13&gt;1997,H13&lt;2001),VLOOKUP(K13,Minimas!$G$11:$L$26,5),IF(AND(H13&gt;2000,H13&lt;2003),VLOOKUP(K13,Minimas!$G$11:$L$26,4),IF(AND(H13&gt;2002,H13&lt;2005),VLOOKUP(K13,Minimas!$G$11:$L$26,3),VLOOKUP(K13,Minimas!$G$11:$L$26,2)))))))</f>
        <v>S 77</v>
      </c>
      <c r="W13" s="87">
        <f>IF(H13=0," ",IF(E13="H",10^(0.75194503*LOG(K13/175.508)^2)*T13,IF(E13="F",10^(0.783497476* LOG(K13/153.655)^2)*T13,"")))</f>
        <v>287.22458654241831</v>
      </c>
      <c r="X13" s="161"/>
      <c r="Y13" s="155"/>
      <c r="Z13" s="162">
        <f>T13-HLOOKUP(V13,Minimas!$C$1:$BN$10,2,FALSE)</f>
        <v>70</v>
      </c>
      <c r="AA13" s="162">
        <f>T13-HLOOKUP(V13,Minimas!$C$1:$BN$10,3,FALSE)</f>
        <v>50</v>
      </c>
      <c r="AB13" s="162">
        <f>T13-HLOOKUP(V13,Minimas!$C$1:$BN$10,4,FALSE)</f>
        <v>30</v>
      </c>
      <c r="AC13" s="162">
        <f>T13-HLOOKUP(V13,Minimas!$C$1:$BN$10,5,FALSE)</f>
        <v>5</v>
      </c>
      <c r="AD13" s="162">
        <f>T13-HLOOKUP(V13,Minimas!$C$1:$BN$10,6,FALSE)</f>
        <v>-25</v>
      </c>
      <c r="AE13" s="162">
        <f>T13-HLOOKUP(V13,Minimas!$C$1:$BN$10,7,FALSE)</f>
        <v>-45</v>
      </c>
      <c r="AF13" s="162">
        <f>T13-HLOOKUP(V13,Minimas!$C$1:$BN$10,8,FALSE)</f>
        <v>-65</v>
      </c>
      <c r="AG13" s="162">
        <f>T13-HLOOKUP(V13,Minimas!$C$1:$BN$10,9,FALSE)</f>
        <v>-85</v>
      </c>
      <c r="AH13" s="162">
        <f>T13-HLOOKUP(V13,Minimas!$C$1:$BN$10,10,FALSE)</f>
        <v>-100</v>
      </c>
      <c r="AI13" s="155" t="str">
        <f t="shared" si="11"/>
        <v>IRG +</v>
      </c>
      <c r="AJ13" s="155"/>
      <c r="AK13" s="155" t="str">
        <f t="shared" si="12"/>
        <v>IRG +</v>
      </c>
      <c r="AL13" s="155">
        <f t="shared" si="13"/>
        <v>5</v>
      </c>
      <c r="AM13" s="15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</row>
    <row r="14" spans="1:126" s="5" customFormat="1" ht="30" customHeight="1">
      <c r="B14" s="184"/>
      <c r="C14" s="40">
        <v>338586</v>
      </c>
      <c r="D14" s="194"/>
      <c r="E14" s="113" t="s">
        <v>118</v>
      </c>
      <c r="F14" s="41" t="s">
        <v>137</v>
      </c>
      <c r="G14" s="42" t="s">
        <v>138</v>
      </c>
      <c r="H14" s="121">
        <v>1985</v>
      </c>
      <c r="I14" s="191"/>
      <c r="J14" s="118" t="s">
        <v>25</v>
      </c>
      <c r="K14" s="167">
        <v>68.599999999999994</v>
      </c>
      <c r="L14" s="171">
        <v>68</v>
      </c>
      <c r="M14" s="171">
        <v>72</v>
      </c>
      <c r="N14" s="63">
        <v>-75</v>
      </c>
      <c r="O14" s="64">
        <f t="shared" ref="O14:O17" si="14">IF(H14="","",IF(MAXA(L14:N14)&lt;=0,0,MAXA(L14:N14)))</f>
        <v>72</v>
      </c>
      <c r="P14" s="63">
        <v>-90</v>
      </c>
      <c r="Q14" s="171">
        <v>90</v>
      </c>
      <c r="R14" s="63">
        <v>-95</v>
      </c>
      <c r="S14" s="64">
        <f t="shared" ref="S14" si="15">IF(H14="","",IF(MAXA(P14:R14)&lt;=0,0,MAXA(P14:R14)))</f>
        <v>90</v>
      </c>
      <c r="T14" s="65">
        <f t="shared" ref="T14" si="16">IF(H14="","",O14+S14)</f>
        <v>162</v>
      </c>
      <c r="U14" s="66" t="str">
        <f t="shared" ref="U14" si="17">+CONCATENATE(AK14," ",AL14)</f>
        <v>DPT + 12</v>
      </c>
      <c r="V14" s="115" t="str">
        <f>IF(H14=0," ",IF(E14="H",IF(OR(E14="SEN",H14&lt;1998),VLOOKUP(K14,Minimas!$A$11:$G$29,6),IF(AND(H14&gt;1997,H14&lt;2001),VLOOKUP(K14,Minimas!$A$11:$G$29,5),IF(AND(H14&gt;2000,H14&lt;2003),VLOOKUP(K14,Minimas!$A$11:$G$29,4),IF(AND(H14&gt;2002,H14&lt;2005),VLOOKUP(K14,Minimas!$A$11:$G$29,3),VLOOKUP(K14,Minimas!$A$11:$G$29,2))))),IF(OR(H14="SEN",H14&lt;1998),VLOOKUP(K14,Minimas!$G$11:$L$26,6),IF(AND(H14&gt;1997,H14&lt;2001),VLOOKUP(K14,Minimas!$G$11:$L$26,5),IF(AND(H14&gt;2000,H14&lt;2003),VLOOKUP(K14,Minimas!$G$11:$L$26,4),IF(AND(H14&gt;2002,H14&lt;2005),VLOOKUP(K14,Minimas!$G$11:$L$26,3),VLOOKUP(K14,Minimas!$G$11:$L$26,2)))))))</f>
        <v>S 69</v>
      </c>
      <c r="W14" s="87">
        <f>IF(H14=0," ",IF(E14="H",10^(0.75194503*LOG(K14/175.508)^2)*T14,IF(E14="F",10^(0.783497476* LOG(K14/153.655)^2)*T14,"")))</f>
        <v>216.10763168465454</v>
      </c>
      <c r="X14" s="161"/>
      <c r="Y14" s="155"/>
      <c r="Z14" s="162">
        <f>T14-HLOOKUP(V14,Minimas!$C$1:$BN$10,2,FALSE)</f>
        <v>32</v>
      </c>
      <c r="AA14" s="162">
        <f>T14-HLOOKUP(V14,Minimas!$C$1:$BN$10,3,FALSE)</f>
        <v>12</v>
      </c>
      <c r="AB14" s="162">
        <f>T14-HLOOKUP(V14,Minimas!$C$1:$BN$10,4,FALSE)</f>
        <v>-8</v>
      </c>
      <c r="AC14" s="162">
        <f>T14-HLOOKUP(V14,Minimas!$C$1:$BN$10,5,FALSE)</f>
        <v>-33</v>
      </c>
      <c r="AD14" s="162">
        <f>T14-HLOOKUP(V14,Minimas!$C$1:$BN$10,6,FALSE)</f>
        <v>-63</v>
      </c>
      <c r="AE14" s="162">
        <f>T14-HLOOKUP(V14,Minimas!$C$1:$BN$10,7,FALSE)</f>
        <v>-78</v>
      </c>
      <c r="AF14" s="162">
        <f>T14-HLOOKUP(V14,Minimas!$C$1:$BN$10,8,FALSE)</f>
        <v>-98</v>
      </c>
      <c r="AG14" s="162">
        <f>T14-HLOOKUP(V14,Minimas!$C$1:$BN$10,9,FALSE)</f>
        <v>-113</v>
      </c>
      <c r="AH14" s="162">
        <f>T14-HLOOKUP(V14,Minimas!$C$1:$BN$10,10,FALSE)</f>
        <v>-128</v>
      </c>
      <c r="AI14" s="155" t="str">
        <f t="shared" ref="AI14" si="18">IF(K14=0," ",IF(AH14&gt;=0,$AH$5,IF(AG14&gt;=0,$AG$5,IF(AF14&gt;=0,$AF$5,IF(AE14&gt;=0,$AE$5,IF(AD14&gt;=0,$AD$5,IF(AC14&gt;=0,$AC$5,IF(AB14&gt;=0,$AB$5,IF(AA14&gt;=0,$AA$5,$Z$5)))))))))</f>
        <v>DPT +</v>
      </c>
      <c r="AJ14" s="155"/>
      <c r="AK14" s="155" t="str">
        <f t="shared" ref="AK14" si="19">IF(AI14="","",AI14)</f>
        <v>DPT +</v>
      </c>
      <c r="AL14" s="155">
        <f t="shared" ref="AL14" si="20">IF(H14=0," ",IF(AH14&gt;=0,AH14,IF(AG14&gt;=0,AG14,IF(AF14&gt;=0,AF14,IF(AE14&gt;=0,AE14,IF(AD14&gt;=0,AD14,IF(AC14&gt;=0,AC14,IF(AB14&gt;=0,AB14,IF(AA14&gt;=0,AA14,Z14)))))))))</f>
        <v>12</v>
      </c>
      <c r="AM14" s="15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</row>
    <row r="15" spans="1:126" s="5" customFormat="1" ht="30" customHeight="1" thickBot="1">
      <c r="B15" s="184"/>
      <c r="C15" s="40">
        <v>418534</v>
      </c>
      <c r="D15" s="194" t="e">
        <f>IF(S15="","",RANK(S15,$Y$9:$Y$11,0))</f>
        <v>#N/A</v>
      </c>
      <c r="E15" s="113" t="s">
        <v>118</v>
      </c>
      <c r="F15" s="41" t="s">
        <v>139</v>
      </c>
      <c r="G15" s="42" t="s">
        <v>140</v>
      </c>
      <c r="H15" s="121">
        <v>1982</v>
      </c>
      <c r="I15" s="192"/>
      <c r="J15" s="118" t="s">
        <v>25</v>
      </c>
      <c r="K15" s="167">
        <v>71.599999999999994</v>
      </c>
      <c r="L15" s="171">
        <v>65</v>
      </c>
      <c r="M15" s="171">
        <v>70</v>
      </c>
      <c r="N15" s="63">
        <v>-75</v>
      </c>
      <c r="O15" s="64">
        <f t="shared" si="14"/>
        <v>70</v>
      </c>
      <c r="P15" s="171">
        <v>85</v>
      </c>
      <c r="Q15" s="171">
        <v>90</v>
      </c>
      <c r="R15" s="63">
        <v>-95</v>
      </c>
      <c r="S15" s="64">
        <f t="shared" si="8"/>
        <v>90</v>
      </c>
      <c r="T15" s="65">
        <f t="shared" ref="T15:T17" si="21">IF(H15="","",O15+S15)</f>
        <v>160</v>
      </c>
      <c r="U15" s="66" t="str">
        <f t="shared" ref="U15:U17" si="22">+CONCATENATE(AK15," ",AL15)</f>
        <v>DEB 10</v>
      </c>
      <c r="V15" s="115" t="str">
        <f>IF(H15=0," ",IF(E15="H",IF(OR(E15="SEN",H15&lt;1998),VLOOKUP(K15,Minimas!$A$11:$G$29,6),IF(AND(H15&gt;1997,H15&lt;2001),VLOOKUP(K15,Minimas!$A$11:$G$29,5),IF(AND(H15&gt;2000,H15&lt;2003),VLOOKUP(K15,Minimas!$A$11:$G$29,4),IF(AND(H15&gt;2002,H15&lt;2005),VLOOKUP(K15,Minimas!$A$11:$G$29,3),VLOOKUP(K15,Minimas!$A$11:$G$29,2))))),IF(OR(H15="SEN",H15&lt;1998),VLOOKUP(K15,Minimas!$G$11:$L$26,6),IF(AND(H15&gt;1997,H15&lt;2001),VLOOKUP(K15,Minimas!$G$11:$L$26,5),IF(AND(H15&gt;2000,H15&lt;2003),VLOOKUP(K15,Minimas!$G$11:$L$26,4),IF(AND(H15&gt;2002,H15&lt;2005),VLOOKUP(K15,Minimas!$G$11:$L$26,3),VLOOKUP(K15,Minimas!$G$11:$L$26,2)))))))</f>
        <v>S 77</v>
      </c>
      <c r="W15" s="87">
        <f>IF(H15=0," ",IF(E15="H",10^(0.75194503*LOG(K15/175.508)^2)*T15,IF(E15="F",10^(0.783497476* LOG(K15/153.655)^2)*T15,"")))</f>
        <v>208.03181156694291</v>
      </c>
      <c r="X15" s="161"/>
      <c r="Y15" s="155"/>
      <c r="Z15" s="162">
        <f>T15-HLOOKUP(V15,Minimas!$C$1:$BN$10,2,FALSE)</f>
        <v>10</v>
      </c>
      <c r="AA15" s="162">
        <f>T15-HLOOKUP(V15,Minimas!$C$1:$BN$10,3,FALSE)</f>
        <v>-10</v>
      </c>
      <c r="AB15" s="162">
        <f>T15-HLOOKUP(V15,Minimas!$C$1:$BN$10,4,FALSE)</f>
        <v>-30</v>
      </c>
      <c r="AC15" s="162">
        <f>T15-HLOOKUP(V15,Minimas!$C$1:$BN$10,5,FALSE)</f>
        <v>-55</v>
      </c>
      <c r="AD15" s="162">
        <f>T15-HLOOKUP(V15,Minimas!$C$1:$BN$10,6,FALSE)</f>
        <v>-85</v>
      </c>
      <c r="AE15" s="162">
        <f>T15-HLOOKUP(V15,Minimas!$C$1:$BN$10,7,FALSE)</f>
        <v>-105</v>
      </c>
      <c r="AF15" s="162">
        <f>T15-HLOOKUP(V15,Minimas!$C$1:$BN$10,8,FALSE)</f>
        <v>-125</v>
      </c>
      <c r="AG15" s="162">
        <f>T15-HLOOKUP(V15,Minimas!$C$1:$BN$10,9,FALSE)</f>
        <v>-145</v>
      </c>
      <c r="AH15" s="162">
        <f>T15-HLOOKUP(V15,Minimas!$C$1:$BN$10,10,FALSE)</f>
        <v>-160</v>
      </c>
      <c r="AI15" s="155" t="str">
        <f t="shared" si="11"/>
        <v>DEB</v>
      </c>
      <c r="AJ15" s="155"/>
      <c r="AK15" s="155" t="str">
        <f t="shared" si="12"/>
        <v>DEB</v>
      </c>
      <c r="AL15" s="155">
        <f t="shared" si="13"/>
        <v>10</v>
      </c>
      <c r="AM15" s="15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</row>
    <row r="16" spans="1:126" s="5" customFormat="1" ht="30" customHeight="1">
      <c r="B16" s="184"/>
      <c r="C16" s="40">
        <v>429644</v>
      </c>
      <c r="D16" s="194" t="e">
        <f>IF(S16="","",RANK(S16,$Y$9:$Y$11,0))</f>
        <v>#N/A</v>
      </c>
      <c r="E16" s="113" t="s">
        <v>118</v>
      </c>
      <c r="F16" s="41" t="s">
        <v>141</v>
      </c>
      <c r="G16" s="42" t="s">
        <v>142</v>
      </c>
      <c r="H16" s="123">
        <v>1993</v>
      </c>
      <c r="I16" s="186">
        <f>SUM(W13:W17)</f>
        <v>1203.1142656680543</v>
      </c>
      <c r="J16" s="125" t="s">
        <v>25</v>
      </c>
      <c r="K16" s="167">
        <v>76.8</v>
      </c>
      <c r="L16" s="171">
        <v>75</v>
      </c>
      <c r="M16" s="171">
        <v>80</v>
      </c>
      <c r="N16" s="63">
        <v>-85</v>
      </c>
      <c r="O16" s="64">
        <f t="shared" si="14"/>
        <v>80</v>
      </c>
      <c r="P16" s="171">
        <v>100</v>
      </c>
      <c r="Q16" s="171">
        <v>105</v>
      </c>
      <c r="R16" s="171">
        <v>110</v>
      </c>
      <c r="S16" s="64">
        <f t="shared" si="8"/>
        <v>110</v>
      </c>
      <c r="T16" s="65">
        <f t="shared" si="21"/>
        <v>190</v>
      </c>
      <c r="U16" s="66" t="str">
        <f t="shared" si="22"/>
        <v>REG + 0</v>
      </c>
      <c r="V16" s="115" t="str">
        <f>IF(H16=0," ",IF(E16="H",IF(OR(E16="SEN",H16&lt;1998),VLOOKUP(K16,Minimas!$A$11:$G$29,6),IF(AND(H16&gt;1997,H16&lt;2001),VLOOKUP(K16,Minimas!$A$11:$G$29,5),IF(AND(H16&gt;2000,H16&lt;2003),VLOOKUP(K16,Minimas!$A$11:$G$29,4),IF(AND(H16&gt;2002,H16&lt;2005),VLOOKUP(K16,Minimas!$A$11:$G$29,3),VLOOKUP(K16,Minimas!$A$11:$G$29,2))))),IF(OR(H16="SEN",H16&lt;1998),VLOOKUP(K16,Minimas!$G$11:$L$26,6),IF(AND(H16&gt;1997,H16&lt;2001),VLOOKUP(K16,Minimas!$G$11:$L$26,5),IF(AND(H16&gt;2000,H16&lt;2003),VLOOKUP(K16,Minimas!$G$11:$L$26,4),IF(AND(H16&gt;2002,H16&lt;2005),VLOOKUP(K16,Minimas!$G$11:$L$26,3),VLOOKUP(K16,Minimas!$G$11:$L$26,2)))))))</f>
        <v>S 77</v>
      </c>
      <c r="W16" s="87">
        <f t="shared" ref="W16:W17" si="23">IF(H16=0," ",IF(E16="H",10^(0.75194503*LOG(K16/175.508)^2)*T16,IF(E16="F",10^(0.783497476* LOG(K16/153.655)^2)*T16,"")))</f>
        <v>237.48179049132168</v>
      </c>
      <c r="X16" s="161"/>
      <c r="Y16" s="155"/>
      <c r="Z16" s="162">
        <f>T16-HLOOKUP(V16,Minimas!$C$1:$BN$10,2,FALSE)</f>
        <v>40</v>
      </c>
      <c r="AA16" s="162">
        <f>T16-HLOOKUP(V16,Minimas!$C$1:$BN$10,3,FALSE)</f>
        <v>20</v>
      </c>
      <c r="AB16" s="162">
        <f>T16-HLOOKUP(V16,Minimas!$C$1:$BN$10,4,FALSE)</f>
        <v>0</v>
      </c>
      <c r="AC16" s="162">
        <f>T16-HLOOKUP(V16,Minimas!$C$1:$BN$10,5,FALSE)</f>
        <v>-25</v>
      </c>
      <c r="AD16" s="162">
        <f>T16-HLOOKUP(V16,Minimas!$C$1:$BN$10,6,FALSE)</f>
        <v>-55</v>
      </c>
      <c r="AE16" s="162">
        <f>T16-HLOOKUP(V16,Minimas!$C$1:$BN$10,7,FALSE)</f>
        <v>-75</v>
      </c>
      <c r="AF16" s="162">
        <f>T16-HLOOKUP(V16,Minimas!$C$1:$BN$10,8,FALSE)</f>
        <v>-95</v>
      </c>
      <c r="AG16" s="162">
        <f>T16-HLOOKUP(V16,Minimas!$C$1:$BN$10,9,FALSE)</f>
        <v>-115</v>
      </c>
      <c r="AH16" s="162">
        <f>T16-HLOOKUP(V16,Minimas!$C$1:$BN$10,10,FALSE)</f>
        <v>-130</v>
      </c>
      <c r="AI16" s="155" t="str">
        <f t="shared" si="11"/>
        <v>REG +</v>
      </c>
      <c r="AJ16" s="155"/>
      <c r="AK16" s="155" t="str">
        <f t="shared" si="12"/>
        <v>REG +</v>
      </c>
      <c r="AL16" s="155">
        <f t="shared" si="13"/>
        <v>0</v>
      </c>
      <c r="AM16" s="15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</row>
    <row r="17" spans="1:126" s="5" customFormat="1" ht="30" customHeight="1" thickBot="1">
      <c r="B17" s="185"/>
      <c r="C17" s="40">
        <v>431411</v>
      </c>
      <c r="D17" s="195" t="e">
        <f>IF(S17="","",RANK(S17,$Y$9:$Y$11,0))</f>
        <v>#N/A</v>
      </c>
      <c r="E17" s="111" t="s">
        <v>118</v>
      </c>
      <c r="F17" s="41" t="s">
        <v>143</v>
      </c>
      <c r="G17" s="42" t="s">
        <v>144</v>
      </c>
      <c r="H17" s="123">
        <v>1993</v>
      </c>
      <c r="I17" s="187"/>
      <c r="J17" s="125" t="s">
        <v>25</v>
      </c>
      <c r="K17" s="167">
        <v>76.5</v>
      </c>
      <c r="L17" s="171">
        <v>78</v>
      </c>
      <c r="M17" s="171">
        <v>83</v>
      </c>
      <c r="N17" s="171">
        <v>88</v>
      </c>
      <c r="O17" s="64">
        <f t="shared" si="14"/>
        <v>88</v>
      </c>
      <c r="P17" s="171">
        <v>105</v>
      </c>
      <c r="Q17" s="171">
        <v>110</v>
      </c>
      <c r="R17" s="171">
        <v>115</v>
      </c>
      <c r="S17" s="64">
        <f t="shared" si="8"/>
        <v>115</v>
      </c>
      <c r="T17" s="65">
        <f t="shared" si="21"/>
        <v>203</v>
      </c>
      <c r="U17" s="66" t="str">
        <f t="shared" si="22"/>
        <v>REG + 13</v>
      </c>
      <c r="V17" s="115" t="str">
        <f>IF(H17=0," ",IF(E17="H",IF(OR(E17="SEN",H17&lt;1998),VLOOKUP(K17,Minimas!$A$11:$G$29,6),IF(AND(H17&gt;1997,H17&lt;2001),VLOOKUP(K17,Minimas!$A$11:$G$29,5),IF(AND(H17&gt;2000,H17&lt;2003),VLOOKUP(K17,Minimas!$A$11:$G$29,4),IF(AND(H17&gt;2002,H17&lt;2005),VLOOKUP(K17,Minimas!$A$11:$G$29,3),VLOOKUP(K17,Minimas!$A$11:$G$29,2))))),IF(OR(H17="SEN",H17&lt;1998),VLOOKUP(K17,Minimas!$G$11:$L$26,6),IF(AND(H17&gt;1997,H17&lt;2001),VLOOKUP(K17,Minimas!$G$11:$L$26,5),IF(AND(H17&gt;2000,H17&lt;2003),VLOOKUP(K17,Minimas!$G$11:$L$26,4),IF(AND(H17&gt;2002,H17&lt;2005),VLOOKUP(K17,Minimas!$G$11:$L$26,3),VLOOKUP(K17,Minimas!$G$11:$L$26,2)))))))</f>
        <v>S 77</v>
      </c>
      <c r="W17" s="87">
        <f t="shared" si="23"/>
        <v>254.26844538271686</v>
      </c>
      <c r="X17" s="161"/>
      <c r="Y17" s="155"/>
      <c r="Z17" s="162">
        <f>T17-HLOOKUP(V17,Minimas!$C$1:$BN$10,2,FALSE)</f>
        <v>53</v>
      </c>
      <c r="AA17" s="162">
        <f>T17-HLOOKUP(V17,Minimas!$C$1:$BN$10,3,FALSE)</f>
        <v>33</v>
      </c>
      <c r="AB17" s="162">
        <f>T17-HLOOKUP(V17,Minimas!$C$1:$BN$10,4,FALSE)</f>
        <v>13</v>
      </c>
      <c r="AC17" s="162">
        <f>T17-HLOOKUP(V17,Minimas!$C$1:$BN$10,5,FALSE)</f>
        <v>-12</v>
      </c>
      <c r="AD17" s="162">
        <f>T17-HLOOKUP(V17,Minimas!$C$1:$BN$10,6,FALSE)</f>
        <v>-42</v>
      </c>
      <c r="AE17" s="162">
        <f>T17-HLOOKUP(V17,Minimas!$C$1:$BN$10,7,FALSE)</f>
        <v>-62</v>
      </c>
      <c r="AF17" s="162">
        <f>T17-HLOOKUP(V17,Minimas!$C$1:$BN$10,8,FALSE)</f>
        <v>-82</v>
      </c>
      <c r="AG17" s="162">
        <f>T17-HLOOKUP(V17,Minimas!$C$1:$BN$10,9,FALSE)</f>
        <v>-102</v>
      </c>
      <c r="AH17" s="162">
        <f>T17-HLOOKUP(V17,Minimas!$C$1:$BN$10,10,FALSE)</f>
        <v>-117</v>
      </c>
      <c r="AI17" s="155" t="str">
        <f t="shared" si="11"/>
        <v>REG +</v>
      </c>
      <c r="AJ17" s="155"/>
      <c r="AK17" s="155" t="str">
        <f t="shared" si="12"/>
        <v>REG +</v>
      </c>
      <c r="AL17" s="155">
        <f t="shared" si="13"/>
        <v>13</v>
      </c>
      <c r="AM17" s="15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</row>
    <row r="18" spans="1:126" s="11" customFormat="1" ht="7.5" customHeight="1" thickBot="1">
      <c r="A18" s="8"/>
      <c r="B18" s="48"/>
      <c r="C18" s="49"/>
      <c r="D18" s="150"/>
      <c r="E18" s="114"/>
      <c r="F18" s="52"/>
      <c r="G18" s="53"/>
      <c r="H18" s="122"/>
      <c r="I18" s="54"/>
      <c r="J18" s="119"/>
      <c r="K18" s="169"/>
      <c r="L18" s="88"/>
      <c r="M18" s="88"/>
      <c r="N18" s="88"/>
      <c r="O18" s="57"/>
      <c r="P18" s="88"/>
      <c r="Q18" s="88"/>
      <c r="R18" s="88"/>
      <c r="S18" s="57"/>
      <c r="T18" s="57"/>
      <c r="U18" s="51"/>
      <c r="V18" s="51"/>
      <c r="W18" s="58"/>
      <c r="X18" s="153"/>
      <c r="Y18" s="153"/>
      <c r="Z18" s="162"/>
      <c r="AA18" s="162"/>
      <c r="AB18" s="162"/>
      <c r="AC18" s="162"/>
      <c r="AD18" s="162"/>
      <c r="AE18" s="162"/>
      <c r="AF18" s="162"/>
      <c r="AG18" s="162"/>
      <c r="AH18" s="162"/>
      <c r="AI18" s="155"/>
      <c r="AJ18" s="155"/>
      <c r="AK18" s="155"/>
      <c r="AL18" s="155"/>
      <c r="AM18" s="15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</row>
    <row r="19" spans="1:126" s="5" customFormat="1" ht="30" customHeight="1">
      <c r="B19" s="183" t="s">
        <v>127</v>
      </c>
      <c r="C19" s="40">
        <v>407302</v>
      </c>
      <c r="D19" s="193">
        <f>IF(K19=0," ",RANK(Y11,Y9:Y11,0))</f>
        <v>2</v>
      </c>
      <c r="E19" s="111" t="s">
        <v>118</v>
      </c>
      <c r="F19" s="41" t="s">
        <v>146</v>
      </c>
      <c r="G19" s="42" t="s">
        <v>147</v>
      </c>
      <c r="H19" s="121">
        <v>1979</v>
      </c>
      <c r="I19" s="188" t="s">
        <v>126</v>
      </c>
      <c r="J19" s="118" t="s">
        <v>25</v>
      </c>
      <c r="K19" s="167">
        <v>86</v>
      </c>
      <c r="L19" s="171">
        <v>85</v>
      </c>
      <c r="M19" s="171">
        <v>90</v>
      </c>
      <c r="N19" s="171">
        <v>95</v>
      </c>
      <c r="O19" s="64">
        <f>IF(H19="","",IF(MAXA(L19:N19)&lt;=0,0,MAXA(L19:N19)))</f>
        <v>95</v>
      </c>
      <c r="P19" s="171">
        <v>105</v>
      </c>
      <c r="Q19" s="171">
        <v>110</v>
      </c>
      <c r="R19" s="171">
        <v>115</v>
      </c>
      <c r="S19" s="43">
        <f t="shared" si="8"/>
        <v>115</v>
      </c>
      <c r="T19" s="65">
        <f>IF(H19="","",O19+S19)</f>
        <v>210</v>
      </c>
      <c r="U19" s="44" t="str">
        <f>+CONCATENATE(AK19," ",AL19)</f>
        <v>DPT + 20</v>
      </c>
      <c r="V19" s="116" t="str">
        <f>IF(H19=0," ",IF(E19="H",IF(OR(E19="SEN",H19&lt;1998),VLOOKUP(K19,Minimas!$A$11:$G$29,6),IF(AND(H19&gt;1997,H19&lt;2001),VLOOKUP(K19,Minimas!$A$11:$G$29,5),IF(AND(H19&gt;2000,H19&lt;2003),VLOOKUP(K19,Minimas!$A$11:$G$29,4),IF(AND(H19&gt;2002,H19&lt;2005),VLOOKUP(K19,Minimas!$A$11:$G$29,3),VLOOKUP(K19,Minimas!$A$11:$G$29,2))))),IF(OR(H19="SEN",H19&lt;1998),VLOOKUP(K19,Minimas!$G$11:$L$26,6),IF(AND(H19&gt;1997,H19&lt;2001),VLOOKUP(K19,Minimas!$G$11:$L$26,5),IF(AND(H19&gt;2000,H19&lt;2003),VLOOKUP(K19,Minimas!$G$11:$L$26,4),IF(AND(H19&gt;2002,H19&lt;2005),VLOOKUP(K19,Minimas!$G$11:$L$26,3),VLOOKUP(K19,Minimas!$G$11:$L$26,2)))))))</f>
        <v>S 94</v>
      </c>
      <c r="W19" s="87">
        <f>IF(H19=0," ",IF(E19="H",10^(0.75194503*LOG(K19/175.508)^2)*T19,IF(E19="F",10^(0.783497476* LOG(K19/153.655)^2)*T19,"")))</f>
        <v>247.96323081463595</v>
      </c>
      <c r="X19" s="161"/>
      <c r="Y19" s="155"/>
      <c r="Z19" s="162">
        <f>T19-HLOOKUP(V19,Minimas!$C$1:$BN$10,2,FALSE)</f>
        <v>40</v>
      </c>
      <c r="AA19" s="162">
        <f>T19-HLOOKUP(V19,Minimas!$C$1:$BN$10,3,FALSE)</f>
        <v>20</v>
      </c>
      <c r="AB19" s="162">
        <f>T19-HLOOKUP(V19,Minimas!$C$1:$BN$10,4,FALSE)</f>
        <v>-5</v>
      </c>
      <c r="AC19" s="162">
        <f>T19-HLOOKUP(V19,Minimas!$C$1:$BN$10,5,FALSE)</f>
        <v>-25</v>
      </c>
      <c r="AD19" s="162">
        <f>T19-HLOOKUP(V19,Minimas!$C$1:$BN$10,6,FALSE)</f>
        <v>-55</v>
      </c>
      <c r="AE19" s="162">
        <f>T19-HLOOKUP(V19,Minimas!$C$1:$BN$10,7,FALSE)</f>
        <v>-80</v>
      </c>
      <c r="AF19" s="162">
        <f>T19-HLOOKUP(V19,Minimas!$C$1:$BN$10,8,FALSE)</f>
        <v>-100</v>
      </c>
      <c r="AG19" s="162">
        <f>T19-HLOOKUP(V19,Minimas!$C$1:$BN$10,9,FALSE)</f>
        <v>-120</v>
      </c>
      <c r="AH19" s="162">
        <f>T19-HLOOKUP(V19,Minimas!$C$1:$BN$10,10,FALSE)</f>
        <v>-145</v>
      </c>
      <c r="AI19" s="155" t="str">
        <f t="shared" si="11"/>
        <v>DPT +</v>
      </c>
      <c r="AJ19" s="155"/>
      <c r="AK19" s="155" t="str">
        <f t="shared" si="12"/>
        <v>DPT +</v>
      </c>
      <c r="AL19" s="155">
        <f t="shared" si="13"/>
        <v>20</v>
      </c>
      <c r="AM19" s="15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</row>
    <row r="20" spans="1:126" s="5" customFormat="1" ht="30" customHeight="1">
      <c r="B20" s="184"/>
      <c r="C20" s="40">
        <v>377631</v>
      </c>
      <c r="D20" s="194"/>
      <c r="E20" s="113" t="s">
        <v>118</v>
      </c>
      <c r="F20" s="41" t="s">
        <v>148</v>
      </c>
      <c r="G20" s="42" t="s">
        <v>149</v>
      </c>
      <c r="H20" s="121">
        <v>1998</v>
      </c>
      <c r="I20" s="189"/>
      <c r="J20" s="118" t="s">
        <v>25</v>
      </c>
      <c r="K20" s="167">
        <v>99.6</v>
      </c>
      <c r="L20" s="171">
        <v>90</v>
      </c>
      <c r="M20" s="171">
        <v>100</v>
      </c>
      <c r="N20" s="171">
        <v>110</v>
      </c>
      <c r="O20" s="64">
        <f t="shared" ref="O20:O23" si="24">IF(H20="","",IF(MAXA(L20:N20)&lt;=0,0,MAXA(L20:N20)))</f>
        <v>110</v>
      </c>
      <c r="P20" s="171">
        <v>115</v>
      </c>
      <c r="Q20" s="171">
        <v>125</v>
      </c>
      <c r="R20" s="63">
        <v>-135</v>
      </c>
      <c r="S20" s="43">
        <f t="shared" ref="S20" si="25">IF(H20="","",IF(MAXA(P20:R20)&lt;=0,0,MAXA(P20:R20)))</f>
        <v>125</v>
      </c>
      <c r="T20" s="65">
        <f t="shared" ref="T20" si="26">IF(H20="","",O20+S20)</f>
        <v>235</v>
      </c>
      <c r="U20" s="44" t="str">
        <f t="shared" ref="U20" si="27">+CONCATENATE(AK20," ",AL20)</f>
        <v>IRG + 15</v>
      </c>
      <c r="V20" s="116" t="str">
        <f>IF(H20=0," ",IF(E20="H",IF(OR(E20="SEN",H20&lt;1998),VLOOKUP(K20,Minimas!$A$11:$G$29,6),IF(AND(H20&gt;1997,H20&lt;2001),VLOOKUP(K20,Minimas!$A$11:$G$29,5),IF(AND(H20&gt;2000,H20&lt;2003),VLOOKUP(K20,Minimas!$A$11:$G$29,4),IF(AND(H20&gt;2002,H20&lt;2005),VLOOKUP(K20,Minimas!$A$11:$G$29,3),VLOOKUP(K20,Minimas!$A$11:$G$29,2))))),IF(OR(H20="SEN",H20&lt;1998),VLOOKUP(K20,Minimas!$G$11:$L$26,6),IF(AND(H20&gt;1997,H20&lt;2001),VLOOKUP(K20,Minimas!$G$11:$L$26,5),IF(AND(H20&gt;2000,H20&lt;2003),VLOOKUP(K20,Minimas!$G$11:$L$26,4),IF(AND(H20&gt;2002,H20&lt;2005),VLOOKUP(K20,Minimas!$G$11:$L$26,3),VLOOKUP(K20,Minimas!$G$11:$L$26,2)))))))</f>
        <v>J 105</v>
      </c>
      <c r="W20" s="87">
        <f t="shared" ref="W20" si="28">IF(H20=0," ",IF(E20="H",10^(0.75194503*LOG(K20/175.508)^2)*T20,IF(E20="F",10^(0.783497476* LOG(K20/153.655)^2)*T20,"")))</f>
        <v>260.96752773816519</v>
      </c>
      <c r="X20" s="161"/>
      <c r="Y20" s="155"/>
      <c r="Z20" s="162">
        <f>T20-HLOOKUP(V20,Minimas!$C$1:$BN$10,2,FALSE)</f>
        <v>80</v>
      </c>
      <c r="AA20" s="162">
        <f>T20-HLOOKUP(V20,Minimas!$C$1:$BN$10,3,FALSE)</f>
        <v>60</v>
      </c>
      <c r="AB20" s="162">
        <f>T20-HLOOKUP(V20,Minimas!$C$1:$BN$10,4,FALSE)</f>
        <v>40</v>
      </c>
      <c r="AC20" s="162">
        <f>T20-HLOOKUP(V20,Minimas!$C$1:$BN$10,5,FALSE)</f>
        <v>15</v>
      </c>
      <c r="AD20" s="162">
        <f>T20-HLOOKUP(V20,Minimas!$C$1:$BN$10,6,FALSE)</f>
        <v>-10</v>
      </c>
      <c r="AE20" s="162">
        <f>T20-HLOOKUP(V20,Minimas!$C$1:$BN$10,7,FALSE)</f>
        <v>-35</v>
      </c>
      <c r="AF20" s="162">
        <f>T20-HLOOKUP(V20,Minimas!$C$1:$BN$10,8,FALSE)</f>
        <v>-65</v>
      </c>
      <c r="AG20" s="162">
        <f>T20-HLOOKUP(V20,Minimas!$C$1:$BN$10,9,FALSE)</f>
        <v>-90</v>
      </c>
      <c r="AH20" s="162">
        <f>T20-HLOOKUP(V20,Minimas!$C$1:$BN$10,10,FALSE)</f>
        <v>-765</v>
      </c>
      <c r="AI20" s="155" t="str">
        <f t="shared" si="11"/>
        <v>IRG +</v>
      </c>
      <c r="AJ20" s="155"/>
      <c r="AK20" s="155" t="str">
        <f t="shared" ref="AK20" si="29">IF(AI20="","",AI20)</f>
        <v>IRG +</v>
      </c>
      <c r="AL20" s="155">
        <f t="shared" ref="AL20" si="30">IF(H20=0," ",IF(AH20&gt;=0,AH20,IF(AG20&gt;=0,AG20,IF(AF20&gt;=0,AF20,IF(AE20&gt;=0,AE20,IF(AD20&gt;=0,AD20,IF(AC20&gt;=0,AC20,IF(AB20&gt;=0,AB20,IF(AA20&gt;=0,AA20,Z20)))))))))</f>
        <v>15</v>
      </c>
      <c r="AM20" s="15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</row>
    <row r="21" spans="1:126" s="5" customFormat="1" ht="30" customHeight="1" thickBot="1">
      <c r="B21" s="184"/>
      <c r="C21" s="40">
        <v>428561</v>
      </c>
      <c r="D21" s="194" t="e">
        <f>IF(S21="","",RANK(S21,$Y$9:$Y$11,0))</f>
        <v>#N/A</v>
      </c>
      <c r="E21" s="113" t="s">
        <v>118</v>
      </c>
      <c r="F21" s="41" t="s">
        <v>150</v>
      </c>
      <c r="G21" s="42" t="s">
        <v>151</v>
      </c>
      <c r="H21" s="121">
        <v>1994</v>
      </c>
      <c r="I21" s="189"/>
      <c r="J21" s="118" t="s">
        <v>25</v>
      </c>
      <c r="K21" s="167">
        <v>73</v>
      </c>
      <c r="L21" s="171">
        <v>62</v>
      </c>
      <c r="M21" s="171">
        <v>67</v>
      </c>
      <c r="N21" s="171">
        <v>71</v>
      </c>
      <c r="O21" s="64">
        <f t="shared" si="24"/>
        <v>71</v>
      </c>
      <c r="P21" s="171">
        <v>90</v>
      </c>
      <c r="Q21" s="171">
        <v>95</v>
      </c>
      <c r="R21" s="63">
        <v>-100</v>
      </c>
      <c r="S21" s="43">
        <f t="shared" si="8"/>
        <v>95</v>
      </c>
      <c r="T21" s="65">
        <f t="shared" ref="T21:T23" si="31">IF(H21="","",O21+S21)</f>
        <v>166</v>
      </c>
      <c r="U21" s="44" t="str">
        <f t="shared" ref="U21:U23" si="32">+CONCATENATE(AK21," ",AL21)</f>
        <v>DEB 16</v>
      </c>
      <c r="V21" s="116" t="str">
        <f>IF(H21=0," ",IF(E21="H",IF(OR(E21="SEN",H21&lt;1998),VLOOKUP(K21,Minimas!$A$11:$G$29,6),IF(AND(H21&gt;1997,H21&lt;2001),VLOOKUP(K21,Minimas!$A$11:$G$29,5),IF(AND(H21&gt;2000,H21&lt;2003),VLOOKUP(K21,Minimas!$A$11:$G$29,4),IF(AND(H21&gt;2002,H21&lt;2005),VLOOKUP(K21,Minimas!$A$11:$G$29,3),VLOOKUP(K21,Minimas!$A$11:$G$29,2))))),IF(OR(H21="SEN",H21&lt;1998),VLOOKUP(K21,Minimas!$G$11:$L$26,6),IF(AND(H21&gt;1997,H21&lt;2001),VLOOKUP(K21,Minimas!$G$11:$L$26,5),IF(AND(H21&gt;2000,H21&lt;2003),VLOOKUP(K21,Minimas!$G$11:$L$26,4),IF(AND(H21&gt;2002,H21&lt;2005),VLOOKUP(K21,Minimas!$G$11:$L$26,3),VLOOKUP(K21,Minimas!$G$11:$L$26,2)))))))</f>
        <v>S 77</v>
      </c>
      <c r="W21" s="87">
        <f t="shared" ref="W21:W23" si="33">IF(H21=0," ",IF(E21="H",10^(0.75194503*LOG(K21/175.508)^2)*T21,IF(E21="F",10^(0.783497476* LOG(K21/153.655)^2)*T21,"")))</f>
        <v>213.4255042814751</v>
      </c>
      <c r="X21" s="161"/>
      <c r="Y21" s="155"/>
      <c r="Z21" s="162">
        <f>T21-HLOOKUP(V21,Minimas!$C$1:$BN$10,2,FALSE)</f>
        <v>16</v>
      </c>
      <c r="AA21" s="162">
        <f>T21-HLOOKUP(V21,Minimas!$C$1:$BN$10,3,FALSE)</f>
        <v>-4</v>
      </c>
      <c r="AB21" s="162">
        <f>T21-HLOOKUP(V21,Minimas!$C$1:$BN$10,4,FALSE)</f>
        <v>-24</v>
      </c>
      <c r="AC21" s="162">
        <f>T21-HLOOKUP(V21,Minimas!$C$1:$BN$10,5,FALSE)</f>
        <v>-49</v>
      </c>
      <c r="AD21" s="162">
        <f>T21-HLOOKUP(V21,Minimas!$C$1:$BN$10,6,FALSE)</f>
        <v>-79</v>
      </c>
      <c r="AE21" s="162">
        <f>T21-HLOOKUP(V21,Minimas!$C$1:$BN$10,7,FALSE)</f>
        <v>-99</v>
      </c>
      <c r="AF21" s="162">
        <f>T21-HLOOKUP(V21,Minimas!$C$1:$BN$10,8,FALSE)</f>
        <v>-119</v>
      </c>
      <c r="AG21" s="162">
        <f>T21-HLOOKUP(V21,Minimas!$C$1:$BN$10,9,FALSE)</f>
        <v>-139</v>
      </c>
      <c r="AH21" s="162">
        <f>T21-HLOOKUP(V21,Minimas!$C$1:$BN$10,10,FALSE)</f>
        <v>-154</v>
      </c>
      <c r="AI21" s="155" t="str">
        <f t="shared" si="11"/>
        <v>DEB</v>
      </c>
      <c r="AJ21" s="155"/>
      <c r="AK21" s="155" t="str">
        <f t="shared" si="12"/>
        <v>DEB</v>
      </c>
      <c r="AL21" s="155">
        <f t="shared" si="13"/>
        <v>16</v>
      </c>
      <c r="AM21" s="15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  <c r="BZ21" s="135"/>
    </row>
    <row r="22" spans="1:126" s="5" customFormat="1" ht="30" customHeight="1">
      <c r="B22" s="184"/>
      <c r="C22" s="40">
        <v>344412</v>
      </c>
      <c r="D22" s="194" t="e">
        <f>IF(S22="","",RANK(S22,$Y$9:$Y$11,0))</f>
        <v>#N/A</v>
      </c>
      <c r="E22" s="113" t="s">
        <v>118</v>
      </c>
      <c r="F22" s="41" t="s">
        <v>152</v>
      </c>
      <c r="G22" s="42" t="s">
        <v>153</v>
      </c>
      <c r="H22" s="123">
        <v>2001</v>
      </c>
      <c r="I22" s="186">
        <f>SUM(W19:W23)</f>
        <v>1124.7199065430432</v>
      </c>
      <c r="J22" s="125" t="s">
        <v>25</v>
      </c>
      <c r="K22" s="167">
        <v>69.5</v>
      </c>
      <c r="L22" s="171">
        <v>75</v>
      </c>
      <c r="M22" s="63">
        <v>-79</v>
      </c>
      <c r="N22" s="63">
        <v>-79</v>
      </c>
      <c r="O22" s="64">
        <f t="shared" si="24"/>
        <v>75</v>
      </c>
      <c r="P22" s="171">
        <v>85</v>
      </c>
      <c r="Q22" s="63">
        <v>-90</v>
      </c>
      <c r="R22" s="171">
        <v>90</v>
      </c>
      <c r="S22" s="43">
        <v>90</v>
      </c>
      <c r="T22" s="65">
        <f t="shared" si="31"/>
        <v>165</v>
      </c>
      <c r="U22" s="44" t="str">
        <f t="shared" si="32"/>
        <v>REG + 15</v>
      </c>
      <c r="V22" s="116" t="str">
        <f>IF(H22=0," ",IF(E22="H",IF(OR(E22="SEN",H22&lt;1998),VLOOKUP(K22,Minimas!$A$11:$G$29,6),IF(AND(H22&gt;1997,H22&lt;2001),VLOOKUP(K22,Minimas!$A$11:$G$29,5),IF(AND(H22&gt;2000,H22&lt;2003),VLOOKUP(K22,Minimas!$A$11:$G$29,4),IF(AND(H22&gt;2002,H22&lt;2005),VLOOKUP(K22,Minimas!$A$11:$G$29,3),VLOOKUP(K22,Minimas!$A$11:$G$29,2))))),IF(OR(H22="SEN",H22&lt;1998),VLOOKUP(K22,Minimas!$G$11:$L$26,6),IF(AND(H22&gt;1997,H22&lt;2001),VLOOKUP(K22,Minimas!$G$11:$L$26,5),IF(AND(H22&gt;2000,H22&lt;2003),VLOOKUP(K22,Minimas!$G$11:$L$26,4),IF(AND(H22&gt;2002,H22&lt;2005),VLOOKUP(K22,Minimas!$G$11:$L$26,3),VLOOKUP(K22,Minimas!$G$11:$L$26,2)))))))</f>
        <v>C2 77</v>
      </c>
      <c r="W22" s="87">
        <f t="shared" si="33"/>
        <v>218.36852173224889</v>
      </c>
      <c r="X22" s="161"/>
      <c r="Y22" s="155"/>
      <c r="Z22" s="162">
        <f>T22-HLOOKUP(V22,Minimas!$C$1:$BN$10,2,FALSE)</f>
        <v>55</v>
      </c>
      <c r="AA22" s="162">
        <f>T22-HLOOKUP(V22,Minimas!$C$1:$BN$10,3,FALSE)</f>
        <v>35</v>
      </c>
      <c r="AB22" s="162">
        <f>T22-HLOOKUP(V22,Minimas!$C$1:$BN$10,4,FALSE)</f>
        <v>15</v>
      </c>
      <c r="AC22" s="162">
        <f>T22-HLOOKUP(V22,Minimas!$C$1:$BN$10,5,FALSE)</f>
        <v>-5</v>
      </c>
      <c r="AD22" s="162">
        <f>T22-HLOOKUP(V22,Minimas!$C$1:$BN$10,6,FALSE)</f>
        <v>-20</v>
      </c>
      <c r="AE22" s="162">
        <f>T22-HLOOKUP(V22,Minimas!$C$1:$BN$10,7,FALSE)</f>
        <v>-35</v>
      </c>
      <c r="AF22" s="162">
        <f>T22-HLOOKUP(V22,Minimas!$C$1:$BN$10,8,FALSE)</f>
        <v>-55</v>
      </c>
      <c r="AG22" s="162">
        <f>T22-HLOOKUP(V22,Minimas!$C$1:$BN$10,9,FALSE)</f>
        <v>-85</v>
      </c>
      <c r="AH22" s="162">
        <f>T22-HLOOKUP(V22,Minimas!$C$1:$BN$10,10,FALSE)</f>
        <v>-835</v>
      </c>
      <c r="AI22" s="155" t="str">
        <f t="shared" si="11"/>
        <v>REG +</v>
      </c>
      <c r="AJ22" s="155"/>
      <c r="AK22" s="155" t="str">
        <f t="shared" si="12"/>
        <v>REG +</v>
      </c>
      <c r="AL22" s="155">
        <f t="shared" si="13"/>
        <v>15</v>
      </c>
      <c r="AM22" s="15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</row>
    <row r="23" spans="1:126" s="5" customFormat="1" ht="30" customHeight="1" thickBot="1">
      <c r="B23" s="185"/>
      <c r="C23" s="40">
        <v>274596</v>
      </c>
      <c r="D23" s="195" t="e">
        <f>IF(S23="","",RANK(S23,$Y$9:$Y$11,0))</f>
        <v>#N/A</v>
      </c>
      <c r="E23" s="111" t="s">
        <v>118</v>
      </c>
      <c r="F23" s="41" t="s">
        <v>154</v>
      </c>
      <c r="G23" s="42" t="s">
        <v>155</v>
      </c>
      <c r="H23" s="123">
        <v>1976</v>
      </c>
      <c r="I23" s="187"/>
      <c r="J23" s="125" t="s">
        <v>25</v>
      </c>
      <c r="K23" s="167">
        <v>76.599999999999994</v>
      </c>
      <c r="L23" s="171">
        <v>58</v>
      </c>
      <c r="M23" s="63">
        <v>-62</v>
      </c>
      <c r="N23" s="171">
        <v>62</v>
      </c>
      <c r="O23" s="64">
        <f t="shared" si="24"/>
        <v>62</v>
      </c>
      <c r="P23" s="171">
        <v>80</v>
      </c>
      <c r="Q23" s="171">
        <v>85</v>
      </c>
      <c r="R23" s="63">
        <v>-90</v>
      </c>
      <c r="S23" s="43">
        <f t="shared" si="8"/>
        <v>85</v>
      </c>
      <c r="T23" s="65">
        <f t="shared" si="31"/>
        <v>147</v>
      </c>
      <c r="U23" s="44" t="str">
        <f t="shared" si="32"/>
        <v>DEB -3</v>
      </c>
      <c r="V23" s="116" t="str">
        <f>IF(H23=0," ",IF(E23="H",IF(OR(E23="SEN",H23&lt;1998),VLOOKUP(K23,Minimas!$A$11:$G$29,6),IF(AND(H23&gt;1997,H23&lt;2001),VLOOKUP(K23,Minimas!$A$11:$G$29,5),IF(AND(H23&gt;2000,H23&lt;2003),VLOOKUP(K23,Minimas!$A$11:$G$29,4),IF(AND(H23&gt;2002,H23&lt;2005),VLOOKUP(K23,Minimas!$A$11:$G$29,3),VLOOKUP(K23,Minimas!$A$11:$G$29,2))))),IF(OR(H23="SEN",H23&lt;1998),VLOOKUP(K23,Minimas!$G$11:$L$26,6),IF(AND(H23&gt;1997,H23&lt;2001),VLOOKUP(K23,Minimas!$G$11:$L$26,5),IF(AND(H23&gt;2000,H23&lt;2003),VLOOKUP(K23,Minimas!$G$11:$L$26,4),IF(AND(H23&gt;2002,H23&lt;2005),VLOOKUP(K23,Minimas!$G$11:$L$26,3),VLOOKUP(K23,Minimas!$G$11:$L$26,2)))))))</f>
        <v>S 77</v>
      </c>
      <c r="W23" s="87">
        <f t="shared" si="33"/>
        <v>183.99512197651808</v>
      </c>
      <c r="X23" s="161"/>
      <c r="Y23" s="155"/>
      <c r="Z23" s="162">
        <f>T23-HLOOKUP(V23,Minimas!$C$1:$BN$10,2,FALSE)</f>
        <v>-3</v>
      </c>
      <c r="AA23" s="162">
        <f>T23-HLOOKUP(V23,Minimas!$C$1:$BN$10,3,FALSE)</f>
        <v>-23</v>
      </c>
      <c r="AB23" s="162">
        <f>T23-HLOOKUP(V23,Minimas!$C$1:$BN$10,4,FALSE)</f>
        <v>-43</v>
      </c>
      <c r="AC23" s="162">
        <f>T23-HLOOKUP(V23,Minimas!$C$1:$BN$10,5,FALSE)</f>
        <v>-68</v>
      </c>
      <c r="AD23" s="162">
        <f>T23-HLOOKUP(V23,Minimas!$C$1:$BN$10,6,FALSE)</f>
        <v>-98</v>
      </c>
      <c r="AE23" s="162">
        <f>T23-HLOOKUP(V23,Minimas!$C$1:$BN$10,7,FALSE)</f>
        <v>-118</v>
      </c>
      <c r="AF23" s="162">
        <f>T23-HLOOKUP(V23,Minimas!$C$1:$BN$10,8,FALSE)</f>
        <v>-138</v>
      </c>
      <c r="AG23" s="162">
        <f>T23-HLOOKUP(V23,Minimas!$C$1:$BN$10,9,FALSE)</f>
        <v>-158</v>
      </c>
      <c r="AH23" s="162">
        <f>T23-HLOOKUP(V23,Minimas!$C$1:$BN$10,10,FALSE)</f>
        <v>-173</v>
      </c>
      <c r="AI23" s="155" t="str">
        <f t="shared" si="11"/>
        <v>DEB</v>
      </c>
      <c r="AJ23" s="155"/>
      <c r="AK23" s="155" t="str">
        <f t="shared" si="12"/>
        <v>DEB</v>
      </c>
      <c r="AL23" s="155">
        <f t="shared" si="13"/>
        <v>-3</v>
      </c>
      <c r="AM23" s="15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</row>
    <row r="24" spans="1:126" s="11" customFormat="1" ht="7.5" customHeight="1" thickBot="1">
      <c r="A24" s="8"/>
      <c r="B24" s="48"/>
      <c r="C24" s="49"/>
      <c r="D24" s="89"/>
      <c r="E24" s="114"/>
      <c r="F24" s="52"/>
      <c r="G24" s="53"/>
      <c r="H24" s="122"/>
      <c r="I24" s="54"/>
      <c r="J24" s="119"/>
      <c r="K24" s="169"/>
      <c r="L24" s="88"/>
      <c r="M24" s="88"/>
      <c r="N24" s="88"/>
      <c r="O24" s="57"/>
      <c r="P24" s="88"/>
      <c r="Q24" s="88"/>
      <c r="R24" s="88"/>
      <c r="S24" s="57"/>
      <c r="T24" s="57"/>
      <c r="U24" s="51"/>
      <c r="V24" s="51"/>
      <c r="W24" s="58"/>
      <c r="X24" s="153"/>
      <c r="Y24" s="153"/>
      <c r="Z24" s="162"/>
      <c r="AA24" s="162"/>
      <c r="AB24" s="162"/>
      <c r="AC24" s="162"/>
      <c r="AD24" s="162"/>
      <c r="AE24" s="162"/>
      <c r="AF24" s="162"/>
      <c r="AG24" s="162"/>
      <c r="AH24" s="162"/>
      <c r="AI24" s="155"/>
      <c r="AJ24" s="155"/>
      <c r="AK24" s="155"/>
      <c r="AL24" s="155"/>
      <c r="AM24" s="15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3"/>
      <c r="BJ24" s="133"/>
      <c r="BK24" s="133"/>
      <c r="BL24" s="133"/>
      <c r="BM24" s="133"/>
      <c r="BN24" s="133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</row>
    <row r="25" spans="1:126" s="5" customFormat="1" ht="30" customHeight="1">
      <c r="B25" s="136"/>
      <c r="C25" s="40"/>
      <c r="D25" s="137"/>
      <c r="E25" s="138" t="s">
        <v>118</v>
      </c>
      <c r="F25" s="41" t="s">
        <v>25</v>
      </c>
      <c r="G25" s="42" t="s">
        <v>25</v>
      </c>
      <c r="H25" s="121"/>
      <c r="I25" s="139"/>
      <c r="J25" s="118"/>
      <c r="K25" s="167"/>
      <c r="L25" s="140"/>
      <c r="M25" s="141"/>
      <c r="N25" s="141"/>
      <c r="O25" s="64" t="str">
        <f>IF(H25="","",IF(MAXA(L25:N25)&lt;=0,0,MAXA(L25:N25)))</f>
        <v/>
      </c>
      <c r="P25" s="140"/>
      <c r="Q25" s="141"/>
      <c r="R25" s="141"/>
      <c r="S25" s="43" t="str">
        <f>IF(H25="","",IF(MAXA(P25:R25)&lt;=0,0,MAXA(P25:R25)))</f>
        <v/>
      </c>
      <c r="T25" s="142" t="str">
        <f>IF(H25="","",IF(OR(O25=0,S25=0),0,O25+S25))</f>
        <v/>
      </c>
      <c r="U25" s="44" t="str">
        <f>+CONCATENATE(AK25," ",AL25)</f>
        <v xml:space="preserve">   </v>
      </c>
      <c r="V25" s="116" t="str">
        <f>IF(H25=0," ",IF(E25="H",IF(OR(E25="SEN",H25&lt;1998),VLOOKUP(K25,Minimas!$A$11:$G$29,6),IF(AND(H25&gt;1997,H25&lt;2001),VLOOKUP(K25,Minimas!$A$11:$G$29,5),IF(AND(H25&gt;2000,H25&lt;2003),VLOOKUP(K25,Minimas!$A$11:$G$29,4),IF(AND(H25&gt;2002,H25&lt;2005),VLOOKUP(K25,Minimas!$A$11:$G$29,3),VLOOKUP(K25,Minimas!$A$11:$G$29,2))))),IF(OR(H25="SEN",H25&lt;1998),VLOOKUP(K25,Minimas!$G$11:$L$26,6),IF(AND(H25&gt;1997,H25&lt;2001),VLOOKUP(K25,Minimas!$G$11:$L$26,5),IF(AND(H25&gt;2000,H25&lt;2003),VLOOKUP(K25,Minimas!$G$11:$L$26,4),IF(AND(H25&gt;2002,H25&lt;2005),VLOOKUP(K25,Minimas!$G$11:$L$26,3),VLOOKUP(K25,Minimas!$G$11:$L$26,2)))))))</f>
        <v xml:space="preserve"> </v>
      </c>
      <c r="W25" s="87" t="str">
        <f>IF(H25=0," ",IF(E25="H",10^(0.75194503*LOG(K25/175.508)^2)*T25,IF(E25="F",10^(0.783497476* LOG(K25/153.655)^2)*T25,"")))</f>
        <v xml:space="preserve"> </v>
      </c>
      <c r="X25" s="161"/>
      <c r="Y25" s="155"/>
      <c r="Z25" s="162" t="e">
        <f>T25-HLOOKUP(V25,Minimas!$C$1:$BN$10,2,FALSE)</f>
        <v>#VALUE!</v>
      </c>
      <c r="AA25" s="162" t="e">
        <f>T25-HLOOKUP(V25,Minimas!$C$1:$BN$10,3,FALSE)</f>
        <v>#VALUE!</v>
      </c>
      <c r="AB25" s="162" t="e">
        <f>T25-HLOOKUP(V25,Minimas!$C$1:$BN$10,4,FALSE)</f>
        <v>#VALUE!</v>
      </c>
      <c r="AC25" s="162" t="e">
        <f>T25-HLOOKUP(V25,Minimas!$C$1:$BN$10,5,FALSE)</f>
        <v>#VALUE!</v>
      </c>
      <c r="AD25" s="162" t="e">
        <f>T25-HLOOKUP(V25,Minimas!$C$1:$BN$10,6,FALSE)</f>
        <v>#VALUE!</v>
      </c>
      <c r="AE25" s="162" t="e">
        <f>T25-HLOOKUP(V25,Minimas!$C$1:$BN$10,7,FALSE)</f>
        <v>#VALUE!</v>
      </c>
      <c r="AF25" s="162" t="e">
        <f>T25-HLOOKUP(V25,Minimas!$C$1:$BN$10,8,FALSE)</f>
        <v>#VALUE!</v>
      </c>
      <c r="AG25" s="162" t="e">
        <f>T25-HLOOKUP(V25,Minimas!$C$1:$BN$10,9,FALSE)</f>
        <v>#VALUE!</v>
      </c>
      <c r="AH25" s="162" t="e">
        <f>T25-HLOOKUP(V25,Minimas!$C$1:$BN$10,10,FALSE)</f>
        <v>#VALUE!</v>
      </c>
      <c r="AI25" s="155" t="str">
        <f t="shared" si="11"/>
        <v xml:space="preserve"> </v>
      </c>
      <c r="AJ25" s="155"/>
      <c r="AK25" s="155" t="str">
        <f>IF(AI25="","",AI25)</f>
        <v xml:space="preserve"> </v>
      </c>
      <c r="AL25" s="155" t="str">
        <f>IF(H25=0," ",IF(AH25&gt;=0,AH25,IF(AG25&gt;=0,AG25,IF(AF25&gt;=0,AF25,IF(AE25&gt;=0,AE25,IF(AD25&gt;=0,AD25,IF(AC25&gt;=0,AC25,IF(AB25&gt;=0,AB25,IF(AA25&gt;=0,AA25,Z25)))))))))</f>
        <v xml:space="preserve"> </v>
      </c>
      <c r="AM25" s="15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5"/>
      <c r="CY25" s="135"/>
      <c r="CZ25" s="135"/>
      <c r="DA25" s="135"/>
      <c r="DB25" s="135"/>
      <c r="DC25" s="135"/>
      <c r="DD25" s="135"/>
      <c r="DE25" s="135"/>
      <c r="DF25" s="135"/>
      <c r="DG25" s="135"/>
      <c r="DH25" s="135"/>
      <c r="DI25" s="135"/>
      <c r="DJ25" s="135"/>
      <c r="DK25" s="135"/>
      <c r="DL25" s="135"/>
      <c r="DM25" s="135"/>
      <c r="DN25" s="135"/>
      <c r="DO25" s="135"/>
      <c r="DP25" s="135"/>
      <c r="DQ25" s="135"/>
      <c r="DR25" s="135"/>
    </row>
    <row r="26" spans="1:126" s="5" customFormat="1" ht="30" customHeight="1">
      <c r="B26" s="136"/>
      <c r="C26" s="45"/>
      <c r="D26" s="143"/>
      <c r="E26" s="144" t="s">
        <v>118</v>
      </c>
      <c r="F26" s="46" t="s">
        <v>25</v>
      </c>
      <c r="G26" s="47" t="s">
        <v>25</v>
      </c>
      <c r="H26" s="145"/>
      <c r="I26" s="146"/>
      <c r="J26" s="147"/>
      <c r="K26" s="168"/>
      <c r="L26" s="148"/>
      <c r="M26" s="149"/>
      <c r="N26" s="149"/>
      <c r="O26" s="64" t="str">
        <f t="shared" ref="O26:O27" si="34">IF(H26="","",IF(MAXA(L26:N26)&lt;=0,0,MAXA(L26:N26)))</f>
        <v/>
      </c>
      <c r="P26" s="148"/>
      <c r="Q26" s="149"/>
      <c r="R26" s="149"/>
      <c r="S26" s="43" t="str">
        <f>IF(H26="","",IF(MAXA(P26:R26)&lt;=0,0,MAXA(P26:R26)))</f>
        <v/>
      </c>
      <c r="T26" s="142" t="str">
        <f>IF(H26="","",IF(OR(O26=0,S26=0),0,O26+S26))</f>
        <v/>
      </c>
      <c r="U26" s="44" t="str">
        <f>+CONCATENATE(AK26," ",AL26)</f>
        <v xml:space="preserve">   </v>
      </c>
      <c r="V26" s="116" t="str">
        <f>IF(H26=0," ",IF(E26="H",IF(OR(E26="SEN",H26&lt;1998),VLOOKUP(K26,Minimas!$A$11:$G$29,6),IF(AND(H26&gt;1997,H26&lt;2001),VLOOKUP(K26,Minimas!$A$11:$G$29,5),IF(AND(H26&gt;2000,H26&lt;2003),VLOOKUP(K26,Minimas!$A$11:$G$29,4),IF(AND(H26&gt;2002,H26&lt;2005),VLOOKUP(K26,Minimas!$A$11:$G$29,3),VLOOKUP(K26,Minimas!$A$11:$G$29,2))))),IF(OR(H26="SEN",H26&lt;1998),VLOOKUP(K26,Minimas!$G$11:$L$26,6),IF(AND(H26&gt;1997,H26&lt;2001),VLOOKUP(K26,Minimas!$G$11:$L$26,5),IF(AND(H26&gt;2000,H26&lt;2003),VLOOKUP(K26,Minimas!$G$11:$L$26,4),IF(AND(H26&gt;2002,H26&lt;2005),VLOOKUP(K26,Minimas!$G$11:$L$26,3),VLOOKUP(K26,Minimas!$G$11:$L$26,2)))))))</f>
        <v xml:space="preserve"> </v>
      </c>
      <c r="W26" s="87" t="str">
        <f>IF(H26=0," ",IF(E26="H",10^(0.75194503*LOG(K26/175.508)^2)*T26,IF(E26="F",10^(0.783497476* LOG(K26/153.655)^2)*T26,"")))</f>
        <v xml:space="preserve"> </v>
      </c>
      <c r="X26" s="161"/>
      <c r="Y26" s="155"/>
      <c r="Z26" s="162" t="e">
        <f>T26-HLOOKUP(V26,Minimas!$C$1:$BN$10,2,FALSE)</f>
        <v>#VALUE!</v>
      </c>
      <c r="AA26" s="162" t="e">
        <f>T26-HLOOKUP(V26,Minimas!$C$1:$BN$10,3,FALSE)</f>
        <v>#VALUE!</v>
      </c>
      <c r="AB26" s="162" t="e">
        <f>T26-HLOOKUP(V26,Minimas!$C$1:$BN$10,4,FALSE)</f>
        <v>#VALUE!</v>
      </c>
      <c r="AC26" s="162" t="e">
        <f>T26-HLOOKUP(V26,Minimas!$C$1:$BN$10,5,FALSE)</f>
        <v>#VALUE!</v>
      </c>
      <c r="AD26" s="162" t="e">
        <f>T26-HLOOKUP(V26,Minimas!$C$1:$BN$10,6,FALSE)</f>
        <v>#VALUE!</v>
      </c>
      <c r="AE26" s="162" t="e">
        <f>T26-HLOOKUP(V26,Minimas!$C$1:$BN$10,7,FALSE)</f>
        <v>#VALUE!</v>
      </c>
      <c r="AF26" s="162" t="e">
        <f>T26-HLOOKUP(V26,Minimas!$C$1:$BN$10,8,FALSE)</f>
        <v>#VALUE!</v>
      </c>
      <c r="AG26" s="162" t="e">
        <f>T26-HLOOKUP(V26,Minimas!$C$1:$BN$10,9,FALSE)</f>
        <v>#VALUE!</v>
      </c>
      <c r="AH26" s="162" t="e">
        <f>T26-HLOOKUP(V26,Minimas!$C$1:$BN$10,10,FALSE)</f>
        <v>#VALUE!</v>
      </c>
      <c r="AI26" s="155" t="str">
        <f t="shared" si="11"/>
        <v xml:space="preserve"> </v>
      </c>
      <c r="AJ26" s="155"/>
      <c r="AK26" s="155" t="str">
        <f>IF(AI26="","",AI26)</f>
        <v xml:space="preserve"> </v>
      </c>
      <c r="AL26" s="155" t="str">
        <f>IF(H26=0," ",IF(AH26&gt;=0,AH26,IF(AG26&gt;=0,AG26,IF(AF26&gt;=0,AF26,IF(AE26&gt;=0,AE26,IF(AD26&gt;=0,AD26,IF(AC26&gt;=0,AC26,IF(AB26&gt;=0,AB26,IF(AA26&gt;=0,AA26,Z26)))))))))</f>
        <v xml:space="preserve"> </v>
      </c>
      <c r="AM26" s="15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5"/>
      <c r="CJ26" s="135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5"/>
      <c r="CW26" s="135"/>
      <c r="CX26" s="135"/>
      <c r="CY26" s="135"/>
      <c r="CZ26" s="135"/>
      <c r="DA26" s="135"/>
      <c r="DB26" s="135"/>
      <c r="DC26" s="135"/>
      <c r="DD26" s="135"/>
      <c r="DE26" s="135"/>
      <c r="DF26" s="135"/>
      <c r="DG26" s="135"/>
      <c r="DH26" s="135"/>
      <c r="DI26" s="135"/>
      <c r="DJ26" s="135"/>
      <c r="DK26" s="135"/>
      <c r="DL26" s="135"/>
      <c r="DM26" s="135"/>
      <c r="DN26" s="135"/>
      <c r="DO26" s="135"/>
      <c r="DP26" s="135"/>
      <c r="DQ26" s="135"/>
      <c r="DR26" s="135"/>
    </row>
    <row r="27" spans="1:126" s="5" customFormat="1" ht="30" customHeight="1" thickBot="1">
      <c r="B27" s="136"/>
      <c r="C27" s="45"/>
      <c r="D27" s="143"/>
      <c r="E27" s="144" t="s">
        <v>118</v>
      </c>
      <c r="F27" s="46" t="s">
        <v>25</v>
      </c>
      <c r="G27" s="47" t="s">
        <v>25</v>
      </c>
      <c r="H27" s="145"/>
      <c r="I27" s="146"/>
      <c r="J27" s="147"/>
      <c r="K27" s="168"/>
      <c r="L27" s="148"/>
      <c r="M27" s="149"/>
      <c r="N27" s="149"/>
      <c r="O27" s="64" t="str">
        <f t="shared" si="34"/>
        <v/>
      </c>
      <c r="P27" s="148"/>
      <c r="Q27" s="149"/>
      <c r="R27" s="149"/>
      <c r="S27" s="43" t="str">
        <f>IF(H27="","",IF(MAXA(P27:R27)&lt;=0,0,MAXA(P27:R27)))</f>
        <v/>
      </c>
      <c r="T27" s="142" t="str">
        <f>IF(H27="","",IF(OR(O27=0,S27=0),0,O27+S27))</f>
        <v/>
      </c>
      <c r="U27" s="44" t="str">
        <f>+CONCATENATE(AK27," ",AL27)</f>
        <v xml:space="preserve">   </v>
      </c>
      <c r="V27" s="116" t="str">
        <f>IF(H27=0," ",IF(E27="H",IF(OR(E27="SEN",H27&lt;1998),VLOOKUP(K27,Minimas!$A$11:$G$29,6),IF(AND(H27&gt;1997,H27&lt;2001),VLOOKUP(K27,Minimas!$A$11:$G$29,5),IF(AND(H27&gt;2000,H27&lt;2003),VLOOKUP(K27,Minimas!$A$11:$G$29,4),IF(AND(H27&gt;2002,H27&lt;2005),VLOOKUP(K27,Minimas!$A$11:$G$29,3),VLOOKUP(K27,Minimas!$A$11:$G$29,2))))),IF(OR(H27="SEN",H27&lt;1998),VLOOKUP(K27,Minimas!$G$11:$L$26,6),IF(AND(H27&gt;1997,H27&lt;2001),VLOOKUP(K27,Minimas!$G$11:$L$26,5),IF(AND(H27&gt;2000,H27&lt;2003),VLOOKUP(K27,Minimas!$G$11:$L$26,4),IF(AND(H27&gt;2002,H27&lt;2005),VLOOKUP(K27,Minimas!$G$11:$L$26,3),VLOOKUP(K27,Minimas!$G$11:$L$26,2)))))))</f>
        <v xml:space="preserve"> </v>
      </c>
      <c r="W27" s="87" t="str">
        <f>IF(H27=0," ",IF(E27="H",10^(0.75194503*LOG(K27/175.508)^2)*T27,IF(E27="F",10^(0.783497476* LOG(K27/153.655)^2)*T27,"")))</f>
        <v xml:space="preserve"> </v>
      </c>
      <c r="X27" s="161"/>
      <c r="Y27" s="155"/>
      <c r="Z27" s="162" t="e">
        <f>T27-HLOOKUP(V27,Minimas!$C$1:$BN$10,2,FALSE)</f>
        <v>#VALUE!</v>
      </c>
      <c r="AA27" s="162" t="e">
        <f>T27-HLOOKUP(V27,Minimas!$C$1:$BN$10,3,FALSE)</f>
        <v>#VALUE!</v>
      </c>
      <c r="AB27" s="162" t="e">
        <f>T27-HLOOKUP(V27,Minimas!$C$1:$BN$10,4,FALSE)</f>
        <v>#VALUE!</v>
      </c>
      <c r="AC27" s="162" t="e">
        <f>T27-HLOOKUP(V27,Minimas!$C$1:$BN$10,5,FALSE)</f>
        <v>#VALUE!</v>
      </c>
      <c r="AD27" s="162" t="e">
        <f>T27-HLOOKUP(V27,Minimas!$C$1:$BN$10,6,FALSE)</f>
        <v>#VALUE!</v>
      </c>
      <c r="AE27" s="162" t="e">
        <f>T27-HLOOKUP(V27,Minimas!$C$1:$BN$10,7,FALSE)</f>
        <v>#VALUE!</v>
      </c>
      <c r="AF27" s="162" t="e">
        <f>T27-HLOOKUP(V27,Minimas!$C$1:$BN$10,8,FALSE)</f>
        <v>#VALUE!</v>
      </c>
      <c r="AG27" s="162" t="e">
        <f>T27-HLOOKUP(V27,Minimas!$C$1:$BN$10,9,FALSE)</f>
        <v>#VALUE!</v>
      </c>
      <c r="AH27" s="162" t="e">
        <f>T27-HLOOKUP(V27,Minimas!$C$1:$BN$10,10,FALSE)</f>
        <v>#VALUE!</v>
      </c>
      <c r="AI27" s="155" t="str">
        <f t="shared" si="11"/>
        <v xml:space="preserve"> </v>
      </c>
      <c r="AJ27" s="155"/>
      <c r="AK27" s="155" t="str">
        <f>IF(AI27="","",AI27)</f>
        <v xml:space="preserve"> </v>
      </c>
      <c r="AL27" s="155" t="str">
        <f>IF(H27=0," ",IF(AH27&gt;=0,AH27,IF(AG27&gt;=0,AG27,IF(AF27&gt;=0,AF27,IF(AE27&gt;=0,AE27,IF(AD27&gt;=0,AD27,IF(AC27&gt;=0,AC27,IF(AB27&gt;=0,AB27,IF(AA27&gt;=0,AA27,Z27)))))))))</f>
        <v xml:space="preserve"> </v>
      </c>
      <c r="AM27" s="15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5"/>
      <c r="CJ27" s="135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5"/>
      <c r="CW27" s="135"/>
      <c r="CX27" s="135"/>
      <c r="CY27" s="135"/>
      <c r="CZ27" s="135"/>
      <c r="DA27" s="135"/>
      <c r="DB27" s="135"/>
      <c r="DC27" s="135"/>
      <c r="DD27" s="135"/>
      <c r="DE27" s="135"/>
      <c r="DF27" s="135"/>
      <c r="DG27" s="135"/>
      <c r="DH27" s="135"/>
      <c r="DI27" s="135"/>
      <c r="DJ27" s="135"/>
      <c r="DK27" s="135"/>
      <c r="DL27" s="135"/>
      <c r="DM27" s="135"/>
      <c r="DN27" s="135"/>
      <c r="DO27" s="135"/>
      <c r="DP27" s="135"/>
      <c r="DQ27" s="135"/>
      <c r="DR27" s="135"/>
    </row>
    <row r="28" spans="1:126" s="11" customFormat="1" ht="5.0999999999999996" customHeight="1">
      <c r="A28" s="8"/>
      <c r="B28" s="67"/>
      <c r="C28" s="68"/>
      <c r="D28" s="69"/>
      <c r="E28" s="69"/>
      <c r="F28" s="70"/>
      <c r="G28" s="71"/>
      <c r="H28" s="72"/>
      <c r="I28" s="73"/>
      <c r="J28" s="74"/>
      <c r="K28" s="170"/>
      <c r="L28" s="75"/>
      <c r="M28" s="75"/>
      <c r="N28" s="75"/>
      <c r="O28" s="76"/>
      <c r="P28" s="75"/>
      <c r="Q28" s="75"/>
      <c r="R28" s="75"/>
      <c r="S28" s="76"/>
      <c r="T28" s="76"/>
      <c r="U28" s="77"/>
      <c r="V28" s="70"/>
      <c r="W28" s="70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  <c r="BM28" s="133"/>
      <c r="BN28" s="133"/>
      <c r="BO28" s="133"/>
      <c r="BP28" s="133"/>
      <c r="BQ28" s="133"/>
      <c r="BR28" s="133"/>
      <c r="BS28" s="133"/>
      <c r="BT28" s="133"/>
      <c r="BU28" s="133"/>
      <c r="BV28" s="133"/>
      <c r="BW28" s="133"/>
      <c r="BX28" s="133"/>
      <c r="BY28" s="133"/>
      <c r="BZ28" s="133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</row>
    <row r="29" spans="1:126" s="16" customFormat="1" ht="22.5" customHeight="1">
      <c r="A29" s="15"/>
      <c r="B29" s="173" t="s">
        <v>16</v>
      </c>
      <c r="C29" s="174"/>
      <c r="D29" s="174"/>
      <c r="E29" s="174"/>
      <c r="F29" s="174"/>
      <c r="G29" s="174"/>
      <c r="H29" s="174"/>
      <c r="I29" s="174"/>
      <c r="J29" s="174"/>
      <c r="K29" s="174"/>
      <c r="L29" s="175"/>
      <c r="N29" s="18"/>
      <c r="O29" s="128" t="s">
        <v>119</v>
      </c>
      <c r="P29" s="82" t="s">
        <v>17</v>
      </c>
      <c r="Q29" s="209" t="s">
        <v>158</v>
      </c>
      <c r="R29" s="209"/>
      <c r="S29" s="209"/>
      <c r="T29" s="209"/>
      <c r="U29" s="209" t="s">
        <v>120</v>
      </c>
      <c r="V29" s="209"/>
      <c r="W29" s="210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</row>
    <row r="30" spans="1:126" s="17" customFormat="1" ht="22.5" customHeight="1">
      <c r="A30" s="15"/>
      <c r="B30" s="176"/>
      <c r="C30" s="177"/>
      <c r="D30" s="177"/>
      <c r="E30" s="177"/>
      <c r="F30" s="177"/>
      <c r="G30" s="177"/>
      <c r="H30" s="177"/>
      <c r="I30" s="177"/>
      <c r="J30" s="177"/>
      <c r="K30" s="177"/>
      <c r="L30" s="178"/>
      <c r="N30" s="18"/>
      <c r="O30" s="129"/>
      <c r="P30" s="83" t="s">
        <v>18</v>
      </c>
      <c r="Q30" s="182" t="s">
        <v>159</v>
      </c>
      <c r="R30" s="182"/>
      <c r="S30" s="182"/>
      <c r="T30" s="182"/>
      <c r="U30" s="182"/>
      <c r="V30" s="182"/>
      <c r="W30" s="208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</row>
    <row r="31" spans="1:126" s="18" customFormat="1" ht="22.5" customHeight="1">
      <c r="A31" s="15"/>
      <c r="B31" s="176"/>
      <c r="C31" s="177"/>
      <c r="D31" s="177"/>
      <c r="E31" s="177"/>
      <c r="F31" s="177"/>
      <c r="G31" s="177"/>
      <c r="H31" s="177"/>
      <c r="I31" s="177"/>
      <c r="J31" s="177"/>
      <c r="K31" s="177"/>
      <c r="L31" s="178"/>
      <c r="O31" s="129"/>
      <c r="P31" s="83" t="s">
        <v>19</v>
      </c>
      <c r="Q31" s="182" t="s">
        <v>160</v>
      </c>
      <c r="R31" s="182"/>
      <c r="S31" s="182"/>
      <c r="T31" s="182"/>
      <c r="U31" s="182"/>
      <c r="V31" s="182"/>
      <c r="W31" s="208"/>
      <c r="X31" s="156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</row>
    <row r="32" spans="1:126" s="18" customFormat="1" ht="22.5" customHeight="1">
      <c r="A32" s="15"/>
      <c r="B32" s="176"/>
      <c r="C32" s="177"/>
      <c r="D32" s="177"/>
      <c r="E32" s="177"/>
      <c r="F32" s="177"/>
      <c r="G32" s="177"/>
      <c r="H32" s="177"/>
      <c r="I32" s="177"/>
      <c r="J32" s="177"/>
      <c r="K32" s="177"/>
      <c r="L32" s="178"/>
      <c r="O32" s="129"/>
      <c r="P32" s="83" t="s">
        <v>20</v>
      </c>
      <c r="Q32" s="182"/>
      <c r="R32" s="182"/>
      <c r="S32" s="182"/>
      <c r="T32" s="182"/>
      <c r="U32" s="182"/>
      <c r="V32" s="182"/>
      <c r="W32" s="208"/>
      <c r="X32" s="156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</row>
    <row r="33" spans="1:39" s="18" customFormat="1" ht="22.5" customHeight="1">
      <c r="B33" s="176"/>
      <c r="C33" s="177"/>
      <c r="D33" s="177"/>
      <c r="E33" s="177"/>
      <c r="F33" s="177"/>
      <c r="G33" s="177"/>
      <c r="H33" s="177"/>
      <c r="I33" s="177"/>
      <c r="J33" s="177"/>
      <c r="K33" s="177"/>
      <c r="L33" s="178"/>
      <c r="O33" s="129"/>
      <c r="P33" s="83" t="s">
        <v>21</v>
      </c>
      <c r="Q33" s="182"/>
      <c r="R33" s="182"/>
      <c r="S33" s="182"/>
      <c r="T33" s="182"/>
      <c r="U33" s="182"/>
      <c r="V33" s="182"/>
      <c r="W33" s="208"/>
      <c r="X33" s="156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</row>
    <row r="34" spans="1:39" ht="22.5" customHeight="1">
      <c r="A34" s="6"/>
      <c r="B34" s="176"/>
      <c r="C34" s="177"/>
      <c r="D34" s="177"/>
      <c r="E34" s="177"/>
      <c r="F34" s="177"/>
      <c r="G34" s="177"/>
      <c r="H34" s="177"/>
      <c r="I34" s="177"/>
      <c r="J34" s="177"/>
      <c r="K34" s="177"/>
      <c r="L34" s="178"/>
      <c r="M34" s="18"/>
      <c r="N34" s="18"/>
      <c r="O34" s="129"/>
      <c r="P34" s="83" t="s">
        <v>22</v>
      </c>
      <c r="Q34" s="182"/>
      <c r="R34" s="182"/>
      <c r="S34" s="182"/>
      <c r="T34" s="182"/>
      <c r="U34" s="182"/>
      <c r="V34" s="182"/>
      <c r="W34" s="208"/>
    </row>
    <row r="35" spans="1:39" ht="22.5" customHeight="1">
      <c r="A35" s="6"/>
      <c r="B35" s="176"/>
      <c r="C35" s="177"/>
      <c r="D35" s="177"/>
      <c r="E35" s="177"/>
      <c r="F35" s="177"/>
      <c r="G35" s="177"/>
      <c r="H35" s="177"/>
      <c r="I35" s="177"/>
      <c r="J35" s="177"/>
      <c r="K35" s="177"/>
      <c r="L35" s="178"/>
      <c r="M35" s="18"/>
      <c r="N35" s="18"/>
      <c r="O35" s="129"/>
      <c r="P35" s="83" t="s">
        <v>23</v>
      </c>
      <c r="Q35" s="182" t="s">
        <v>161</v>
      </c>
      <c r="R35" s="182"/>
      <c r="S35" s="182"/>
      <c r="T35" s="182"/>
      <c r="U35" s="182"/>
      <c r="V35" s="182"/>
      <c r="W35" s="208"/>
    </row>
    <row r="36" spans="1:39" ht="22.5" customHeight="1">
      <c r="A36" s="6"/>
      <c r="B36" s="179"/>
      <c r="C36" s="180"/>
      <c r="D36" s="180"/>
      <c r="E36" s="180"/>
      <c r="F36" s="180"/>
      <c r="G36" s="180"/>
      <c r="H36" s="180"/>
      <c r="I36" s="180"/>
      <c r="J36" s="180"/>
      <c r="K36" s="180"/>
      <c r="L36" s="181"/>
      <c r="M36" s="18"/>
      <c r="N36" s="18"/>
      <c r="O36" s="130"/>
      <c r="P36" s="84" t="s">
        <v>24</v>
      </c>
      <c r="Q36" s="206"/>
      <c r="R36" s="206"/>
      <c r="S36" s="206"/>
      <c r="T36" s="206"/>
      <c r="U36" s="206"/>
      <c r="V36" s="206"/>
      <c r="W36" s="207"/>
    </row>
    <row r="37" spans="1:39" s="18" customFormat="1" ht="10.15" customHeight="1">
      <c r="K37" s="158"/>
      <c r="P37" s="15"/>
      <c r="X37" s="156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</row>
    <row r="38" spans="1:39">
      <c r="A38" s="6"/>
      <c r="O38" s="1"/>
    </row>
    <row r="39" spans="1:39">
      <c r="A39" s="6"/>
    </row>
  </sheetData>
  <mergeCells count="36">
    <mergeCell ref="U36:W36"/>
    <mergeCell ref="U34:W34"/>
    <mergeCell ref="U35:W35"/>
    <mergeCell ref="Q36:T36"/>
    <mergeCell ref="U29:W29"/>
    <mergeCell ref="U30:W30"/>
    <mergeCell ref="U31:W31"/>
    <mergeCell ref="U32:W32"/>
    <mergeCell ref="U33:W33"/>
    <mergeCell ref="Q29:T29"/>
    <mergeCell ref="Q30:T30"/>
    <mergeCell ref="F5:G5"/>
    <mergeCell ref="V2:W2"/>
    <mergeCell ref="V3:W3"/>
    <mergeCell ref="M2:N3"/>
    <mergeCell ref="P2:T2"/>
    <mergeCell ref="P3:T3"/>
    <mergeCell ref="D2:K3"/>
    <mergeCell ref="B7:B11"/>
    <mergeCell ref="B13:B17"/>
    <mergeCell ref="B19:B23"/>
    <mergeCell ref="I10:I11"/>
    <mergeCell ref="I7:I9"/>
    <mergeCell ref="I13:I15"/>
    <mergeCell ref="I16:I17"/>
    <mergeCell ref="I19:I21"/>
    <mergeCell ref="I22:I23"/>
    <mergeCell ref="D7:D11"/>
    <mergeCell ref="D13:D17"/>
    <mergeCell ref="D19:D23"/>
    <mergeCell ref="B29:L36"/>
    <mergeCell ref="Q31:T31"/>
    <mergeCell ref="Q32:T32"/>
    <mergeCell ref="Q33:T33"/>
    <mergeCell ref="Q34:T34"/>
    <mergeCell ref="Q35:T35"/>
  </mergeCells>
  <phoneticPr fontId="0" type="noConversion"/>
  <conditionalFormatting sqref="L7:N7 P7:R7 P9:R13 L9:N13 L15:N19 P15:R19 P21:R27 L21:N27">
    <cfRule type="cellIs" dxfId="3" priority="4" operator="lessThan">
      <formula>0</formula>
    </cfRule>
  </conditionalFormatting>
  <conditionalFormatting sqref="P8:R8 L8:N8">
    <cfRule type="cellIs" dxfId="2" priority="3" operator="lessThan">
      <formula>0</formula>
    </cfRule>
  </conditionalFormatting>
  <conditionalFormatting sqref="L14:N14 P14:R14">
    <cfRule type="cellIs" dxfId="1" priority="2" operator="lessThan">
      <formula>0</formula>
    </cfRule>
  </conditionalFormatting>
  <conditionalFormatting sqref="P20:R20 L20:N20">
    <cfRule type="cellIs" dxfId="0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61" orientation="landscape" horizontalDpi="4294967294" verticalDpi="180" r:id="rId1"/>
  <headerFooter alignWithMargins="0"/>
  <ignoredErrors>
    <ignoredError sqref="D9 S9:W9 D7 D10 I10:J10 S10:W10 D13 D23 D19 D17 S7:T7 D11 S17:W17 S13:W13 S23:W23 S15:W16 S19:W19 S21:W21 S11:W11 I9:J9 J7 V7:W7 I11:J11 J13 D15 I15:J15 D16 I16:J16 I17:J17 J19 D21 I21:J21 D22 I22:J22 I23:J23 T22:W22" unlockedFormula="1"/>
    <ignoredError sqref="O7" formulaRange="1" unlockedFormula="1"/>
    <ignoredError sqref="U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BN29"/>
  <sheetViews>
    <sheetView workbookViewId="0">
      <selection activeCell="B7" sqref="B7"/>
    </sheetView>
  </sheetViews>
  <sheetFormatPr baseColWidth="10" defaultRowHeight="12.75"/>
  <sheetData>
    <row r="1" spans="1:66">
      <c r="C1" s="92" t="s">
        <v>38</v>
      </c>
      <c r="D1" s="92" t="s">
        <v>39</v>
      </c>
      <c r="E1" s="92" t="s">
        <v>40</v>
      </c>
      <c r="F1" s="92" t="s">
        <v>41</v>
      </c>
      <c r="G1" s="92" t="s">
        <v>42</v>
      </c>
      <c r="H1" s="92" t="s">
        <v>43</v>
      </c>
      <c r="I1" s="92" t="s">
        <v>44</v>
      </c>
      <c r="J1" s="92" t="s">
        <v>45</v>
      </c>
      <c r="K1" s="92" t="s">
        <v>46</v>
      </c>
      <c r="L1" s="92" t="s">
        <v>47</v>
      </c>
      <c r="M1" s="92" t="s">
        <v>48</v>
      </c>
      <c r="N1" s="92" t="s">
        <v>49</v>
      </c>
      <c r="O1" s="92" t="s">
        <v>50</v>
      </c>
      <c r="P1" s="92" t="s">
        <v>51</v>
      </c>
      <c r="Q1" s="92" t="s">
        <v>52</v>
      </c>
      <c r="R1" s="92" t="s">
        <v>53</v>
      </c>
      <c r="S1" s="92" t="s">
        <v>54</v>
      </c>
      <c r="T1" s="92" t="s">
        <v>55</v>
      </c>
      <c r="U1" s="92" t="s">
        <v>56</v>
      </c>
      <c r="V1" s="92" t="s">
        <v>57</v>
      </c>
      <c r="W1" s="92" t="s">
        <v>58</v>
      </c>
      <c r="X1" s="92" t="s">
        <v>59</v>
      </c>
      <c r="Y1" s="92" t="s">
        <v>60</v>
      </c>
      <c r="Z1" s="92" t="s">
        <v>61</v>
      </c>
      <c r="AA1" s="92" t="s">
        <v>62</v>
      </c>
      <c r="AB1" s="92" t="s">
        <v>63</v>
      </c>
      <c r="AC1" s="92" t="s">
        <v>64</v>
      </c>
      <c r="AD1" s="92" t="s">
        <v>65</v>
      </c>
      <c r="AE1" s="92" t="s">
        <v>66</v>
      </c>
      <c r="AF1" s="92" t="s">
        <v>67</v>
      </c>
      <c r="AG1" s="92" t="s">
        <v>68</v>
      </c>
      <c r="AH1" s="92" t="s">
        <v>69</v>
      </c>
      <c r="AI1" s="92" t="s">
        <v>70</v>
      </c>
      <c r="AJ1" s="92" t="s">
        <v>71</v>
      </c>
      <c r="AK1" s="92" t="s">
        <v>72</v>
      </c>
      <c r="AL1" s="92" t="s">
        <v>73</v>
      </c>
      <c r="AM1" s="92" t="s">
        <v>74</v>
      </c>
      <c r="AN1" s="92" t="s">
        <v>75</v>
      </c>
      <c r="AO1" s="92" t="s">
        <v>76</v>
      </c>
      <c r="AP1" s="92" t="s">
        <v>77</v>
      </c>
      <c r="AQ1" s="92" t="s">
        <v>78</v>
      </c>
      <c r="AR1" s="92" t="s">
        <v>79</v>
      </c>
      <c r="AS1" s="92" t="s">
        <v>80</v>
      </c>
      <c r="AT1" s="92" t="s">
        <v>81</v>
      </c>
      <c r="AU1" s="92" t="s">
        <v>82</v>
      </c>
      <c r="AV1" s="92" t="s">
        <v>83</v>
      </c>
      <c r="AW1" s="92" t="s">
        <v>84</v>
      </c>
      <c r="AX1" s="92" t="s">
        <v>85</v>
      </c>
      <c r="AY1" s="92" t="s">
        <v>86</v>
      </c>
      <c r="AZ1" s="92" t="s">
        <v>87</v>
      </c>
      <c r="BA1" s="92" t="s">
        <v>88</v>
      </c>
      <c r="BB1" s="92" t="s">
        <v>89</v>
      </c>
      <c r="BC1" s="92" t="s">
        <v>90</v>
      </c>
      <c r="BD1" s="92" t="s">
        <v>91</v>
      </c>
      <c r="BE1" s="92" t="s">
        <v>92</v>
      </c>
      <c r="BF1" s="92" t="s">
        <v>93</v>
      </c>
      <c r="BG1" s="92" t="s">
        <v>94</v>
      </c>
      <c r="BH1" s="92" t="s">
        <v>95</v>
      </c>
      <c r="BI1" s="92" t="s">
        <v>96</v>
      </c>
      <c r="BJ1" s="92" t="s">
        <v>97</v>
      </c>
      <c r="BK1" s="92" t="s">
        <v>98</v>
      </c>
      <c r="BL1" s="92" t="s">
        <v>99</v>
      </c>
      <c r="BM1" s="92" t="s">
        <v>100</v>
      </c>
      <c r="BN1" s="92" t="s">
        <v>101</v>
      </c>
    </row>
    <row r="2" spans="1:66">
      <c r="B2" s="92" t="s">
        <v>102</v>
      </c>
      <c r="C2" s="93">
        <v>20</v>
      </c>
      <c r="D2" s="93">
        <v>25</v>
      </c>
      <c r="E2" s="93">
        <v>30</v>
      </c>
      <c r="F2" s="93">
        <v>35</v>
      </c>
      <c r="G2" s="93">
        <v>40</v>
      </c>
      <c r="H2" s="93">
        <v>45</v>
      </c>
      <c r="I2" s="93">
        <v>50</v>
      </c>
      <c r="J2" s="93">
        <v>60</v>
      </c>
      <c r="K2" s="94">
        <v>30</v>
      </c>
      <c r="L2" s="94">
        <v>35</v>
      </c>
      <c r="M2" s="94">
        <v>45</v>
      </c>
      <c r="N2" s="94">
        <v>50</v>
      </c>
      <c r="O2" s="94">
        <v>55</v>
      </c>
      <c r="P2" s="94">
        <v>60</v>
      </c>
      <c r="Q2" s="94">
        <v>65</v>
      </c>
      <c r="R2" s="94">
        <v>70</v>
      </c>
      <c r="S2" s="95">
        <v>45</v>
      </c>
      <c r="T2" s="95">
        <v>55</v>
      </c>
      <c r="U2" s="95">
        <v>60</v>
      </c>
      <c r="V2" s="95">
        <v>65</v>
      </c>
      <c r="W2" s="95">
        <v>70</v>
      </c>
      <c r="X2" s="95">
        <v>80</v>
      </c>
      <c r="Y2" s="95">
        <v>85</v>
      </c>
      <c r="Z2" s="95">
        <v>90</v>
      </c>
      <c r="AA2" s="96">
        <v>55</v>
      </c>
      <c r="AB2" s="96">
        <v>65</v>
      </c>
      <c r="AC2" s="96">
        <v>70</v>
      </c>
      <c r="AD2" s="96">
        <v>75</v>
      </c>
      <c r="AE2" s="96">
        <v>80</v>
      </c>
      <c r="AF2" s="96">
        <v>90</v>
      </c>
      <c r="AG2" s="96">
        <v>95</v>
      </c>
      <c r="AH2" s="96">
        <v>100</v>
      </c>
      <c r="AI2" s="94">
        <v>35</v>
      </c>
      <c r="AJ2" s="94">
        <v>40</v>
      </c>
      <c r="AK2" s="94">
        <v>50</v>
      </c>
      <c r="AL2" s="94">
        <v>75</v>
      </c>
      <c r="AM2" s="94">
        <v>85</v>
      </c>
      <c r="AN2" s="94">
        <v>90</v>
      </c>
      <c r="AO2" s="94">
        <v>100</v>
      </c>
      <c r="AP2" s="94">
        <v>110</v>
      </c>
      <c r="AQ2" s="97">
        <v>45</v>
      </c>
      <c r="AR2" s="97">
        <v>65</v>
      </c>
      <c r="AS2" s="97">
        <v>85</v>
      </c>
      <c r="AT2" s="97">
        <v>95</v>
      </c>
      <c r="AU2" s="97">
        <v>110</v>
      </c>
      <c r="AV2" s="97">
        <v>120</v>
      </c>
      <c r="AW2" s="97">
        <v>125</v>
      </c>
      <c r="AX2" s="97">
        <v>135</v>
      </c>
      <c r="AY2" s="94">
        <v>80</v>
      </c>
      <c r="AZ2" s="94">
        <v>90</v>
      </c>
      <c r="BA2" s="94">
        <v>110</v>
      </c>
      <c r="BB2" s="94">
        <v>130</v>
      </c>
      <c r="BC2" s="94">
        <v>145</v>
      </c>
      <c r="BD2" s="94">
        <v>150</v>
      </c>
      <c r="BE2" s="94">
        <v>155</v>
      </c>
      <c r="BF2" s="94">
        <v>165</v>
      </c>
      <c r="BG2" s="98">
        <v>95</v>
      </c>
      <c r="BH2" s="98">
        <v>115</v>
      </c>
      <c r="BI2" s="98">
        <v>130</v>
      </c>
      <c r="BJ2" s="98">
        <v>150</v>
      </c>
      <c r="BK2" s="98">
        <v>165</v>
      </c>
      <c r="BL2" s="98">
        <v>170</v>
      </c>
      <c r="BM2" s="98">
        <v>175</v>
      </c>
      <c r="BN2" s="98">
        <v>185</v>
      </c>
    </row>
    <row r="3" spans="1:66">
      <c r="B3" t="s">
        <v>103</v>
      </c>
      <c r="C3" s="93">
        <v>25</v>
      </c>
      <c r="D3" s="93">
        <v>30</v>
      </c>
      <c r="E3" s="93">
        <v>35</v>
      </c>
      <c r="F3" s="93">
        <v>45</v>
      </c>
      <c r="G3" s="93">
        <v>50</v>
      </c>
      <c r="H3" s="93">
        <v>55</v>
      </c>
      <c r="I3" s="93">
        <v>60</v>
      </c>
      <c r="J3" s="93">
        <v>70</v>
      </c>
      <c r="K3" s="94">
        <v>40</v>
      </c>
      <c r="L3" s="94">
        <v>45</v>
      </c>
      <c r="M3" s="94">
        <v>55</v>
      </c>
      <c r="N3" s="94">
        <v>60</v>
      </c>
      <c r="O3" s="94">
        <v>65</v>
      </c>
      <c r="P3" s="94">
        <v>70</v>
      </c>
      <c r="Q3" s="94">
        <v>75</v>
      </c>
      <c r="R3" s="94">
        <v>80</v>
      </c>
      <c r="S3" s="95">
        <v>55</v>
      </c>
      <c r="T3" s="95">
        <v>65</v>
      </c>
      <c r="U3" s="95">
        <v>70</v>
      </c>
      <c r="V3" s="95">
        <v>75</v>
      </c>
      <c r="W3" s="95">
        <v>80</v>
      </c>
      <c r="X3" s="95">
        <v>90</v>
      </c>
      <c r="Y3" s="95">
        <v>95</v>
      </c>
      <c r="Z3" s="95">
        <v>100</v>
      </c>
      <c r="AA3" s="96">
        <v>65</v>
      </c>
      <c r="AB3" s="96">
        <v>75</v>
      </c>
      <c r="AC3" s="96">
        <v>80</v>
      </c>
      <c r="AD3" s="96">
        <v>85</v>
      </c>
      <c r="AE3" s="96">
        <v>90</v>
      </c>
      <c r="AF3" s="96">
        <v>100</v>
      </c>
      <c r="AG3" s="96">
        <v>105</v>
      </c>
      <c r="AH3" s="96">
        <v>110</v>
      </c>
      <c r="AI3" s="99">
        <v>50</v>
      </c>
      <c r="AJ3" s="99">
        <v>55</v>
      </c>
      <c r="AK3" s="99">
        <v>70</v>
      </c>
      <c r="AL3" s="99">
        <v>95</v>
      </c>
      <c r="AM3" s="99">
        <v>105</v>
      </c>
      <c r="AN3" s="99">
        <v>110</v>
      </c>
      <c r="AO3" s="99">
        <v>120</v>
      </c>
      <c r="AP3" s="99">
        <v>130</v>
      </c>
      <c r="AQ3" s="100">
        <v>65</v>
      </c>
      <c r="AR3" s="100">
        <v>85</v>
      </c>
      <c r="AS3" s="100">
        <v>105</v>
      </c>
      <c r="AT3" s="100">
        <v>115</v>
      </c>
      <c r="AU3" s="100">
        <v>130</v>
      </c>
      <c r="AV3" s="100">
        <v>140</v>
      </c>
      <c r="AW3" s="100">
        <v>145</v>
      </c>
      <c r="AX3" s="100">
        <v>155</v>
      </c>
      <c r="AY3" s="99">
        <v>100</v>
      </c>
      <c r="AZ3" s="99">
        <v>115</v>
      </c>
      <c r="BA3" s="99">
        <v>130</v>
      </c>
      <c r="BB3" s="99">
        <v>150</v>
      </c>
      <c r="BC3" s="99">
        <v>165</v>
      </c>
      <c r="BD3" s="99">
        <v>170</v>
      </c>
      <c r="BE3" s="99">
        <v>175</v>
      </c>
      <c r="BF3" s="99">
        <v>185</v>
      </c>
      <c r="BG3" s="101">
        <v>115</v>
      </c>
      <c r="BH3" s="101">
        <v>135</v>
      </c>
      <c r="BI3" s="101">
        <v>150</v>
      </c>
      <c r="BJ3" s="101">
        <v>170</v>
      </c>
      <c r="BK3" s="101">
        <v>185</v>
      </c>
      <c r="BL3" s="101">
        <v>190</v>
      </c>
      <c r="BM3" s="101">
        <v>195</v>
      </c>
      <c r="BN3" s="101">
        <v>205</v>
      </c>
    </row>
    <row r="4" spans="1:66">
      <c r="B4" t="s">
        <v>104</v>
      </c>
      <c r="C4" s="93">
        <v>35</v>
      </c>
      <c r="D4" s="93">
        <v>40</v>
      </c>
      <c r="E4" s="93">
        <v>45</v>
      </c>
      <c r="F4" s="93">
        <v>55</v>
      </c>
      <c r="G4" s="93">
        <v>60</v>
      </c>
      <c r="H4" s="93">
        <v>65</v>
      </c>
      <c r="I4" s="93">
        <v>70</v>
      </c>
      <c r="J4" s="93">
        <v>80</v>
      </c>
      <c r="K4" s="94">
        <v>50</v>
      </c>
      <c r="L4" s="94">
        <v>55</v>
      </c>
      <c r="M4" s="94">
        <v>65</v>
      </c>
      <c r="N4" s="94">
        <v>70</v>
      </c>
      <c r="O4" s="94">
        <v>75</v>
      </c>
      <c r="P4" s="94">
        <v>80</v>
      </c>
      <c r="Q4" s="94">
        <v>90</v>
      </c>
      <c r="R4" s="94">
        <v>95</v>
      </c>
      <c r="S4" s="95">
        <v>65</v>
      </c>
      <c r="T4" s="95">
        <v>75</v>
      </c>
      <c r="U4" s="95">
        <v>80</v>
      </c>
      <c r="V4" s="95">
        <v>85</v>
      </c>
      <c r="W4" s="95">
        <v>90</v>
      </c>
      <c r="X4" s="95">
        <v>105</v>
      </c>
      <c r="Y4" s="95">
        <v>110</v>
      </c>
      <c r="Z4" s="95">
        <v>115</v>
      </c>
      <c r="AA4" s="96">
        <v>75</v>
      </c>
      <c r="AB4" s="96">
        <v>85</v>
      </c>
      <c r="AC4" s="96">
        <v>90</v>
      </c>
      <c r="AD4" s="96">
        <v>95</v>
      </c>
      <c r="AE4" s="96">
        <v>105</v>
      </c>
      <c r="AF4" s="96">
        <v>115</v>
      </c>
      <c r="AG4" s="96">
        <v>120</v>
      </c>
      <c r="AH4" s="96">
        <v>125</v>
      </c>
      <c r="AI4" s="99">
        <v>60</v>
      </c>
      <c r="AJ4" s="99">
        <v>65</v>
      </c>
      <c r="AK4" s="99">
        <v>85</v>
      </c>
      <c r="AL4" s="99">
        <v>105</v>
      </c>
      <c r="AM4" s="99">
        <v>115</v>
      </c>
      <c r="AN4" s="99">
        <v>130</v>
      </c>
      <c r="AO4" s="99">
        <v>140</v>
      </c>
      <c r="AP4" s="99">
        <v>145</v>
      </c>
      <c r="AQ4" s="100">
        <v>80</v>
      </c>
      <c r="AR4" s="100">
        <v>100</v>
      </c>
      <c r="AS4" s="100">
        <v>120</v>
      </c>
      <c r="AT4" s="100">
        <v>130</v>
      </c>
      <c r="AU4" s="100">
        <v>150</v>
      </c>
      <c r="AV4" s="100">
        <v>160</v>
      </c>
      <c r="AW4" s="100">
        <v>165</v>
      </c>
      <c r="AX4" s="100">
        <v>175</v>
      </c>
      <c r="AY4" s="99">
        <v>115</v>
      </c>
      <c r="AZ4" s="99">
        <v>135</v>
      </c>
      <c r="BA4" s="99">
        <v>150</v>
      </c>
      <c r="BB4" s="99">
        <v>170</v>
      </c>
      <c r="BC4" s="99">
        <v>185</v>
      </c>
      <c r="BD4" s="99">
        <v>190</v>
      </c>
      <c r="BE4" s="99">
        <v>195</v>
      </c>
      <c r="BF4" s="99">
        <v>205</v>
      </c>
      <c r="BG4" s="101">
        <v>130</v>
      </c>
      <c r="BH4" s="101">
        <v>150</v>
      </c>
      <c r="BI4" s="101">
        <v>170</v>
      </c>
      <c r="BJ4" s="101">
        <v>190</v>
      </c>
      <c r="BK4" s="101">
        <v>205</v>
      </c>
      <c r="BL4" s="101">
        <v>215</v>
      </c>
      <c r="BM4" s="101">
        <v>220</v>
      </c>
      <c r="BN4" s="101">
        <v>225</v>
      </c>
    </row>
    <row r="5" spans="1:66">
      <c r="B5" t="s">
        <v>105</v>
      </c>
      <c r="C5" s="93">
        <v>45</v>
      </c>
      <c r="D5" s="93">
        <v>50</v>
      </c>
      <c r="E5" s="93">
        <v>55</v>
      </c>
      <c r="F5" s="93">
        <v>65</v>
      </c>
      <c r="G5" s="93">
        <v>70</v>
      </c>
      <c r="H5" s="93">
        <v>75</v>
      </c>
      <c r="I5" s="93">
        <v>80</v>
      </c>
      <c r="J5" s="93">
        <v>90</v>
      </c>
      <c r="K5" s="94">
        <v>60</v>
      </c>
      <c r="L5" s="94">
        <v>65</v>
      </c>
      <c r="M5" s="94">
        <v>75</v>
      </c>
      <c r="N5" s="94">
        <v>80</v>
      </c>
      <c r="O5" s="94">
        <v>85</v>
      </c>
      <c r="P5" s="94">
        <v>90</v>
      </c>
      <c r="Q5" s="94">
        <v>100</v>
      </c>
      <c r="R5" s="94">
        <v>105</v>
      </c>
      <c r="S5" s="95">
        <v>75</v>
      </c>
      <c r="T5" s="95">
        <v>85</v>
      </c>
      <c r="U5" s="95">
        <v>90</v>
      </c>
      <c r="V5" s="95">
        <v>100</v>
      </c>
      <c r="W5" s="95">
        <v>105</v>
      </c>
      <c r="X5" s="95">
        <v>115</v>
      </c>
      <c r="Y5" s="95">
        <v>120</v>
      </c>
      <c r="Z5" s="95">
        <v>125</v>
      </c>
      <c r="AA5" s="96">
        <v>85</v>
      </c>
      <c r="AB5" s="96">
        <v>100</v>
      </c>
      <c r="AC5" s="96">
        <v>105</v>
      </c>
      <c r="AD5" s="96">
        <v>110</v>
      </c>
      <c r="AE5" s="96">
        <v>120</v>
      </c>
      <c r="AF5" s="96">
        <v>130</v>
      </c>
      <c r="AG5" s="96">
        <v>135</v>
      </c>
      <c r="AH5" s="96">
        <v>140</v>
      </c>
      <c r="AI5" s="99">
        <v>75</v>
      </c>
      <c r="AJ5" s="99">
        <v>80</v>
      </c>
      <c r="AK5" s="99">
        <v>100</v>
      </c>
      <c r="AL5" s="99">
        <v>120</v>
      </c>
      <c r="AM5" s="99">
        <v>130</v>
      </c>
      <c r="AN5" s="99">
        <v>150</v>
      </c>
      <c r="AO5" s="99">
        <v>160</v>
      </c>
      <c r="AP5" s="99">
        <v>165</v>
      </c>
      <c r="AQ5" s="100">
        <v>95</v>
      </c>
      <c r="AR5" s="100">
        <v>115</v>
      </c>
      <c r="AS5" s="100">
        <v>135</v>
      </c>
      <c r="AT5" s="100">
        <v>150</v>
      </c>
      <c r="AU5" s="100">
        <v>170</v>
      </c>
      <c r="AV5" s="100">
        <v>180</v>
      </c>
      <c r="AW5" s="100">
        <v>185</v>
      </c>
      <c r="AX5" s="100">
        <v>195</v>
      </c>
      <c r="AY5" s="99">
        <v>130</v>
      </c>
      <c r="AZ5" s="99">
        <v>150</v>
      </c>
      <c r="BA5" s="99">
        <v>170</v>
      </c>
      <c r="BB5" s="99">
        <v>190</v>
      </c>
      <c r="BC5" s="99">
        <v>205</v>
      </c>
      <c r="BD5" s="99">
        <v>215</v>
      </c>
      <c r="BE5" s="99">
        <v>220</v>
      </c>
      <c r="BF5" s="99">
        <v>225</v>
      </c>
      <c r="BG5" s="101">
        <v>145</v>
      </c>
      <c r="BH5" s="101">
        <v>170</v>
      </c>
      <c r="BI5" s="101">
        <v>195</v>
      </c>
      <c r="BJ5" s="101">
        <v>215</v>
      </c>
      <c r="BK5" s="101">
        <v>225</v>
      </c>
      <c r="BL5" s="101">
        <v>235</v>
      </c>
      <c r="BM5" s="101">
        <v>245</v>
      </c>
      <c r="BN5" s="101">
        <v>250</v>
      </c>
    </row>
    <row r="6" spans="1:66">
      <c r="B6" t="s">
        <v>106</v>
      </c>
      <c r="C6" s="93">
        <v>55</v>
      </c>
      <c r="D6" s="93">
        <v>65</v>
      </c>
      <c r="E6" s="93">
        <v>70</v>
      </c>
      <c r="F6" s="93">
        <v>80</v>
      </c>
      <c r="G6" s="93">
        <v>85</v>
      </c>
      <c r="H6" s="93">
        <v>90</v>
      </c>
      <c r="I6" s="93">
        <v>95</v>
      </c>
      <c r="J6" s="93">
        <v>105</v>
      </c>
      <c r="K6" s="94">
        <v>75</v>
      </c>
      <c r="L6" s="94">
        <v>80</v>
      </c>
      <c r="M6" s="94">
        <v>90</v>
      </c>
      <c r="N6" s="94">
        <v>95</v>
      </c>
      <c r="O6" s="94">
        <v>100</v>
      </c>
      <c r="P6" s="94">
        <v>105</v>
      </c>
      <c r="Q6" s="94">
        <v>110</v>
      </c>
      <c r="R6" s="94">
        <v>115</v>
      </c>
      <c r="S6" s="95">
        <v>90</v>
      </c>
      <c r="T6" s="95">
        <v>100</v>
      </c>
      <c r="U6" s="95">
        <v>105</v>
      </c>
      <c r="V6" s="95">
        <v>115</v>
      </c>
      <c r="W6" s="95">
        <v>120</v>
      </c>
      <c r="X6" s="95">
        <v>130</v>
      </c>
      <c r="Y6" s="95">
        <v>135</v>
      </c>
      <c r="Z6" s="95">
        <v>140</v>
      </c>
      <c r="AA6" s="96">
        <v>100</v>
      </c>
      <c r="AB6" s="96">
        <v>115</v>
      </c>
      <c r="AC6" s="96">
        <v>125</v>
      </c>
      <c r="AD6" s="96">
        <v>130</v>
      </c>
      <c r="AE6" s="96">
        <v>140</v>
      </c>
      <c r="AF6" s="96">
        <v>145</v>
      </c>
      <c r="AG6" s="96">
        <v>150</v>
      </c>
      <c r="AH6" s="96">
        <v>155</v>
      </c>
      <c r="AI6" s="99">
        <v>90</v>
      </c>
      <c r="AJ6" s="99">
        <v>95</v>
      </c>
      <c r="AK6" s="99">
        <v>115</v>
      </c>
      <c r="AL6" s="99">
        <v>135</v>
      </c>
      <c r="AM6" s="99">
        <v>150</v>
      </c>
      <c r="AN6" s="99">
        <v>170</v>
      </c>
      <c r="AO6" s="99">
        <v>180</v>
      </c>
      <c r="AP6" s="99">
        <v>185</v>
      </c>
      <c r="AQ6" s="100">
        <v>110</v>
      </c>
      <c r="AR6" s="100">
        <v>130</v>
      </c>
      <c r="AS6" s="100">
        <v>150</v>
      </c>
      <c r="AT6" s="100">
        <v>170</v>
      </c>
      <c r="AU6" s="100">
        <v>185</v>
      </c>
      <c r="AV6" s="100">
        <v>200</v>
      </c>
      <c r="AW6" s="100">
        <v>210</v>
      </c>
      <c r="AX6" s="100">
        <v>220</v>
      </c>
      <c r="AY6" s="99">
        <v>145</v>
      </c>
      <c r="AZ6" s="99">
        <v>170</v>
      </c>
      <c r="BA6" s="99">
        <v>190</v>
      </c>
      <c r="BB6" s="99">
        <v>210</v>
      </c>
      <c r="BC6" s="99">
        <v>225</v>
      </c>
      <c r="BD6" s="99">
        <v>235</v>
      </c>
      <c r="BE6" s="99">
        <v>245</v>
      </c>
      <c r="BF6" s="99">
        <v>250</v>
      </c>
      <c r="BG6" s="101">
        <v>170</v>
      </c>
      <c r="BH6" s="101">
        <v>195</v>
      </c>
      <c r="BI6" s="101">
        <v>225</v>
      </c>
      <c r="BJ6" s="101">
        <v>245</v>
      </c>
      <c r="BK6" s="101">
        <v>255</v>
      </c>
      <c r="BL6" s="101">
        <v>265</v>
      </c>
      <c r="BM6" s="101">
        <v>275</v>
      </c>
      <c r="BN6" s="101">
        <v>280</v>
      </c>
    </row>
    <row r="7" spans="1:66">
      <c r="B7" t="s">
        <v>107</v>
      </c>
      <c r="C7" s="93">
        <v>56</v>
      </c>
      <c r="D7" s="93">
        <v>75</v>
      </c>
      <c r="E7" s="93">
        <v>80</v>
      </c>
      <c r="F7" s="93">
        <v>90</v>
      </c>
      <c r="G7" s="93">
        <v>95</v>
      </c>
      <c r="H7" s="93">
        <v>100</v>
      </c>
      <c r="I7" s="93">
        <v>105</v>
      </c>
      <c r="J7" s="93">
        <v>115</v>
      </c>
      <c r="K7" s="94">
        <v>85</v>
      </c>
      <c r="L7" s="94">
        <v>90</v>
      </c>
      <c r="M7" s="94">
        <v>100</v>
      </c>
      <c r="N7" s="94">
        <v>105</v>
      </c>
      <c r="O7" s="94">
        <v>155</v>
      </c>
      <c r="P7" s="94">
        <v>120</v>
      </c>
      <c r="Q7" s="94">
        <v>125</v>
      </c>
      <c r="R7" s="94">
        <v>130</v>
      </c>
      <c r="S7" s="95">
        <v>100</v>
      </c>
      <c r="T7" s="95">
        <v>110</v>
      </c>
      <c r="U7" s="95">
        <v>120</v>
      </c>
      <c r="V7" s="95">
        <v>130</v>
      </c>
      <c r="W7" s="95">
        <v>140</v>
      </c>
      <c r="X7" s="95">
        <v>145</v>
      </c>
      <c r="Y7" s="95">
        <v>150</v>
      </c>
      <c r="Z7" s="95">
        <v>155</v>
      </c>
      <c r="AA7" s="96">
        <v>115</v>
      </c>
      <c r="AB7" s="96">
        <v>130</v>
      </c>
      <c r="AC7" s="96">
        <v>140</v>
      </c>
      <c r="AD7" s="96">
        <v>150</v>
      </c>
      <c r="AE7" s="96">
        <v>160</v>
      </c>
      <c r="AF7" s="96">
        <v>165</v>
      </c>
      <c r="AG7" s="96">
        <v>170</v>
      </c>
      <c r="AH7" s="96">
        <v>175</v>
      </c>
      <c r="AI7" s="99">
        <v>105</v>
      </c>
      <c r="AJ7" s="99">
        <v>110</v>
      </c>
      <c r="AK7" s="99">
        <v>130</v>
      </c>
      <c r="AL7" s="99">
        <v>150</v>
      </c>
      <c r="AM7" s="99">
        <v>170</v>
      </c>
      <c r="AN7" s="99">
        <v>185</v>
      </c>
      <c r="AO7" s="99">
        <v>200</v>
      </c>
      <c r="AP7" s="99">
        <v>210</v>
      </c>
      <c r="AQ7" s="100">
        <v>120</v>
      </c>
      <c r="AR7" s="100">
        <v>145</v>
      </c>
      <c r="AS7" s="100">
        <v>170</v>
      </c>
      <c r="AT7" s="100">
        <v>190</v>
      </c>
      <c r="AU7" s="100">
        <v>200</v>
      </c>
      <c r="AV7" s="100">
        <v>220</v>
      </c>
      <c r="AW7" s="100">
        <v>225</v>
      </c>
      <c r="AX7" s="100">
        <v>235</v>
      </c>
      <c r="AY7" s="99">
        <v>170</v>
      </c>
      <c r="AZ7" s="99">
        <v>190</v>
      </c>
      <c r="BA7" s="99">
        <v>220</v>
      </c>
      <c r="BB7" s="99">
        <v>240</v>
      </c>
      <c r="BC7" s="99">
        <v>250</v>
      </c>
      <c r="BD7" s="99">
        <v>260</v>
      </c>
      <c r="BE7" s="99">
        <v>270</v>
      </c>
      <c r="BF7" s="99">
        <v>280</v>
      </c>
      <c r="BG7" s="101">
        <v>190</v>
      </c>
      <c r="BH7" s="101">
        <v>210</v>
      </c>
      <c r="BI7" s="101">
        <v>240</v>
      </c>
      <c r="BJ7" s="101">
        <v>265</v>
      </c>
      <c r="BK7" s="101">
        <v>280</v>
      </c>
      <c r="BL7" s="101">
        <v>290</v>
      </c>
      <c r="BM7" s="101">
        <v>300</v>
      </c>
      <c r="BN7" s="101">
        <v>310</v>
      </c>
    </row>
    <row r="8" spans="1:66">
      <c r="B8" t="s">
        <v>108</v>
      </c>
      <c r="C8" s="93">
        <v>75</v>
      </c>
      <c r="D8" s="93">
        <v>85</v>
      </c>
      <c r="E8" s="93">
        <v>90</v>
      </c>
      <c r="F8" s="93">
        <v>100</v>
      </c>
      <c r="G8" s="93">
        <v>105</v>
      </c>
      <c r="H8" s="93">
        <v>115</v>
      </c>
      <c r="I8" s="93">
        <v>120</v>
      </c>
      <c r="J8" s="93">
        <v>130</v>
      </c>
      <c r="K8" s="94">
        <v>95</v>
      </c>
      <c r="L8" s="94">
        <v>100</v>
      </c>
      <c r="M8" s="94">
        <v>110</v>
      </c>
      <c r="N8" s="94">
        <v>120</v>
      </c>
      <c r="O8" s="94">
        <v>130</v>
      </c>
      <c r="P8" s="94">
        <v>135</v>
      </c>
      <c r="Q8" s="94">
        <v>140</v>
      </c>
      <c r="R8" s="94">
        <v>145</v>
      </c>
      <c r="S8" s="95">
        <v>115</v>
      </c>
      <c r="T8" s="95">
        <v>125</v>
      </c>
      <c r="U8" s="95">
        <v>135</v>
      </c>
      <c r="V8" s="95">
        <v>145</v>
      </c>
      <c r="W8" s="95">
        <v>155</v>
      </c>
      <c r="X8" s="95">
        <v>160</v>
      </c>
      <c r="Y8" s="95">
        <v>165</v>
      </c>
      <c r="Z8" s="95">
        <v>170</v>
      </c>
      <c r="AA8" s="96">
        <v>130</v>
      </c>
      <c r="AB8" s="96">
        <v>150</v>
      </c>
      <c r="AC8" s="96">
        <v>160</v>
      </c>
      <c r="AD8" s="96">
        <v>170</v>
      </c>
      <c r="AE8" s="96">
        <v>180</v>
      </c>
      <c r="AF8" s="96">
        <v>185</v>
      </c>
      <c r="AG8" s="96">
        <v>190</v>
      </c>
      <c r="AH8" s="96">
        <v>195</v>
      </c>
      <c r="AI8" s="99">
        <v>115</v>
      </c>
      <c r="AJ8" s="99">
        <v>120</v>
      </c>
      <c r="AK8" s="99">
        <v>145</v>
      </c>
      <c r="AL8" s="99">
        <v>170</v>
      </c>
      <c r="AM8" s="99">
        <v>190</v>
      </c>
      <c r="AN8" s="99">
        <v>200</v>
      </c>
      <c r="AO8" s="99">
        <v>220</v>
      </c>
      <c r="AP8" s="99">
        <v>230</v>
      </c>
      <c r="AQ8" s="100">
        <v>135</v>
      </c>
      <c r="AR8" s="100">
        <v>170</v>
      </c>
      <c r="AS8" s="100">
        <v>190</v>
      </c>
      <c r="AT8" s="100">
        <v>210</v>
      </c>
      <c r="AU8" s="100">
        <v>220</v>
      </c>
      <c r="AV8" s="100">
        <v>240</v>
      </c>
      <c r="AW8" s="100">
        <v>250</v>
      </c>
      <c r="AX8" s="100">
        <v>260</v>
      </c>
      <c r="AY8" s="99">
        <v>190</v>
      </c>
      <c r="AZ8" s="99">
        <v>210</v>
      </c>
      <c r="BA8" s="99">
        <v>240</v>
      </c>
      <c r="BB8" s="99">
        <v>260</v>
      </c>
      <c r="BC8" s="99">
        <v>280</v>
      </c>
      <c r="BD8" s="99">
        <v>290</v>
      </c>
      <c r="BE8" s="99">
        <v>300</v>
      </c>
      <c r="BF8" s="99">
        <v>310</v>
      </c>
      <c r="BG8" s="101">
        <v>210</v>
      </c>
      <c r="BH8" s="101">
        <v>230</v>
      </c>
      <c r="BI8" s="101">
        <v>260</v>
      </c>
      <c r="BJ8" s="101">
        <v>285</v>
      </c>
      <c r="BK8" s="101">
        <v>300</v>
      </c>
      <c r="BL8" s="101">
        <v>310</v>
      </c>
      <c r="BM8" s="101">
        <v>325</v>
      </c>
      <c r="BN8" s="101">
        <v>330</v>
      </c>
    </row>
    <row r="9" spans="1:66">
      <c r="B9" t="s">
        <v>109</v>
      </c>
      <c r="C9" s="93">
        <v>85</v>
      </c>
      <c r="D9" s="93">
        <v>95</v>
      </c>
      <c r="E9" s="93">
        <v>100</v>
      </c>
      <c r="F9" s="93">
        <v>110</v>
      </c>
      <c r="G9" s="93">
        <v>120</v>
      </c>
      <c r="H9" s="93">
        <v>130</v>
      </c>
      <c r="I9" s="93">
        <v>135</v>
      </c>
      <c r="J9" s="93">
        <v>145</v>
      </c>
      <c r="K9" s="94">
        <v>105</v>
      </c>
      <c r="L9" s="94">
        <v>115</v>
      </c>
      <c r="M9" s="94">
        <v>125</v>
      </c>
      <c r="N9" s="94">
        <v>135</v>
      </c>
      <c r="O9" s="94">
        <v>145</v>
      </c>
      <c r="P9" s="94">
        <v>150</v>
      </c>
      <c r="Q9" s="94">
        <v>160</v>
      </c>
      <c r="R9" s="94">
        <v>165</v>
      </c>
      <c r="S9" s="95">
        <v>130</v>
      </c>
      <c r="T9" s="95">
        <v>140</v>
      </c>
      <c r="U9" s="95">
        <v>155</v>
      </c>
      <c r="V9" s="95">
        <v>165</v>
      </c>
      <c r="W9" s="95">
        <v>175</v>
      </c>
      <c r="X9" s="95">
        <v>180</v>
      </c>
      <c r="Y9" s="95">
        <v>185</v>
      </c>
      <c r="Z9" s="95">
        <v>190</v>
      </c>
      <c r="AA9" s="96">
        <v>145</v>
      </c>
      <c r="AB9" s="96">
        <v>165</v>
      </c>
      <c r="AC9" s="96">
        <v>180</v>
      </c>
      <c r="AD9" s="96">
        <v>190</v>
      </c>
      <c r="AE9" s="96">
        <v>200</v>
      </c>
      <c r="AF9" s="96">
        <v>205</v>
      </c>
      <c r="AG9" s="96">
        <v>210</v>
      </c>
      <c r="AH9" s="96">
        <v>215</v>
      </c>
      <c r="AI9" s="99">
        <v>130</v>
      </c>
      <c r="AJ9" s="99">
        <v>135</v>
      </c>
      <c r="AK9" s="99">
        <v>170</v>
      </c>
      <c r="AL9" s="99">
        <v>190</v>
      </c>
      <c r="AM9" s="99">
        <v>210</v>
      </c>
      <c r="AN9" s="99">
        <v>220</v>
      </c>
      <c r="AO9" s="99">
        <v>240</v>
      </c>
      <c r="AP9" s="99">
        <v>250</v>
      </c>
      <c r="AQ9" s="100">
        <v>150</v>
      </c>
      <c r="AR9" s="100">
        <v>190</v>
      </c>
      <c r="AS9" s="100">
        <v>210</v>
      </c>
      <c r="AT9" s="100">
        <v>230</v>
      </c>
      <c r="AU9" s="100">
        <v>250</v>
      </c>
      <c r="AV9" s="100">
        <v>260</v>
      </c>
      <c r="AW9" s="100">
        <v>280</v>
      </c>
      <c r="AX9" s="100">
        <v>280</v>
      </c>
      <c r="AY9" s="99">
        <v>210</v>
      </c>
      <c r="AZ9" s="99">
        <v>230</v>
      </c>
      <c r="BA9" s="99">
        <v>260</v>
      </c>
      <c r="BB9" s="99">
        <v>285</v>
      </c>
      <c r="BC9" s="99">
        <v>300</v>
      </c>
      <c r="BD9" s="99">
        <v>310</v>
      </c>
      <c r="BE9" s="99">
        <v>325</v>
      </c>
      <c r="BF9" s="99">
        <v>330</v>
      </c>
      <c r="BG9" s="101">
        <v>225</v>
      </c>
      <c r="BH9" s="101">
        <v>255</v>
      </c>
      <c r="BI9" s="101">
        <v>275</v>
      </c>
      <c r="BJ9" s="101">
        <v>305</v>
      </c>
      <c r="BK9" s="101">
        <v>325</v>
      </c>
      <c r="BL9" s="101">
        <v>330</v>
      </c>
      <c r="BM9" s="101">
        <v>345</v>
      </c>
      <c r="BN9" s="101">
        <v>355</v>
      </c>
    </row>
    <row r="10" spans="1:66">
      <c r="B10" t="s">
        <v>110</v>
      </c>
      <c r="C10" s="94">
        <v>1000</v>
      </c>
      <c r="D10" s="94">
        <v>1000</v>
      </c>
      <c r="E10" s="94">
        <v>1000</v>
      </c>
      <c r="F10" s="94">
        <v>1000</v>
      </c>
      <c r="G10" s="94">
        <v>1000</v>
      </c>
      <c r="H10" s="94">
        <v>1000</v>
      </c>
      <c r="I10" s="94">
        <v>1000</v>
      </c>
      <c r="J10" s="94">
        <v>1000</v>
      </c>
      <c r="K10" s="94">
        <v>1000</v>
      </c>
      <c r="L10" s="94">
        <v>1000</v>
      </c>
      <c r="M10" s="94">
        <v>1000</v>
      </c>
      <c r="N10" s="94">
        <v>1000</v>
      </c>
      <c r="O10" s="94">
        <v>1000</v>
      </c>
      <c r="P10" s="94">
        <v>1000</v>
      </c>
      <c r="Q10" s="94">
        <v>1000</v>
      </c>
      <c r="R10" s="94">
        <v>1000</v>
      </c>
      <c r="S10" s="94">
        <v>1000</v>
      </c>
      <c r="T10" s="94">
        <v>1000</v>
      </c>
      <c r="U10" s="94">
        <v>1000</v>
      </c>
      <c r="V10" s="94">
        <v>1000</v>
      </c>
      <c r="W10" s="94">
        <v>1000</v>
      </c>
      <c r="X10" s="94">
        <v>1000</v>
      </c>
      <c r="Y10" s="94">
        <v>1000</v>
      </c>
      <c r="Z10" s="94">
        <v>1000</v>
      </c>
      <c r="AA10" s="96">
        <v>160</v>
      </c>
      <c r="AB10" s="96">
        <v>180</v>
      </c>
      <c r="AC10" s="96">
        <v>195</v>
      </c>
      <c r="AD10" s="96">
        <v>205</v>
      </c>
      <c r="AE10" s="96">
        <v>215</v>
      </c>
      <c r="AF10" s="96">
        <v>220</v>
      </c>
      <c r="AG10" s="96">
        <v>225</v>
      </c>
      <c r="AH10" s="96">
        <v>230</v>
      </c>
      <c r="AI10" s="94">
        <v>1000</v>
      </c>
      <c r="AJ10" s="94">
        <v>1000</v>
      </c>
      <c r="AK10" s="94">
        <v>1000</v>
      </c>
      <c r="AL10" s="94">
        <v>1000</v>
      </c>
      <c r="AM10" s="94">
        <v>1000</v>
      </c>
      <c r="AN10" s="94">
        <v>1000</v>
      </c>
      <c r="AO10" s="94">
        <v>10000</v>
      </c>
      <c r="AP10" s="94">
        <v>1000</v>
      </c>
      <c r="AQ10" s="97">
        <v>1000</v>
      </c>
      <c r="AR10" s="97">
        <v>1000</v>
      </c>
      <c r="AS10" s="97">
        <v>1000</v>
      </c>
      <c r="AT10" s="97">
        <v>1000</v>
      </c>
      <c r="AU10" s="97">
        <v>1000</v>
      </c>
      <c r="AV10" s="97">
        <v>10000</v>
      </c>
      <c r="AW10" s="97">
        <v>1000</v>
      </c>
      <c r="AX10" s="97">
        <v>1000</v>
      </c>
      <c r="AY10" s="94">
        <v>1000</v>
      </c>
      <c r="AZ10" s="94">
        <v>1000</v>
      </c>
      <c r="BA10" s="94">
        <v>1000</v>
      </c>
      <c r="BB10" s="94">
        <v>10000</v>
      </c>
      <c r="BC10" s="94">
        <v>1000</v>
      </c>
      <c r="BD10" s="94">
        <v>1000</v>
      </c>
      <c r="BE10" s="94">
        <v>1000</v>
      </c>
      <c r="BF10" s="94">
        <v>10000</v>
      </c>
      <c r="BG10" s="101">
        <v>240</v>
      </c>
      <c r="BH10" s="101">
        <v>270</v>
      </c>
      <c r="BI10" s="101">
        <v>290</v>
      </c>
      <c r="BJ10" s="101">
        <v>320</v>
      </c>
      <c r="BK10" s="101">
        <v>345</v>
      </c>
      <c r="BL10" s="101">
        <v>355</v>
      </c>
      <c r="BM10" s="101">
        <v>365</v>
      </c>
      <c r="BN10" s="101">
        <v>375</v>
      </c>
    </row>
    <row r="11" spans="1:66">
      <c r="B11" t="s">
        <v>111</v>
      </c>
      <c r="C11" t="s">
        <v>112</v>
      </c>
      <c r="D11" t="s">
        <v>112</v>
      </c>
      <c r="E11" t="s">
        <v>113</v>
      </c>
      <c r="F11" t="s">
        <v>114</v>
      </c>
      <c r="G11" s="102"/>
      <c r="H11" s="103" t="s">
        <v>111</v>
      </c>
      <c r="I11" s="103" t="s">
        <v>115</v>
      </c>
      <c r="J11" s="103" t="s">
        <v>115</v>
      </c>
      <c r="K11" s="103" t="s">
        <v>113</v>
      </c>
      <c r="L11" s="103" t="s">
        <v>114</v>
      </c>
      <c r="M11" s="103"/>
      <c r="N11" s="103"/>
      <c r="O11" s="103"/>
      <c r="P11" s="103"/>
      <c r="Q11" s="103"/>
      <c r="R11" s="103"/>
      <c r="S11" s="103"/>
      <c r="T11" s="103"/>
      <c r="U11" s="103"/>
    </row>
    <row r="12" spans="1:66">
      <c r="A12">
        <v>20.010000000000002</v>
      </c>
      <c r="B12" s="104" t="s">
        <v>116</v>
      </c>
      <c r="C12" s="92" t="s">
        <v>70</v>
      </c>
      <c r="D12" s="92" t="s">
        <v>78</v>
      </c>
      <c r="E12" s="92" t="s">
        <v>86</v>
      </c>
      <c r="F12" s="92" t="s">
        <v>94</v>
      </c>
      <c r="G12" s="102">
        <v>20.010000000000002</v>
      </c>
      <c r="H12" s="105" t="s">
        <v>116</v>
      </c>
      <c r="I12" s="106" t="s">
        <v>38</v>
      </c>
      <c r="J12" s="106" t="s">
        <v>46</v>
      </c>
      <c r="K12" s="106" t="s">
        <v>54</v>
      </c>
      <c r="L12" s="106" t="s">
        <v>62</v>
      </c>
      <c r="M12" s="103"/>
      <c r="N12" s="106"/>
      <c r="O12" s="106"/>
      <c r="P12" s="106"/>
      <c r="Q12" s="106"/>
      <c r="R12" s="106"/>
      <c r="S12" s="106"/>
      <c r="T12" s="103"/>
      <c r="U12" s="103"/>
    </row>
    <row r="13" spans="1:66">
      <c r="A13">
        <v>34.01</v>
      </c>
      <c r="B13" s="104" t="s">
        <v>116</v>
      </c>
      <c r="C13" s="92" t="s">
        <v>70</v>
      </c>
      <c r="D13" s="92" t="s">
        <v>78</v>
      </c>
      <c r="E13" s="92" t="s">
        <v>86</v>
      </c>
      <c r="F13" s="92" t="s">
        <v>94</v>
      </c>
      <c r="G13" s="102">
        <v>30.01</v>
      </c>
      <c r="H13" s="105" t="s">
        <v>116</v>
      </c>
      <c r="I13" s="106" t="s">
        <v>38</v>
      </c>
      <c r="J13" s="106" t="s">
        <v>46</v>
      </c>
      <c r="K13" s="106" t="s">
        <v>54</v>
      </c>
      <c r="L13" s="106" t="s">
        <v>62</v>
      </c>
      <c r="M13" s="103"/>
      <c r="N13" s="106"/>
      <c r="O13" s="106"/>
      <c r="P13" s="106"/>
      <c r="Q13" s="106"/>
      <c r="R13" s="106"/>
      <c r="S13" s="106"/>
      <c r="T13" s="103"/>
      <c r="U13" s="103"/>
    </row>
    <row r="14" spans="1:66">
      <c r="A14">
        <v>38.01</v>
      </c>
      <c r="B14" s="104" t="s">
        <v>116</v>
      </c>
      <c r="C14" s="92" t="s">
        <v>70</v>
      </c>
      <c r="D14" s="92" t="s">
        <v>78</v>
      </c>
      <c r="E14" s="92" t="s">
        <v>86</v>
      </c>
      <c r="F14" s="92" t="s">
        <v>94</v>
      </c>
      <c r="G14" s="107">
        <v>35.01</v>
      </c>
      <c r="H14" s="105" t="s">
        <v>116</v>
      </c>
      <c r="I14" s="106" t="s">
        <v>38</v>
      </c>
      <c r="J14" s="106" t="s">
        <v>46</v>
      </c>
      <c r="K14" s="106" t="s">
        <v>54</v>
      </c>
      <c r="L14" s="106" t="s">
        <v>62</v>
      </c>
      <c r="M14" s="103"/>
      <c r="N14" s="106"/>
      <c r="O14" s="106"/>
      <c r="P14" s="106"/>
      <c r="Q14" s="106"/>
      <c r="R14" s="106"/>
      <c r="S14" s="106"/>
      <c r="T14" s="103"/>
      <c r="U14" s="103"/>
    </row>
    <row r="15" spans="1:66">
      <c r="A15">
        <v>40.01</v>
      </c>
      <c r="B15" s="104" t="s">
        <v>116</v>
      </c>
      <c r="C15" s="92" t="s">
        <v>70</v>
      </c>
      <c r="D15" s="92" t="s">
        <v>78</v>
      </c>
      <c r="E15" s="92" t="s">
        <v>86</v>
      </c>
      <c r="F15" s="92" t="s">
        <v>94</v>
      </c>
      <c r="G15" s="108">
        <v>36.01</v>
      </c>
      <c r="H15" s="105" t="s">
        <v>116</v>
      </c>
      <c r="I15" s="106" t="s">
        <v>38</v>
      </c>
      <c r="J15" s="106" t="s">
        <v>46</v>
      </c>
      <c r="K15" s="109" t="s">
        <v>54</v>
      </c>
      <c r="L15" s="109" t="s">
        <v>62</v>
      </c>
      <c r="M15" s="110"/>
      <c r="N15" s="106"/>
      <c r="O15" s="106"/>
      <c r="P15" s="106"/>
      <c r="Q15" s="106"/>
      <c r="R15" s="106"/>
      <c r="S15" s="106"/>
      <c r="T15" s="110"/>
      <c r="U15" s="110"/>
    </row>
    <row r="16" spans="1:66">
      <c r="A16">
        <v>45.01</v>
      </c>
      <c r="B16" s="104" t="s">
        <v>116</v>
      </c>
      <c r="C16" s="92" t="s">
        <v>71</v>
      </c>
      <c r="D16" s="92" t="s">
        <v>78</v>
      </c>
      <c r="E16" s="92" t="s">
        <v>86</v>
      </c>
      <c r="F16" s="92" t="s">
        <v>94</v>
      </c>
      <c r="G16" s="108">
        <v>40.01</v>
      </c>
      <c r="H16" s="105" t="s">
        <v>116</v>
      </c>
      <c r="I16" s="106" t="s">
        <v>39</v>
      </c>
      <c r="J16" s="106" t="s">
        <v>46</v>
      </c>
      <c r="K16" s="109" t="s">
        <v>54</v>
      </c>
      <c r="L16" s="109" t="s">
        <v>62</v>
      </c>
      <c r="M16" s="110"/>
      <c r="N16" s="106"/>
      <c r="O16" s="106"/>
      <c r="P16" s="106"/>
      <c r="Q16" s="106"/>
      <c r="R16" s="106"/>
      <c r="S16" s="106"/>
      <c r="T16" s="110"/>
      <c r="U16" s="110"/>
    </row>
    <row r="17" spans="1:37">
      <c r="A17">
        <v>50.01</v>
      </c>
      <c r="B17" s="104" t="s">
        <v>116</v>
      </c>
      <c r="C17" s="92" t="s">
        <v>72</v>
      </c>
      <c r="D17" s="92" t="s">
        <v>79</v>
      </c>
      <c r="E17" s="92" t="s">
        <v>86</v>
      </c>
      <c r="F17" s="92" t="s">
        <v>94</v>
      </c>
      <c r="G17" s="108">
        <v>44.01</v>
      </c>
      <c r="H17" s="105" t="s">
        <v>116</v>
      </c>
      <c r="I17" s="109" t="s">
        <v>40</v>
      </c>
      <c r="J17" s="109" t="s">
        <v>47</v>
      </c>
      <c r="K17" s="109" t="s">
        <v>54</v>
      </c>
      <c r="L17" s="109" t="s">
        <v>62</v>
      </c>
      <c r="M17" s="110"/>
      <c r="N17" s="109"/>
      <c r="O17" s="109"/>
      <c r="P17" s="109"/>
      <c r="Q17" s="109"/>
      <c r="R17" s="109"/>
      <c r="S17" s="109"/>
      <c r="T17" s="110"/>
      <c r="U17" s="110"/>
    </row>
    <row r="18" spans="1:37">
      <c r="A18">
        <v>52.05</v>
      </c>
      <c r="B18" s="104" t="s">
        <v>116</v>
      </c>
      <c r="C18" s="92" t="s">
        <v>72</v>
      </c>
      <c r="D18" s="92" t="s">
        <v>79</v>
      </c>
      <c r="E18" s="92" t="s">
        <v>86</v>
      </c>
      <c r="F18" s="92" t="s">
        <v>94</v>
      </c>
      <c r="G18" s="108">
        <v>48.01</v>
      </c>
      <c r="H18" s="105" t="s">
        <v>116</v>
      </c>
      <c r="I18" s="109" t="s">
        <v>41</v>
      </c>
      <c r="J18" s="109" t="s">
        <v>48</v>
      </c>
      <c r="K18" s="109" t="s">
        <v>55</v>
      </c>
      <c r="L18" s="109" t="s">
        <v>63</v>
      </c>
      <c r="M18" s="110"/>
      <c r="N18" s="109"/>
      <c r="O18" s="109"/>
      <c r="P18" s="109"/>
      <c r="Q18" s="109"/>
      <c r="R18" s="109"/>
      <c r="S18" s="109"/>
      <c r="T18" s="110"/>
      <c r="U18" s="110"/>
    </row>
    <row r="19" spans="1:37">
      <c r="A19">
        <v>56.01</v>
      </c>
      <c r="B19" s="104" t="s">
        <v>116</v>
      </c>
      <c r="C19" s="92" t="s">
        <v>73</v>
      </c>
      <c r="D19" s="92" t="s">
        <v>80</v>
      </c>
      <c r="E19" s="92" t="s">
        <v>87</v>
      </c>
      <c r="F19" s="92" t="s">
        <v>95</v>
      </c>
      <c r="G19" s="108">
        <v>53.01</v>
      </c>
      <c r="H19" s="105" t="s">
        <v>116</v>
      </c>
      <c r="I19" s="109" t="s">
        <v>42</v>
      </c>
      <c r="J19" s="109" t="s">
        <v>49</v>
      </c>
      <c r="K19" s="109" t="s">
        <v>56</v>
      </c>
      <c r="L19" s="109" t="s">
        <v>64</v>
      </c>
      <c r="M19" s="110"/>
      <c r="N19" s="109"/>
      <c r="O19" s="109"/>
      <c r="P19" s="109"/>
      <c r="Q19" s="109"/>
      <c r="R19" s="109"/>
      <c r="S19" s="109"/>
      <c r="T19" s="110"/>
      <c r="U19" s="110"/>
    </row>
    <row r="20" spans="1:37">
      <c r="A20">
        <v>62.01</v>
      </c>
      <c r="B20" s="104" t="s">
        <v>116</v>
      </c>
      <c r="C20" s="92" t="s">
        <v>74</v>
      </c>
      <c r="D20" s="92" t="s">
        <v>81</v>
      </c>
      <c r="E20" s="92" t="s">
        <v>88</v>
      </c>
      <c r="F20" s="92" t="s">
        <v>96</v>
      </c>
      <c r="G20" s="108">
        <v>58.01</v>
      </c>
      <c r="H20" s="105" t="s">
        <v>116</v>
      </c>
      <c r="I20" s="109" t="s">
        <v>43</v>
      </c>
      <c r="J20" s="109" t="s">
        <v>50</v>
      </c>
      <c r="K20" s="109" t="s">
        <v>57</v>
      </c>
      <c r="L20" s="109" t="s">
        <v>65</v>
      </c>
      <c r="M20" s="110"/>
      <c r="N20" s="109"/>
      <c r="O20" s="109"/>
      <c r="P20" s="109"/>
      <c r="Q20" s="109"/>
      <c r="R20" s="109"/>
      <c r="S20" s="109"/>
      <c r="T20" s="110"/>
      <c r="U20" s="110"/>
    </row>
    <row r="21" spans="1:37">
      <c r="A21">
        <v>69.010000000000005</v>
      </c>
      <c r="B21" s="104" t="s">
        <v>116</v>
      </c>
      <c r="C21" s="92" t="s">
        <v>75</v>
      </c>
      <c r="D21" s="92" t="s">
        <v>82</v>
      </c>
      <c r="E21" s="92" t="s">
        <v>89</v>
      </c>
      <c r="F21" s="92" t="s">
        <v>97</v>
      </c>
      <c r="G21" s="108">
        <v>63.01</v>
      </c>
      <c r="H21" s="105" t="s">
        <v>116</v>
      </c>
      <c r="I21" s="109" t="s">
        <v>44</v>
      </c>
      <c r="J21" s="109" t="s">
        <v>51</v>
      </c>
      <c r="K21" s="109" t="s">
        <v>58</v>
      </c>
      <c r="L21" s="109" t="s">
        <v>66</v>
      </c>
      <c r="M21" s="110"/>
      <c r="N21" s="109"/>
      <c r="O21" s="109"/>
      <c r="P21" s="109"/>
      <c r="Q21" s="109"/>
      <c r="R21" s="109"/>
      <c r="S21" s="109"/>
      <c r="T21" s="110"/>
      <c r="U21" s="110"/>
    </row>
    <row r="22" spans="1:37">
      <c r="A22">
        <v>77.010000000000005</v>
      </c>
      <c r="B22" s="104" t="s">
        <v>116</v>
      </c>
      <c r="C22" s="92" t="s">
        <v>76</v>
      </c>
      <c r="D22" s="92" t="s">
        <v>83</v>
      </c>
      <c r="E22" s="92" t="s">
        <v>90</v>
      </c>
      <c r="F22" s="92" t="s">
        <v>98</v>
      </c>
      <c r="G22" s="108">
        <v>69.010000000000005</v>
      </c>
      <c r="H22" s="105" t="s">
        <v>116</v>
      </c>
      <c r="I22" s="109" t="s">
        <v>45</v>
      </c>
      <c r="J22" s="109" t="s">
        <v>52</v>
      </c>
      <c r="K22" s="109" t="s">
        <v>59</v>
      </c>
      <c r="L22" s="109" t="s">
        <v>67</v>
      </c>
      <c r="M22" s="110"/>
      <c r="N22" s="109"/>
      <c r="O22" s="109"/>
      <c r="P22" s="109"/>
      <c r="Q22" s="109"/>
      <c r="R22" s="109"/>
      <c r="S22" s="109"/>
      <c r="T22" s="110"/>
      <c r="U22" s="110"/>
    </row>
    <row r="23" spans="1:37">
      <c r="A23">
        <v>85.01</v>
      </c>
      <c r="B23" s="104" t="s">
        <v>116</v>
      </c>
      <c r="C23" s="92" t="s">
        <v>77</v>
      </c>
      <c r="D23" s="92" t="s">
        <v>84</v>
      </c>
      <c r="E23" s="92" t="s">
        <v>91</v>
      </c>
      <c r="F23" s="92" t="s">
        <v>99</v>
      </c>
      <c r="G23" s="108">
        <v>75.010000000000005</v>
      </c>
      <c r="H23" s="105" t="s">
        <v>116</v>
      </c>
      <c r="I23" s="109" t="s">
        <v>45</v>
      </c>
      <c r="J23" s="109" t="s">
        <v>53</v>
      </c>
      <c r="K23" s="109" t="s">
        <v>60</v>
      </c>
      <c r="L23" s="109" t="s">
        <v>68</v>
      </c>
      <c r="M23" s="110"/>
      <c r="N23" s="109"/>
      <c r="O23" s="109"/>
      <c r="P23" s="109"/>
      <c r="Q23" s="109"/>
      <c r="R23" s="109"/>
      <c r="S23" s="109"/>
      <c r="T23" s="110"/>
      <c r="U23" s="110"/>
    </row>
    <row r="24" spans="1:37">
      <c r="A24">
        <v>94.01</v>
      </c>
      <c r="B24" s="104" t="s">
        <v>116</v>
      </c>
      <c r="C24" s="92" t="s">
        <v>77</v>
      </c>
      <c r="D24" s="92" t="s">
        <v>85</v>
      </c>
      <c r="E24" s="92" t="s">
        <v>92</v>
      </c>
      <c r="F24" s="92" t="s">
        <v>100</v>
      </c>
      <c r="G24" s="108">
        <v>90.01</v>
      </c>
      <c r="H24" s="105" t="s">
        <v>116</v>
      </c>
      <c r="I24" s="109" t="s">
        <v>45</v>
      </c>
      <c r="J24" s="109" t="s">
        <v>53</v>
      </c>
      <c r="K24" s="109" t="s">
        <v>61</v>
      </c>
      <c r="L24" s="109" t="s">
        <v>69</v>
      </c>
      <c r="M24" s="110"/>
      <c r="N24" s="109"/>
      <c r="O24" s="109"/>
      <c r="P24" s="109"/>
      <c r="Q24" s="109"/>
      <c r="R24" s="109"/>
      <c r="S24" s="109"/>
      <c r="T24" s="110"/>
      <c r="U24" s="110"/>
    </row>
    <row r="25" spans="1:37">
      <c r="A25">
        <v>105.01</v>
      </c>
      <c r="B25" s="104" t="s">
        <v>116</v>
      </c>
      <c r="C25" s="92" t="s">
        <v>77</v>
      </c>
      <c r="D25" s="92" t="s">
        <v>85</v>
      </c>
      <c r="E25" s="92" t="s">
        <v>93</v>
      </c>
      <c r="F25" s="92" t="s">
        <v>101</v>
      </c>
      <c r="G25">
        <v>110</v>
      </c>
      <c r="H25" s="105" t="s">
        <v>116</v>
      </c>
      <c r="I25" s="109" t="s">
        <v>45</v>
      </c>
      <c r="J25" s="109" t="s">
        <v>53</v>
      </c>
      <c r="K25" s="109" t="s">
        <v>61</v>
      </c>
      <c r="L25" s="109" t="s">
        <v>69</v>
      </c>
      <c r="M25" s="110"/>
      <c r="N25" s="109"/>
      <c r="O25" s="109"/>
      <c r="P25" s="109"/>
      <c r="Q25" s="109"/>
      <c r="R25" s="109"/>
      <c r="S25" s="109"/>
      <c r="T25" s="110"/>
      <c r="U25" s="110"/>
    </row>
    <row r="26" spans="1:37">
      <c r="A26">
        <v>110</v>
      </c>
      <c r="B26" s="104" t="s">
        <v>116</v>
      </c>
      <c r="C26" s="92" t="s">
        <v>77</v>
      </c>
      <c r="D26" s="92" t="s">
        <v>85</v>
      </c>
      <c r="E26" s="92" t="s">
        <v>93</v>
      </c>
      <c r="F26" s="92" t="s">
        <v>101</v>
      </c>
      <c r="G26">
        <v>140</v>
      </c>
      <c r="H26" s="105" t="s">
        <v>116</v>
      </c>
      <c r="I26" s="109" t="s">
        <v>45</v>
      </c>
      <c r="J26" s="109" t="s">
        <v>53</v>
      </c>
      <c r="K26" s="109" t="s">
        <v>61</v>
      </c>
      <c r="L26" s="109" t="s">
        <v>69</v>
      </c>
    </row>
    <row r="27" spans="1:37">
      <c r="A27">
        <v>120</v>
      </c>
      <c r="B27" s="104" t="s">
        <v>116</v>
      </c>
      <c r="C27" s="92" t="s">
        <v>77</v>
      </c>
      <c r="D27" s="92" t="s">
        <v>85</v>
      </c>
      <c r="E27" s="92" t="s">
        <v>93</v>
      </c>
      <c r="F27" s="92" t="s">
        <v>101</v>
      </c>
    </row>
    <row r="28" spans="1:37">
      <c r="A28">
        <v>130</v>
      </c>
      <c r="B28" s="104" t="s">
        <v>116</v>
      </c>
      <c r="C28" s="92" t="s">
        <v>77</v>
      </c>
      <c r="D28" s="92" t="s">
        <v>85</v>
      </c>
      <c r="E28" s="92" t="s">
        <v>93</v>
      </c>
      <c r="F28" s="92" t="s">
        <v>101</v>
      </c>
    </row>
    <row r="29" spans="1:37">
      <c r="A29">
        <v>140</v>
      </c>
      <c r="B29" s="104" t="s">
        <v>116</v>
      </c>
      <c r="C29" s="92" t="s">
        <v>77</v>
      </c>
      <c r="D29" s="92" t="s">
        <v>85</v>
      </c>
      <c r="E29" s="92" t="s">
        <v>93</v>
      </c>
      <c r="F29" s="92" t="s">
        <v>101</v>
      </c>
      <c r="AK29" s="92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Equipe</vt:lpstr>
      <vt:lpstr>Minimas</vt:lpstr>
      <vt:lpstr>Equipe!Zone_d_impression</vt:lpstr>
    </vt:vector>
  </TitlesOfParts>
  <Company>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Lebaigue</cp:lastModifiedBy>
  <cp:lastPrinted>2017-10-14T17:16:52Z</cp:lastPrinted>
  <dcterms:created xsi:type="dcterms:W3CDTF">2004-10-09T07:29:01Z</dcterms:created>
  <dcterms:modified xsi:type="dcterms:W3CDTF">2017-10-17T07:52:10Z</dcterms:modified>
</cp:coreProperties>
</file>