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3176" activeTab="0"/>
  </bookViews>
  <sheets>
    <sheet name="INDIVIDUEL" sheetId="1" r:id="rId1"/>
    <sheet name="EQUIPES" sheetId="2" r:id="rId2"/>
    <sheet name="Minimas" sheetId="3" state="hidden" r:id="rId3"/>
  </sheets>
  <definedNames>
    <definedName name="_xlfn.COUNTIFS" hidden="1">#NAME?</definedName>
    <definedName name="_xlfn.IFERROR" hidden="1">#NAME?</definedName>
    <definedName name="_xlnm.Print_Area" localSheetId="0">'INDIVIDUEL'!$A$1:$X$82</definedName>
  </definedNames>
  <calcPr fullCalcOnLoad="1"/>
</workbook>
</file>

<file path=xl/sharedStrings.xml><?xml version="1.0" encoding="utf-8"?>
<sst xmlns="http://schemas.openxmlformats.org/spreadsheetml/2006/main" count="836" uniqueCount="399">
  <si>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</si>
  <si>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</si>
  <si>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</si>
  <si>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</si>
  <si>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</si>
  <si>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</si>
  <si>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</si>
  <si>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</si>
  <si>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</si>
  <si>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</si>
  <si>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</si>
  <si>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</si>
  <si>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</si>
  <si>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</si>
  <si>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</si>
  <si>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</si>
  <si>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</si>
  <si>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</si>
  <si>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</si>
  <si>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</si>
  <si>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</si>
  <si>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</si>
  <si>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</si>
  <si>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</si>
  <si>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</si>
  <si>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</si>
  <si>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</si>
  <si>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</si>
  <si>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</si>
  <si>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</si>
  <si>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</si>
  <si>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</si>
  <si>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</si>
  <si>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</si>
  <si>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</si>
  <si>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</si>
  <si>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</si>
  <si>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</si>
  <si>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</si>
  <si>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</si>
  <si>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</si>
  <si>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</si>
  <si>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</si>
  <si>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</si>
  <si>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</si>
  <si>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</si>
  <si>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</si>
  <si>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</si>
  <si>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</si>
  <si>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</si>
  <si>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</si>
  <si>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</si>
  <si>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</si>
  <si>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</si>
  <si>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</si>
  <si>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</si>
  <si>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</si>
  <si>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</si>
  <si>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</si>
  <si>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</si>
  <si>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</si>
  <si>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</si>
  <si>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</si>
  <si>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</si>
  <si>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</si>
  <si>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</si>
  <si>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</si>
  <si>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</si>
  <si>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</si>
  <si>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</si>
  <si>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</si>
  <si>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</si>
  <si>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</si>
  <si>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</si>
  <si>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</si>
  <si>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</si>
  <si>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</si>
  <si>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</si>
  <si>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</si>
  <si>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</si>
  <si>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</si>
  <si>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</si>
  <si>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</si>
  <si>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</si>
  <si>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</si>
  <si>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</si>
  <si>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</si>
  <si>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</si>
  <si>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</si>
  <si>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</si>
  <si>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</si>
  <si>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</si>
  <si>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</si>
  <si>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</si>
  <si>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</si>
  <si>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</si>
  <si>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</si>
  <si>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</si>
  <si>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</si>
  <si>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</si>
  <si>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</si>
  <si>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</si>
  <si>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</si>
  <si>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</si>
  <si>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</si>
  <si>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</si>
  <si>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</si>
  <si>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</si>
  <si>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</si>
  <si>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</si>
  <si>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</si>
  <si>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</si>
  <si>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</si>
  <si>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</si>
  <si>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</si>
  <si>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</si>
  <si>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</si>
  <si>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</si>
  <si>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</si>
  <si>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</si>
  <si>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</si>
  <si>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</si>
  <si>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</si>
  <si>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</si>
  <si>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</si>
  <si>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</si>
  <si>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</si>
  <si>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</si>
  <si>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</si>
  <si>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</si>
  <si>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</si>
  <si>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BENJAMIN</t>
  </si>
  <si>
    <t>POUSSIN</t>
  </si>
  <si>
    <t>age maxi</t>
  </si>
  <si>
    <t>CADET2</t>
  </si>
  <si>
    <t>CADET1</t>
  </si>
  <si>
    <t>Robi</t>
  </si>
  <si>
    <t>Age</t>
  </si>
  <si>
    <t>minima</t>
  </si>
  <si>
    <t>minima2</t>
  </si>
  <si>
    <t>datenaisss</t>
  </si>
  <si>
    <t>serienom</t>
  </si>
  <si>
    <t>minim3</t>
  </si>
  <si>
    <t>minima4</t>
  </si>
  <si>
    <t>serie+</t>
  </si>
  <si>
    <t>FRA</t>
  </si>
  <si>
    <t>Score</t>
  </si>
  <si>
    <t>Rang</t>
  </si>
  <si>
    <t>EQUIPES</t>
  </si>
  <si>
    <t>Championnat de France FFSU</t>
  </si>
  <si>
    <t>TOULOUSE</t>
  </si>
  <si>
    <t>Y100048959</t>
  </si>
  <si>
    <t>F</t>
  </si>
  <si>
    <t>MAILLOT</t>
  </si>
  <si>
    <t>ASIA</t>
  </si>
  <si>
    <t>UT1 CAPITOLE TOULOUSE</t>
  </si>
  <si>
    <t>B101084598</t>
  </si>
  <si>
    <t>CABON</t>
  </si>
  <si>
    <t>OPHELIE</t>
  </si>
  <si>
    <t>Université de Picardie</t>
  </si>
  <si>
    <t>B101015549</t>
  </si>
  <si>
    <t>BONNIERE</t>
  </si>
  <si>
    <t>PRISCILLIA</t>
  </si>
  <si>
    <t>NMEC080326</t>
  </si>
  <si>
    <t>MAZOUZ</t>
  </si>
  <si>
    <t>ELODIE</t>
  </si>
  <si>
    <t>UMONTPELLIER SCIENCES ECO</t>
  </si>
  <si>
    <t>K501091811</t>
  </si>
  <si>
    <t>BOURGEOIS</t>
  </si>
  <si>
    <t>LOLA</t>
  </si>
  <si>
    <t>ASU LILLE2 STAPS</t>
  </si>
  <si>
    <t>RA01088011</t>
  </si>
  <si>
    <t>GREGOIRE</t>
  </si>
  <si>
    <t>LISE</t>
  </si>
  <si>
    <t>A.S. UNIVERSITÉ ORLÉANS</t>
  </si>
  <si>
    <t>B101069477</t>
  </si>
  <si>
    <t>DROUARD</t>
  </si>
  <si>
    <t>MANON</t>
  </si>
  <si>
    <t>NM11093624</t>
  </si>
  <si>
    <t>HUIN</t>
  </si>
  <si>
    <t>CHLOE</t>
  </si>
  <si>
    <t>UMONTPELLIER STAPS</t>
  </si>
  <si>
    <t>B101087632</t>
  </si>
  <si>
    <t>ADAM</t>
  </si>
  <si>
    <t>RAPHAELLE</t>
  </si>
  <si>
    <t>NM11091556</t>
  </si>
  <si>
    <t>CHERON</t>
  </si>
  <si>
    <t>ARIANE</t>
  </si>
  <si>
    <t>P10U083534</t>
  </si>
  <si>
    <t>NEYRINCK</t>
  </si>
  <si>
    <t>PASCALINE</t>
  </si>
  <si>
    <t>UNIVERSITE COTE D'AZUR</t>
  </si>
  <si>
    <t>C101087688</t>
  </si>
  <si>
    <t>HERANNEY</t>
  </si>
  <si>
    <t>CAMILLE</t>
  </si>
  <si>
    <t>A.S. Université Franche-Comté</t>
  </si>
  <si>
    <t>NM11089581</t>
  </si>
  <si>
    <t>CAZEAUX</t>
  </si>
  <si>
    <t>MARION</t>
  </si>
  <si>
    <t>Y300090799</t>
  </si>
  <si>
    <t>TRAVERS</t>
  </si>
  <si>
    <t>KATIA</t>
  </si>
  <si>
    <t>UT3 P. SABATIER TOULOUSE</t>
  </si>
  <si>
    <t>RA01087664</t>
  </si>
  <si>
    <t>CORNELISSEN</t>
  </si>
  <si>
    <t>JOY</t>
  </si>
  <si>
    <t>NM11089448</t>
  </si>
  <si>
    <t>MARTINEZ MEJIAS</t>
  </si>
  <si>
    <t>MARIA</t>
  </si>
  <si>
    <t>Y300075492</t>
  </si>
  <si>
    <t>AWADA</t>
  </si>
  <si>
    <t>TAMARA</t>
  </si>
  <si>
    <t>NM11088974</t>
  </si>
  <si>
    <t>ROUX</t>
  </si>
  <si>
    <t>CELIA</t>
  </si>
  <si>
    <t>TA02088083</t>
  </si>
  <si>
    <t>LAJOIE</t>
  </si>
  <si>
    <t>SARAH</t>
  </si>
  <si>
    <t>AS UNIV POITIERS - ANGOULEME</t>
  </si>
  <si>
    <t>NM11091339</t>
  </si>
  <si>
    <t>POLLASTRI</t>
  </si>
  <si>
    <t>VICTORIA</t>
  </si>
  <si>
    <t>C11I086580</t>
  </si>
  <si>
    <t>BUZER</t>
  </si>
  <si>
    <t>A.S.Université Franche-Comté</t>
  </si>
  <si>
    <t>A000094491</t>
  </si>
  <si>
    <t>SOPHIE</t>
  </si>
  <si>
    <t>NM11088968</t>
  </si>
  <si>
    <t>NEUVILLE</t>
  </si>
  <si>
    <t>FLORINE</t>
  </si>
  <si>
    <t>NM11088967</t>
  </si>
  <si>
    <t>MAHIEUX</t>
  </si>
  <si>
    <t>Y300074873</t>
  </si>
  <si>
    <t>MALEVAL</t>
  </si>
  <si>
    <t>CLEMENCE</t>
  </si>
  <si>
    <t>C10C086992</t>
  </si>
  <si>
    <t>PHILIPPON</t>
  </si>
  <si>
    <t>LOUISE</t>
  </si>
  <si>
    <t>C10D086999</t>
  </si>
  <si>
    <t>CREVOISIER</t>
  </si>
  <si>
    <t>LUCIEN</t>
  </si>
  <si>
    <t>C101087046</t>
  </si>
  <si>
    <t>VADAM</t>
  </si>
  <si>
    <t>YVAN</t>
  </si>
  <si>
    <t>NM11088969</t>
  </si>
  <si>
    <t>DESOOMER</t>
  </si>
  <si>
    <t>PAUL</t>
  </si>
  <si>
    <t>P200023435</t>
  </si>
  <si>
    <t>NIGRO</t>
  </si>
  <si>
    <t>FLORIAN</t>
  </si>
  <si>
    <t>UNIVERSITE TOULON</t>
  </si>
  <si>
    <t>O111021994</t>
  </si>
  <si>
    <t>GUINDOS</t>
  </si>
  <si>
    <t>VINCENT</t>
  </si>
  <si>
    <t>Univ Lorraine - Staps Nancy</t>
  </si>
  <si>
    <t>TA02088058</t>
  </si>
  <si>
    <t>CLAIN</t>
  </si>
  <si>
    <t>ERWAN</t>
  </si>
  <si>
    <t>NM11089291</t>
  </si>
  <si>
    <t>BERNARD</t>
  </si>
  <si>
    <t>AXEL</t>
  </si>
  <si>
    <t>O111002060</t>
  </si>
  <si>
    <t>CUVILLIER</t>
  </si>
  <si>
    <t>VALENTIN</t>
  </si>
  <si>
    <t>P10U076330</t>
  </si>
  <si>
    <t>ABRIL</t>
  </si>
  <si>
    <t>DAMIEN</t>
  </si>
  <si>
    <t>C101087045</t>
  </si>
  <si>
    <t>MULLER</t>
  </si>
  <si>
    <t>JOHN</t>
  </si>
  <si>
    <t>C101084044</t>
  </si>
  <si>
    <t>COUE</t>
  </si>
  <si>
    <t>BASTIEN</t>
  </si>
  <si>
    <t>MUL2093680</t>
  </si>
  <si>
    <t>POZO</t>
  </si>
  <si>
    <t>Juan Martin</t>
  </si>
  <si>
    <t>Université Lyon 2</t>
  </si>
  <si>
    <t>Y300089563</t>
  </si>
  <si>
    <t>CASTAGNAS</t>
  </si>
  <si>
    <t>CLEMENT</t>
  </si>
  <si>
    <t>K501092125</t>
  </si>
  <si>
    <t>ROMBAUX</t>
  </si>
  <si>
    <t>ALEXANDRE</t>
  </si>
  <si>
    <t>B10U090368</t>
  </si>
  <si>
    <t>TEIRLYNCK</t>
  </si>
  <si>
    <t>HENRI</t>
  </si>
  <si>
    <t>NM11089004</t>
  </si>
  <si>
    <t>FABRE</t>
  </si>
  <si>
    <t>JONAS</t>
  </si>
  <si>
    <t>NM11093349</t>
  </si>
  <si>
    <t>FERREIRA</t>
  </si>
  <si>
    <t>THIBAULT</t>
  </si>
  <si>
    <t>NM11089099</t>
  </si>
  <si>
    <t>MADIER</t>
  </si>
  <si>
    <t>ROBIN</t>
  </si>
  <si>
    <t>X000082435</t>
  </si>
  <si>
    <t>BONNAMANT</t>
  </si>
  <si>
    <t>CRSU Strasbourg</t>
  </si>
  <si>
    <t>P200092093</t>
  </si>
  <si>
    <t>LEOPOLD</t>
  </si>
  <si>
    <t>LAURENT</t>
  </si>
  <si>
    <t>B101090146</t>
  </si>
  <si>
    <t>JEROME</t>
  </si>
  <si>
    <t>KEVIN</t>
  </si>
  <si>
    <t>K501090657</t>
  </si>
  <si>
    <t>VERNAY</t>
  </si>
  <si>
    <t>BORIS</t>
  </si>
  <si>
    <t>B101086943</t>
  </si>
  <si>
    <t>BATICLE</t>
  </si>
  <si>
    <t>BRICE</t>
  </si>
  <si>
    <t>RE00087803</t>
  </si>
  <si>
    <t>COUR</t>
  </si>
  <si>
    <t>ADRIEN</t>
  </si>
  <si>
    <t>POLYTECH ORLEANS</t>
  </si>
  <si>
    <t>TA02000598</t>
  </si>
  <si>
    <t>CHEVILLOT</t>
  </si>
  <si>
    <t>CLOVIS</t>
  </si>
  <si>
    <t>NM11089295</t>
  </si>
  <si>
    <t>CEJKO</t>
  </si>
  <si>
    <t>LUCAS</t>
  </si>
  <si>
    <t>C10D080706</t>
  </si>
  <si>
    <t>MOREAU</t>
  </si>
  <si>
    <t>LOICK-ANTOINE</t>
  </si>
  <si>
    <t>NM11089382</t>
  </si>
  <si>
    <t>ARMANGAU</t>
  </si>
  <si>
    <t>MIGUEL</t>
  </si>
  <si>
    <t>RC00080361</t>
  </si>
  <si>
    <t>HABIERA</t>
  </si>
  <si>
    <t>WILLIAM</t>
  </si>
  <si>
    <t>AS Univ. Fr. Rabelais Tours</t>
  </si>
  <si>
    <t>B101091025</t>
  </si>
  <si>
    <t>CLAIS</t>
  </si>
  <si>
    <t>MAXIMILIEN</t>
  </si>
  <si>
    <t>C101086997</t>
  </si>
  <si>
    <t>SPERKA</t>
  </si>
  <si>
    <t>SACHA</t>
  </si>
  <si>
    <t>Y300076086</t>
  </si>
  <si>
    <t>BERTRAND</t>
  </si>
  <si>
    <t>MATHIEU</t>
  </si>
  <si>
    <t>K501090512</t>
  </si>
  <si>
    <t>FAUVART</t>
  </si>
  <si>
    <t>MAX</t>
  </si>
  <si>
    <t>MUL2093679</t>
  </si>
  <si>
    <t>RIGAUD</t>
  </si>
  <si>
    <t>JONATHAN</t>
  </si>
  <si>
    <t>UDL - UTE LYON 2</t>
  </si>
  <si>
    <t>I111020354</t>
  </si>
  <si>
    <t>CHARVOT</t>
  </si>
  <si>
    <t>BERENGER</t>
  </si>
  <si>
    <t>ASUB - STAPS Dijon</t>
  </si>
  <si>
    <t>TA01087457</t>
  </si>
  <si>
    <t>DESACHY</t>
  </si>
  <si>
    <t>TOM</t>
  </si>
  <si>
    <t>AS UNIV POITIERS FSS</t>
  </si>
  <si>
    <t>Y300074144</t>
  </si>
  <si>
    <t>CERVANTES</t>
  </si>
  <si>
    <t>REMI</t>
  </si>
  <si>
    <t>NM11088984</t>
  </si>
  <si>
    <t>FERRU</t>
  </si>
  <si>
    <t>QUENTIN</t>
  </si>
  <si>
    <t>NM11089425</t>
  </si>
  <si>
    <t>OTCENASEK</t>
  </si>
  <si>
    <t>WARREN</t>
  </si>
  <si>
    <t>LA0S079821</t>
  </si>
  <si>
    <t>ABARCA MARTINEZ</t>
  </si>
  <si>
    <t>PABLO</t>
  </si>
  <si>
    <t>Faculte des Sciences</t>
  </si>
  <si>
    <t>K501072363</t>
  </si>
  <si>
    <t>MICHEL</t>
  </si>
  <si>
    <t>ARTHUR</t>
  </si>
  <si>
    <t>C10B086574</t>
  </si>
  <si>
    <t>DANE</t>
  </si>
  <si>
    <t>JAAFAR</t>
  </si>
  <si>
    <t/>
  </si>
  <si>
    <t>H</t>
  </si>
  <si>
    <t>EQUIPE</t>
  </si>
  <si>
    <t>BESANCON 1</t>
  </si>
  <si>
    <t>BESANCON 2</t>
  </si>
  <si>
    <t>BESANCON 3</t>
  </si>
  <si>
    <t>AMIENS 1</t>
  </si>
  <si>
    <t>AMIENS 2</t>
  </si>
  <si>
    <t>MONTPELLIER 1</t>
  </si>
  <si>
    <t>MONTPELLIER 2</t>
  </si>
  <si>
    <t>MONTPELLIER 3</t>
  </si>
  <si>
    <t>MONTPELLIER 4</t>
  </si>
  <si>
    <t>55kg</t>
  </si>
  <si>
    <t>49kg</t>
  </si>
  <si>
    <t>59kg</t>
  </si>
  <si>
    <t>64kg</t>
  </si>
  <si>
    <t>71kg</t>
  </si>
  <si>
    <t>76kg</t>
  </si>
  <si>
    <t>61kg</t>
  </si>
  <si>
    <t>67kg</t>
  </si>
  <si>
    <t>73kg</t>
  </si>
  <si>
    <t>81kg</t>
  </si>
  <si>
    <t>89kg</t>
  </si>
  <si>
    <t>&gt;89kg</t>
  </si>
  <si>
    <t>FF SPORT U MARSEILLE</t>
  </si>
  <si>
    <t>EC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</si>
</sst>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yy"/>
    <numFmt numFmtId="169" formatCode="[$-40C]d\-mmm\-yy;@"/>
    <numFmt numFmtId="170" formatCode="0.0000_)"/>
    <numFmt numFmtId="171" formatCode="0.0_)"/>
    <numFmt numFmtId="172" formatCode="0_ ;[Red]\-0\ "/>
    <numFmt numFmtId="173" formatCode="0.000_ ;[Red]\-0.000\ "/>
    <numFmt numFmtId="174" formatCode="0.00_)"/>
    <numFmt numFmtId="175" formatCode="[$-40C]d\ mmmm\ yyyy;@"/>
    <numFmt numFmtId="176" formatCode="0.000;;\-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60"/>
      <name val="Arial"/>
      <family val="2"/>
    </font>
    <font>
      <b/>
      <sz val="10"/>
      <color indexed="9"/>
      <name val="Arial"/>
      <family val="2"/>
    </font>
    <font>
      <b/>
      <sz val="18"/>
      <color indexed="60"/>
      <name val="Arial"/>
      <family val="2"/>
    </font>
    <font>
      <b/>
      <sz val="8"/>
      <color indexed="23"/>
      <name val="Arial"/>
      <family val="2"/>
    </font>
    <font>
      <b/>
      <sz val="9"/>
      <color indexed="9"/>
      <name val="Arial"/>
      <family val="2"/>
    </font>
    <font>
      <b/>
      <sz val="16"/>
      <color indexed="12"/>
      <name val="Arial"/>
      <family val="2"/>
    </font>
    <font>
      <b/>
      <sz val="11"/>
      <color indexed="40"/>
      <name val="Arial"/>
      <family val="2"/>
    </font>
    <font>
      <b/>
      <sz val="16"/>
      <color indexed="9"/>
      <name val="Arial"/>
      <family val="2"/>
    </font>
    <font>
      <b/>
      <i/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indexed="60"/>
      </right>
      <top/>
      <bottom/>
    </border>
    <border>
      <left/>
      <right/>
      <top style="medium">
        <color indexed="60"/>
      </top>
      <bottom/>
    </border>
    <border>
      <left/>
      <right/>
      <top/>
      <bottom style="medium">
        <color indexed="60"/>
      </bottom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 style="medium">
        <color indexed="60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hair">
        <color indexed="60"/>
      </right>
      <top/>
      <bottom style="dashed">
        <color indexed="60"/>
      </bottom>
    </border>
    <border>
      <left style="hair">
        <color indexed="60"/>
      </left>
      <right style="thin">
        <color indexed="60"/>
      </right>
      <top/>
      <bottom style="dashed">
        <color indexed="60"/>
      </bottom>
    </border>
    <border>
      <left/>
      <right style="medium">
        <color indexed="60"/>
      </right>
      <top/>
      <bottom style="dashed">
        <color indexed="60"/>
      </bottom>
    </border>
    <border>
      <left style="hair">
        <color indexed="60"/>
      </left>
      <right style="medium">
        <color indexed="60"/>
      </right>
      <top/>
      <bottom style="dashed">
        <color indexed="60"/>
      </bottom>
    </border>
    <border>
      <left style="medium">
        <color indexed="60"/>
      </left>
      <right style="thin">
        <color indexed="60"/>
      </right>
      <top/>
      <bottom style="dashed">
        <color indexed="60"/>
      </bottom>
    </border>
    <border>
      <left style="thin">
        <color indexed="60"/>
      </left>
      <right style="hair">
        <color indexed="60"/>
      </right>
      <top style="thin">
        <color indexed="60"/>
      </top>
      <bottom style="dotted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dotted">
        <color indexed="60"/>
      </bottom>
    </border>
    <border>
      <left style="thin">
        <color indexed="60"/>
      </left>
      <right style="hair">
        <color indexed="60"/>
      </right>
      <top style="dotted">
        <color indexed="60"/>
      </top>
      <bottom style="dotted">
        <color indexed="60"/>
      </bottom>
    </border>
    <border>
      <left style="hair">
        <color indexed="60"/>
      </left>
      <right style="hair">
        <color indexed="60"/>
      </right>
      <top style="dotted">
        <color indexed="60"/>
      </top>
      <bottom style="dotted">
        <color indexed="60"/>
      </bottom>
    </border>
    <border>
      <left style="thin">
        <color indexed="60"/>
      </left>
      <right style="hair">
        <color indexed="60"/>
      </right>
      <top style="dotted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dotted">
        <color indexed="60"/>
      </top>
      <bottom style="thin">
        <color indexed="60"/>
      </bottom>
    </border>
    <border>
      <left style="thin">
        <color indexed="60"/>
      </left>
      <right/>
      <top/>
      <bottom style="dashed">
        <color indexed="60"/>
      </bottom>
    </border>
    <border>
      <left/>
      <right style="thin">
        <color indexed="60"/>
      </right>
      <top/>
      <bottom style="dashed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dashed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dashed">
        <color indexed="60"/>
      </bottom>
    </border>
    <border>
      <left style="thin">
        <color indexed="60"/>
      </left>
      <right style="thin">
        <color indexed="60"/>
      </right>
      <top/>
      <bottom style="dashed">
        <color indexed="60"/>
      </bottom>
    </border>
    <border>
      <left style="thin">
        <color indexed="40"/>
      </left>
      <right style="thin">
        <color indexed="40"/>
      </right>
      <top style="dashed">
        <color indexed="40"/>
      </top>
      <bottom style="medium">
        <color indexed="40"/>
      </bottom>
    </border>
    <border>
      <left style="medium">
        <color indexed="60"/>
      </left>
      <right style="hair">
        <color indexed="60"/>
      </right>
      <top/>
      <bottom style="dashed">
        <color indexed="60"/>
      </bottom>
    </border>
    <border>
      <left style="thin">
        <color indexed="60"/>
      </left>
      <right style="thin">
        <color indexed="60"/>
      </right>
      <top style="dashed">
        <color indexed="60"/>
      </top>
      <bottom style="dashed">
        <color indexed="60"/>
      </bottom>
    </border>
    <border>
      <left style="thin">
        <color indexed="60"/>
      </left>
      <right style="medium">
        <color indexed="60"/>
      </right>
      <top/>
      <bottom style="dashed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60"/>
      </right>
      <top style="dotted">
        <color indexed="60"/>
      </top>
      <bottom style="dotted">
        <color indexed="60"/>
      </bottom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dotted">
        <color indexed="60"/>
      </bottom>
    </border>
    <border>
      <left style="hair">
        <color indexed="60"/>
      </left>
      <right style="thin">
        <color indexed="60"/>
      </right>
      <top style="dotted">
        <color indexed="60"/>
      </top>
      <bottom style="thin">
        <color indexed="60"/>
      </bottom>
    </border>
    <border>
      <left style="medium">
        <color indexed="60"/>
      </left>
      <right/>
      <top style="medium">
        <color indexed="60"/>
      </top>
      <bottom/>
    </border>
    <border>
      <left style="medium">
        <color indexed="60"/>
      </left>
      <right/>
      <top/>
      <bottom style="medium">
        <color indexed="60"/>
      </bottom>
    </border>
    <border>
      <left/>
      <right style="medium">
        <color indexed="60"/>
      </right>
      <top style="medium">
        <color indexed="60"/>
      </top>
      <bottom/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 locked="0"/>
    </xf>
    <xf numFmtId="168" fontId="2" fillId="33" borderId="0" xfId="0" applyNumberFormat="1" applyFont="1" applyFill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horizontal="center" vertical="center"/>
      <protection hidden="1" locked="0"/>
    </xf>
    <xf numFmtId="2" fontId="2" fillId="33" borderId="0" xfId="0" applyNumberFormat="1" applyFont="1" applyFill="1" applyAlignment="1" applyProtection="1">
      <alignment vertical="center"/>
      <protection hidden="1" locked="0"/>
    </xf>
    <xf numFmtId="0" fontId="3" fillId="33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textRotation="90"/>
    </xf>
    <xf numFmtId="166" fontId="3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1" fontId="11" fillId="33" borderId="0" xfId="0" applyNumberFormat="1" applyFont="1" applyFill="1" applyAlignment="1" applyProtection="1">
      <alignment horizontal="center" vertical="center"/>
      <protection locked="0"/>
    </xf>
    <xf numFmtId="1" fontId="11" fillId="33" borderId="0" xfId="0" applyNumberFormat="1" applyFont="1" applyFill="1" applyAlignment="1">
      <alignment horizontal="center" vertical="center"/>
    </xf>
    <xf numFmtId="167" fontId="3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166" fontId="21" fillId="34" borderId="14" xfId="0" applyNumberFormat="1" applyFont="1" applyFill="1" applyBorder="1" applyAlignment="1">
      <alignment horizontal="center" vertical="center"/>
    </xf>
    <xf numFmtId="166" fontId="21" fillId="34" borderId="15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66" fontId="21" fillId="34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21" fillId="34" borderId="17" xfId="0" applyNumberFormat="1" applyFont="1" applyFill="1" applyBorder="1" applyAlignment="1">
      <alignment horizontal="center" vertical="center"/>
    </xf>
    <xf numFmtId="166" fontId="21" fillId="34" borderId="18" xfId="0" applyNumberFormat="1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6" fontId="4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2" fontId="15" fillId="33" borderId="22" xfId="0" applyNumberFormat="1" applyFont="1" applyFill="1" applyBorder="1" applyAlignment="1" applyProtection="1">
      <alignment horizontal="center" vertical="center"/>
      <protection locked="0"/>
    </xf>
    <xf numFmtId="1" fontId="9" fillId="35" borderId="23" xfId="0" applyNumberFormat="1" applyFont="1" applyFill="1" applyBorder="1" applyAlignment="1">
      <alignment horizontal="center" vertical="center"/>
    </xf>
    <xf numFmtId="1" fontId="22" fillId="33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23" fillId="33" borderId="25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" fontId="4" fillId="33" borderId="31" xfId="0" applyNumberFormat="1" applyFont="1" applyFill="1" applyBorder="1" applyAlignment="1" applyProtection="1">
      <alignment horizontal="center" vertical="center"/>
      <protection locked="0"/>
    </xf>
    <xf numFmtId="166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25" fillId="33" borderId="33" xfId="0" applyFont="1" applyFill="1" applyBorder="1" applyAlignment="1" applyProtection="1">
      <alignment horizontal="center" vertical="center"/>
      <protection locked="0"/>
    </xf>
    <xf numFmtId="166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center"/>
    </xf>
    <xf numFmtId="1" fontId="18" fillId="0" borderId="37" xfId="0" applyNumberFormat="1" applyFont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>
      <alignment horizontal="center" vertical="center"/>
    </xf>
    <xf numFmtId="2" fontId="12" fillId="33" borderId="39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 applyProtection="1">
      <alignment horizontal="center" vertical="center"/>
      <protection hidden="1" locked="0"/>
    </xf>
    <xf numFmtId="0" fontId="3" fillId="33" borderId="0" xfId="0" applyFont="1" applyFill="1" applyAlignment="1" applyProtection="1">
      <alignment horizontal="center" vertical="center"/>
      <protection hidden="1" locked="0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40" borderId="0" xfId="0" applyFill="1" applyAlignment="1">
      <alignment horizontal="center"/>
    </xf>
    <xf numFmtId="0" fontId="17" fillId="40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1" fontId="0" fillId="37" borderId="0" xfId="0" applyNumberFormat="1" applyFill="1" applyAlignment="1">
      <alignment horizontal="center" vertical="center"/>
    </xf>
    <xf numFmtId="1" fontId="0" fillId="40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41" borderId="0" xfId="0" applyNumberFormat="1" applyFill="1" applyAlignment="1">
      <alignment horizontal="center"/>
    </xf>
    <xf numFmtId="1" fontId="0" fillId="41" borderId="0" xfId="0" applyNumberFormat="1" applyFill="1" applyAlignment="1">
      <alignment horizontal="center" vertical="center"/>
    </xf>
    <xf numFmtId="0" fontId="19" fillId="42" borderId="0" xfId="0" applyFont="1" applyFill="1" applyAlignment="1">
      <alignment/>
    </xf>
    <xf numFmtId="176" fontId="26" fillId="0" borderId="40" xfId="0" applyNumberFormat="1" applyFont="1" applyBorder="1" applyAlignment="1">
      <alignment horizontal="center" vertical="center"/>
    </xf>
    <xf numFmtId="0" fontId="25" fillId="43" borderId="33" xfId="0" applyFont="1" applyFill="1" applyBorder="1" applyAlignment="1" applyProtection="1">
      <alignment horizontal="center" vertical="center"/>
      <protection locked="0"/>
    </xf>
    <xf numFmtId="0" fontId="3" fillId="44" borderId="0" xfId="0" applyFont="1" applyFill="1" applyAlignment="1" applyProtection="1">
      <alignment horizontal="center" vertical="center"/>
      <protection hidden="1" locked="0"/>
    </xf>
    <xf numFmtId="0" fontId="25" fillId="44" borderId="33" xfId="0" applyFont="1" applyFill="1" applyBorder="1" applyAlignment="1" applyProtection="1">
      <alignment horizontal="center" vertical="center"/>
      <protection locked="0"/>
    </xf>
    <xf numFmtId="0" fontId="25" fillId="45" borderId="33" xfId="0" applyFont="1" applyFill="1" applyBorder="1" applyAlignment="1" applyProtection="1">
      <alignment horizontal="center" vertical="center"/>
      <protection locked="0"/>
    </xf>
    <xf numFmtId="0" fontId="25" fillId="46" borderId="33" xfId="0" applyFont="1" applyFill="1" applyBorder="1" applyAlignment="1" applyProtection="1">
      <alignment horizontal="center" vertical="center"/>
      <protection locked="0"/>
    </xf>
    <xf numFmtId="0" fontId="65" fillId="47" borderId="33" xfId="0" applyFont="1" applyFill="1" applyBorder="1" applyAlignment="1" applyProtection="1">
      <alignment horizontal="center" vertical="center"/>
      <protection locked="0"/>
    </xf>
    <xf numFmtId="0" fontId="25" fillId="48" borderId="33" xfId="0" applyFont="1" applyFill="1" applyBorder="1" applyAlignment="1" applyProtection="1">
      <alignment horizontal="center" vertical="center"/>
      <protection locked="0"/>
    </xf>
    <xf numFmtId="0" fontId="65" fillId="24" borderId="33" xfId="0" applyFont="1" applyFill="1" applyBorder="1" applyAlignment="1" applyProtection="1">
      <alignment horizontal="center" vertical="center"/>
      <protection locked="0"/>
    </xf>
    <xf numFmtId="0" fontId="25" fillId="25" borderId="33" xfId="0" applyFont="1" applyFill="1" applyBorder="1" applyAlignment="1" applyProtection="1">
      <alignment horizontal="center" vertical="center"/>
      <protection locked="0"/>
    </xf>
    <xf numFmtId="0" fontId="25" fillId="22" borderId="33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hidden="1" locked="0"/>
    </xf>
    <xf numFmtId="0" fontId="3" fillId="25" borderId="41" xfId="0" applyFont="1" applyFill="1" applyBorder="1" applyAlignment="1" applyProtection="1">
      <alignment horizontal="center" vertical="center"/>
      <protection hidden="1" locked="0"/>
    </xf>
    <xf numFmtId="0" fontId="3" fillId="22" borderId="41" xfId="0" applyFont="1" applyFill="1" applyBorder="1" applyAlignment="1" applyProtection="1">
      <alignment horizontal="center" vertical="center"/>
      <protection hidden="1" locked="0"/>
    </xf>
    <xf numFmtId="0" fontId="3" fillId="43" borderId="41" xfId="0" applyFont="1" applyFill="1" applyBorder="1" applyAlignment="1" applyProtection="1">
      <alignment horizontal="center" vertical="center"/>
      <protection hidden="1" locked="0"/>
    </xf>
    <xf numFmtId="0" fontId="3" fillId="45" borderId="41" xfId="0" applyFont="1" applyFill="1" applyBorder="1" applyAlignment="1" applyProtection="1">
      <alignment horizontal="center" vertical="center"/>
      <protection hidden="1" locked="0"/>
    </xf>
    <xf numFmtId="0" fontId="3" fillId="46" borderId="41" xfId="0" applyFont="1" applyFill="1" applyBorder="1" applyAlignment="1" applyProtection="1">
      <alignment horizontal="center" vertical="center"/>
      <protection hidden="1" locked="0"/>
    </xf>
    <xf numFmtId="0" fontId="66" fillId="47" borderId="41" xfId="0" applyFont="1" applyFill="1" applyBorder="1" applyAlignment="1" applyProtection="1">
      <alignment horizontal="center" vertical="center"/>
      <protection hidden="1" locked="0"/>
    </xf>
    <xf numFmtId="0" fontId="3" fillId="48" borderId="41" xfId="0" applyFont="1" applyFill="1" applyBorder="1" applyAlignment="1" applyProtection="1">
      <alignment horizontal="center" vertical="center"/>
      <protection hidden="1" locked="0"/>
    </xf>
    <xf numFmtId="0" fontId="66" fillId="24" borderId="41" xfId="0" applyFont="1" applyFill="1" applyBorder="1" applyAlignment="1" applyProtection="1">
      <alignment horizontal="center" vertical="center"/>
      <protection hidden="1" locked="0"/>
    </xf>
    <xf numFmtId="0" fontId="28" fillId="33" borderId="28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left" vertical="top"/>
    </xf>
    <xf numFmtId="0" fontId="2" fillId="33" borderId="44" xfId="0" applyFont="1" applyFill="1" applyBorder="1" applyAlignment="1">
      <alignment horizontal="left" vertical="top"/>
    </xf>
    <xf numFmtId="0" fontId="2" fillId="33" borderId="45" xfId="0" applyFont="1" applyFill="1" applyBorder="1" applyAlignment="1">
      <alignment horizontal="left" vertical="top"/>
    </xf>
    <xf numFmtId="0" fontId="2" fillId="33" borderId="46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47" xfId="0" applyFont="1" applyFill="1" applyBorder="1" applyAlignment="1">
      <alignment horizontal="left" vertical="top"/>
    </xf>
    <xf numFmtId="0" fontId="2" fillId="33" borderId="48" xfId="0" applyFont="1" applyFill="1" applyBorder="1" applyAlignment="1">
      <alignment horizontal="left" vertical="top"/>
    </xf>
    <xf numFmtId="0" fontId="2" fillId="33" borderId="49" xfId="0" applyFont="1" applyFill="1" applyBorder="1" applyAlignment="1">
      <alignment horizontal="left" vertical="top"/>
    </xf>
    <xf numFmtId="0" fontId="2" fillId="33" borderId="50" xfId="0" applyFont="1" applyFill="1" applyBorder="1" applyAlignment="1">
      <alignment horizontal="left" vertical="top"/>
    </xf>
    <xf numFmtId="0" fontId="28" fillId="33" borderId="2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7" fillId="34" borderId="55" xfId="0" applyFont="1" applyFill="1" applyBorder="1" applyAlignment="1">
      <alignment horizontal="center" vertical="center" wrapText="1"/>
    </xf>
    <xf numFmtId="169" fontId="20" fillId="33" borderId="12" xfId="0" applyNumberFormat="1" applyFont="1" applyFill="1" applyBorder="1" applyAlignment="1">
      <alignment horizontal="center" vertical="center"/>
    </xf>
    <xf numFmtId="169" fontId="20" fillId="33" borderId="56" xfId="0" applyNumberFormat="1" applyFont="1" applyFill="1" applyBorder="1" applyAlignment="1">
      <alignment horizontal="center" vertical="center"/>
    </xf>
    <xf numFmtId="0" fontId="25" fillId="33" borderId="57" xfId="0" applyFont="1" applyFill="1" applyBorder="1" applyAlignment="1" applyProtection="1">
      <alignment horizontal="center" vertical="center"/>
      <protection locked="0"/>
    </xf>
    <xf numFmtId="0" fontId="25" fillId="33" borderId="58" xfId="0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center" vertical="center"/>
      <protection locked="0"/>
    </xf>
    <xf numFmtId="166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25" fillId="33" borderId="24" xfId="0" applyFont="1" applyFill="1" applyBorder="1" applyAlignment="1" applyProtection="1">
      <alignment horizontal="center" vertical="center"/>
      <protection locked="0"/>
    </xf>
    <xf numFmtId="166" fontId="4" fillId="43" borderId="20" xfId="0" applyNumberFormat="1" applyFont="1" applyFill="1" applyBorder="1" applyAlignment="1" applyProtection="1">
      <alignment horizontal="left" vertical="center"/>
      <protection locked="0"/>
    </xf>
    <xf numFmtId="0" fontId="3" fillId="43" borderId="21" xfId="0" applyFont="1" applyFill="1" applyBorder="1" applyAlignment="1" applyProtection="1">
      <alignment vertical="center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rmal 6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8"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2</xdr:col>
      <xdr:colOff>400050</xdr:colOff>
      <xdr:row>2</xdr:row>
      <xdr:rowOff>352425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561975</xdr:colOff>
      <xdr:row>2</xdr:row>
      <xdr:rowOff>257175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83"/>
  <sheetViews>
    <sheetView tabSelected="1" zoomScale="55" zoomScaleNormal="55" zoomScalePageLayoutView="0" workbookViewId="0" topLeftCell="A10">
      <selection activeCell="F51" sqref="F51:G5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17.140625" style="1" bestFit="1" customWidth="1"/>
    <col min="4" max="4" width="6.7109375" style="1" customWidth="1"/>
    <col min="5" max="5" width="7.8515625" style="1" bestFit="1" customWidth="1"/>
    <col min="6" max="6" width="27.28125" style="1" customWidth="1"/>
    <col min="7" max="7" width="20.7109375" style="1" customWidth="1"/>
    <col min="8" max="8" width="22.00390625" style="1" customWidth="1"/>
    <col min="9" max="9" width="40.7109375" style="1" bestFit="1" customWidth="1"/>
    <col min="10" max="10" width="7.8515625" style="2" bestFit="1" customWidth="1"/>
    <col min="11" max="11" width="8.7109375" style="1" customWidth="1"/>
    <col min="12" max="14" width="9.28125" style="1" customWidth="1"/>
    <col min="15" max="15" width="9.28125" style="3" customWidth="1"/>
    <col min="16" max="18" width="9.28125" style="1" customWidth="1"/>
    <col min="19" max="20" width="9.28125" style="3" customWidth="1"/>
    <col min="21" max="21" width="13.421875" style="4" bestFit="1" customWidth="1"/>
    <col min="22" max="22" width="12.00390625" style="1" bestFit="1" customWidth="1"/>
    <col min="23" max="23" width="13.00390625" style="1" customWidth="1"/>
    <col min="24" max="24" width="13.7109375" style="1" hidden="1" customWidth="1"/>
    <col min="25" max="40" width="11.421875" style="1" hidden="1" customWidth="1"/>
    <col min="41" max="41" width="11.421875" style="1" customWidth="1"/>
    <col min="42" max="16384" width="11.421875" style="1" customWidth="1"/>
  </cols>
  <sheetData>
    <row r="1" ht="4.5" customHeight="1" thickBot="1"/>
    <row r="2" spans="3:23" s="9" customFormat="1" ht="30" customHeight="1">
      <c r="C2" s="26"/>
      <c r="D2" s="123" t="s">
        <v>130</v>
      </c>
      <c r="E2" s="122"/>
      <c r="F2" s="122"/>
      <c r="G2" s="122"/>
      <c r="H2" s="122"/>
      <c r="I2" s="122"/>
      <c r="J2" s="122"/>
      <c r="K2" s="122"/>
      <c r="L2" s="27"/>
      <c r="M2" s="28"/>
      <c r="N2" s="122" t="s">
        <v>6</v>
      </c>
      <c r="O2" s="122"/>
      <c r="P2" s="122"/>
      <c r="Q2" s="122"/>
      <c r="R2" s="122"/>
      <c r="S2" s="122"/>
      <c r="T2" s="28"/>
      <c r="U2" s="28"/>
      <c r="V2" s="122" t="s">
        <v>15</v>
      </c>
      <c r="W2" s="126"/>
    </row>
    <row r="3" spans="3:23" s="9" customFormat="1" ht="30" customHeight="1" thickBot="1">
      <c r="C3" s="26"/>
      <c r="D3" s="124" t="s">
        <v>149</v>
      </c>
      <c r="E3" s="125"/>
      <c r="F3" s="125"/>
      <c r="G3" s="125"/>
      <c r="H3" s="125"/>
      <c r="I3" s="125"/>
      <c r="J3" s="125"/>
      <c r="K3" s="125"/>
      <c r="L3" s="29"/>
      <c r="M3" s="29"/>
      <c r="N3" s="125" t="s">
        <v>150</v>
      </c>
      <c r="O3" s="125"/>
      <c r="P3" s="125"/>
      <c r="Q3" s="125"/>
      <c r="R3" s="125"/>
      <c r="S3" s="125"/>
      <c r="T3" s="29"/>
      <c r="U3" s="29"/>
      <c r="V3" s="127">
        <v>43560.00067129629</v>
      </c>
      <c r="W3" s="128"/>
    </row>
    <row r="4" spans="1:123" s="8" customFormat="1" ht="9.75" customHeight="1" thickBot="1">
      <c r="A4" s="7"/>
      <c r="B4" s="13"/>
      <c r="C4" s="7"/>
      <c r="D4" s="14"/>
      <c r="E4" s="14"/>
      <c r="F4" s="15"/>
      <c r="G4" s="16"/>
      <c r="H4" s="17"/>
      <c r="I4" s="18"/>
      <c r="J4" t="s">
        <v>373</v>
      </c>
      <c r="K4" t="s">
        <v>373</v>
      </c>
      <c r="L4" s="19"/>
      <c r="M4" s="19"/>
      <c r="N4" s="19"/>
      <c r="O4" s="20"/>
      <c r="P4" s="19"/>
      <c r="Q4" s="19"/>
      <c r="R4" t="s">
        <v>373</v>
      </c>
      <c r="S4" t="s">
        <v>373</v>
      </c>
      <c r="T4" s="20"/>
      <c r="U4" s="21"/>
      <c r="V4" s="15"/>
      <c r="W4" s="15"/>
      <c r="X4" s="6"/>
      <c r="Y4" s="6"/>
      <c r="Z4" s="6"/>
      <c r="AA4" s="6"/>
      <c r="AB4" s="66">
        <v>1</v>
      </c>
      <c r="AC4" s="66">
        <v>2</v>
      </c>
      <c r="AD4" s="66">
        <v>3</v>
      </c>
      <c r="AE4" s="66">
        <v>4</v>
      </c>
      <c r="AF4" s="66">
        <v>5</v>
      </c>
      <c r="AG4" s="66">
        <v>6</v>
      </c>
      <c r="AH4" s="66">
        <v>7</v>
      </c>
      <c r="AI4" s="66">
        <v>8</v>
      </c>
      <c r="AJ4" s="66">
        <v>9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s="12" customFormat="1" ht="18" customHeight="1" thickBot="1">
      <c r="A5" s="11"/>
      <c r="B5" s="30" t="s">
        <v>9</v>
      </c>
      <c r="C5" s="31" t="s">
        <v>10</v>
      </c>
      <c r="D5" s="31" t="s">
        <v>7</v>
      </c>
      <c r="E5" s="31" t="s">
        <v>47</v>
      </c>
      <c r="F5" s="121" t="s">
        <v>0</v>
      </c>
      <c r="G5" s="121"/>
      <c r="H5" s="31" t="s">
        <v>12</v>
      </c>
      <c r="I5" s="31" t="s">
        <v>11</v>
      </c>
      <c r="J5" s="32" t="s">
        <v>5</v>
      </c>
      <c r="K5" s="33" t="s">
        <v>1</v>
      </c>
      <c r="L5" s="34">
        <v>1</v>
      </c>
      <c r="M5" s="35">
        <v>2</v>
      </c>
      <c r="N5" s="35">
        <v>3</v>
      </c>
      <c r="O5" s="36" t="s">
        <v>13</v>
      </c>
      <c r="P5" s="34">
        <v>1</v>
      </c>
      <c r="Q5" s="35">
        <v>2</v>
      </c>
      <c r="R5" s="35">
        <v>3</v>
      </c>
      <c r="S5" s="36" t="s">
        <v>14</v>
      </c>
      <c r="T5" s="38" t="s">
        <v>2</v>
      </c>
      <c r="U5" s="39" t="s">
        <v>3</v>
      </c>
      <c r="V5" s="39" t="s">
        <v>8</v>
      </c>
      <c r="W5" s="40" t="s">
        <v>4</v>
      </c>
      <c r="X5" s="11" t="s">
        <v>137</v>
      </c>
      <c r="Y5" s="11" t="s">
        <v>138</v>
      </c>
      <c r="Z5" s="11" t="s">
        <v>139</v>
      </c>
      <c r="AA5" s="11" t="s">
        <v>140</v>
      </c>
      <c r="AB5" s="15" t="s">
        <v>49</v>
      </c>
      <c r="AC5" s="15" t="s">
        <v>48</v>
      </c>
      <c r="AD5" s="15" t="s">
        <v>40</v>
      </c>
      <c r="AE5" s="15" t="s">
        <v>41</v>
      </c>
      <c r="AF5" s="15" t="s">
        <v>42</v>
      </c>
      <c r="AG5" s="15" t="s">
        <v>43</v>
      </c>
      <c r="AH5" s="15" t="s">
        <v>44</v>
      </c>
      <c r="AI5" s="15" t="s">
        <v>45</v>
      </c>
      <c r="AJ5" s="15" t="s">
        <v>46</v>
      </c>
      <c r="AK5" s="58" t="s">
        <v>142</v>
      </c>
      <c r="AL5" s="11" t="s">
        <v>143</v>
      </c>
      <c r="AM5" s="11" t="s">
        <v>141</v>
      </c>
      <c r="AN5" s="11" t="s">
        <v>144</v>
      </c>
      <c r="AO5" s="40" t="s">
        <v>136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2:123" ht="30" customHeight="1" thickBot="1">
      <c r="B6" s="62"/>
      <c r="C6" s="65" t="s">
        <v>151</v>
      </c>
      <c r="D6" s="89">
        <v>1</v>
      </c>
      <c r="E6" s="64" t="s">
        <v>152</v>
      </c>
      <c r="F6" s="134" t="s">
        <v>153</v>
      </c>
      <c r="G6" s="135" t="s">
        <v>154</v>
      </c>
      <c r="H6" s="59">
        <f aca="true" ca="1" t="shared" si="0" ref="H6:H37">YEAR(INDIRECT("AA"&amp;ROW()))</f>
        <v>1998</v>
      </c>
      <c r="I6" s="61" t="s">
        <v>155</v>
      </c>
      <c r="J6" s="60" t="s">
        <v>145</v>
      </c>
      <c r="K6" s="44">
        <v>48.5</v>
      </c>
      <c r="L6" s="67">
        <v>58</v>
      </c>
      <c r="M6" s="67">
        <v>61</v>
      </c>
      <c r="N6" s="67">
        <v>64</v>
      </c>
      <c r="O6" s="45">
        <v>64</v>
      </c>
      <c r="P6" s="67">
        <v>76</v>
      </c>
      <c r="Q6" s="67">
        <v>79</v>
      </c>
      <c r="R6" s="67">
        <v>-81</v>
      </c>
      <c r="S6" s="45">
        <v>79</v>
      </c>
      <c r="T6" s="46">
        <v>143</v>
      </c>
      <c r="U6" s="68" t="str">
        <f ca="1" t="shared" si="1" ref="U6:U37">INDIRECT("AM"&amp;ROW())&amp;" "&amp;INDIRECT("AN"&amp;ROW())</f>
        <v>INTB + 3</v>
      </c>
      <c r="V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F49</v>
      </c>
      <c r="W6" s="69">
        <v>224.82344432314264</v>
      </c>
      <c r="X6" s="5">
        <f aca="true" ca="1" t="shared" si="2" ref="X6:X37">YEAR(TODAY())-YEAR(INDIRECT("AA"&amp;ROW()))</f>
        <v>21</v>
      </c>
      <c r="Y6" s="5">
        <f ca="1">MATCH(INDIRECT("X"&amp;ROW()),Minimas!$B$50:$B$56,-1)</f>
        <v>1</v>
      </c>
      <c r="Z6" s="5">
        <f ca="1">IF(INDIRECT("E"&amp;ROW())="H",MATCH(INDIRECT("K"&amp;ROW()),Minimas!$A$16:$A$29,1),MATCH(INDIRECT("K"&amp;ROW()),Minimas!$J$16:$J$27,1))</f>
        <v>4</v>
      </c>
      <c r="AA6" s="59">
        <v>36115</v>
      </c>
      <c r="AB6" s="70">
        <f ca="1">INDIRECT("T"&amp;ROW())-HLOOKUP(INDIRECT("V"&amp;ROW()),Minimas!$C$3:$CD$12,AB$4+1,FALSE)</f>
        <v>88</v>
      </c>
      <c r="AC6" s="70">
        <f ca="1">INDIRECT("T"&amp;ROW())-HLOOKUP(INDIRECT("V"&amp;ROW()),Minimas!$C$3:$CD$12,AC$4+1,FALSE)</f>
        <v>76</v>
      </c>
      <c r="AD6" s="70">
        <f ca="1">INDIRECT("T"&amp;ROW())-HLOOKUP(INDIRECT("V"&amp;ROW()),Minimas!$C$3:$CD$12,AD$4+1,FALSE)</f>
        <v>63</v>
      </c>
      <c r="AE6" s="70">
        <f ca="1">INDIRECT("T"&amp;ROW())-HLOOKUP(INDIRECT("V"&amp;ROW()),Minimas!$C$3:$CD$12,AE$4+1,FALSE)</f>
        <v>51</v>
      </c>
      <c r="AF6" s="70">
        <f ca="1">INDIRECT("T"&amp;ROW())-HLOOKUP(INDIRECT("V"&amp;ROW()),Minimas!$C$3:$CD$12,AF$4+1,FALSE)</f>
        <v>36</v>
      </c>
      <c r="AG6" s="70">
        <f ca="1">INDIRECT("T"&amp;ROW())-HLOOKUP(INDIRECT("V"&amp;ROW()),Minimas!$C$3:$CD$12,AG$4+1,FALSE)</f>
        <v>21</v>
      </c>
      <c r="AH6" s="70">
        <f ca="1">INDIRECT("T"&amp;ROW())-HLOOKUP(INDIRECT("V"&amp;ROW()),Minimas!$C$3:$CD$12,AH$4+1,FALSE)</f>
        <v>3</v>
      </c>
      <c r="AI6" s="70">
        <f ca="1">INDIRECT("T"&amp;ROW())-HLOOKUP(INDIRECT("V"&amp;ROW()),Minimas!$C$3:$CD$12,AI$4+1,FALSE)</f>
        <v>-17</v>
      </c>
      <c r="AJ6" s="70">
        <f ca="1">INDIRECT("T"&amp;ROW())-HLOOKUP(INDIRECT("V"&amp;ROW()),Minimas!$C$3:$CD$12,AJ$4+1,FALSE)</f>
        <v>-32</v>
      </c>
      <c r="AK6" s="71">
        <f aca="true" ca="1" t="shared" si="3" ref="AK6:AK37">IF(ISERROR(MATCH(0,INDIRECT("AB"&amp;ROW()&amp;":"&amp;"AJ"&amp;ROW()),-1)),1,MATCH(0,INDIRECT("AB"&amp;ROW()&amp;":"&amp;"AJ"&amp;ROW()),-1))</f>
        <v>7</v>
      </c>
      <c r="AM6" s="5" t="str">
        <f aca="true" ca="1" t="shared" si="4" ref="AM6:AM37">LOOKUP(INDIRECT("AK"&amp;ROW()),$AB$4:$AJ$5,$AB$5:$AJ$5)</f>
        <v>INTB +</v>
      </c>
      <c r="AN6" s="5">
        <f aca="true" ca="1" t="shared" si="5" ref="AN6:AN37">LOOKUP(INDIRECT("AK"&amp;ROW()),$AB$4:$AJ$4,INDIRECT(ADDRESS(ROW(),COLUMN()-12,4,1)&amp;":"&amp;ADDRESS(ROW(),COLUMN()-4,4,1)))</f>
        <v>3</v>
      </c>
      <c r="AO6" s="86">
        <v>312.2737075618845</v>
      </c>
      <c r="AP6" s="88" t="s">
        <v>386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</row>
    <row r="7" spans="2:42" s="5" customFormat="1" ht="30" customHeight="1" thickBot="1">
      <c r="B7" s="62"/>
      <c r="C7" s="65" t="s">
        <v>156</v>
      </c>
      <c r="D7" s="87">
        <v>1</v>
      </c>
      <c r="E7" s="64" t="s">
        <v>152</v>
      </c>
      <c r="F7" s="42" t="s">
        <v>157</v>
      </c>
      <c r="G7" s="43" t="s">
        <v>158</v>
      </c>
      <c r="H7" s="59">
        <f ca="1" t="shared" si="0"/>
        <v>1997</v>
      </c>
      <c r="I7" s="61" t="s">
        <v>159</v>
      </c>
      <c r="J7" s="60" t="s">
        <v>145</v>
      </c>
      <c r="K7" s="44">
        <v>54.3</v>
      </c>
      <c r="L7" s="67">
        <v>64</v>
      </c>
      <c r="M7" s="67">
        <v>67</v>
      </c>
      <c r="N7" s="67">
        <v>-70</v>
      </c>
      <c r="O7" s="45">
        <v>67</v>
      </c>
      <c r="P7" s="67">
        <v>75</v>
      </c>
      <c r="Q7" s="67">
        <v>80</v>
      </c>
      <c r="R7" s="67">
        <v>83</v>
      </c>
      <c r="S7" s="45">
        <v>83</v>
      </c>
      <c r="T7" s="46">
        <v>150</v>
      </c>
      <c r="U7" s="68" t="str">
        <f ca="1" t="shared" si="1"/>
        <v>NAT + 12</v>
      </c>
      <c r="V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F55</v>
      </c>
      <c r="W7" s="69">
        <v>216.7622689767048</v>
      </c>
      <c r="X7" s="5">
        <f ca="1" t="shared" si="2"/>
        <v>22</v>
      </c>
      <c r="Y7" s="5">
        <f ca="1">MATCH(INDIRECT("X"&amp;ROW()),Minimas!$B$50:$B$56,-1)</f>
        <v>1</v>
      </c>
      <c r="Z7" s="5">
        <f ca="1">IF(INDIRECT("E"&amp;ROW())="H",MATCH(INDIRECT("K"&amp;ROW()),Minimas!$A$16:$A$29,1),MATCH(INDIRECT("K"&amp;ROW()),Minimas!$J$16:$J$27,1))</f>
        <v>5</v>
      </c>
      <c r="AA7" s="59">
        <v>35717</v>
      </c>
      <c r="AB7" s="70">
        <f ca="1">INDIRECT("T"&amp;ROW())-HLOOKUP(INDIRECT("V"&amp;ROW()),Minimas!$C$3:$CD$12,AB$4+1,FALSE)</f>
        <v>90</v>
      </c>
      <c r="AC7" s="70">
        <f ca="1">INDIRECT("T"&amp;ROW())-HLOOKUP(INDIRECT("V"&amp;ROW()),Minimas!$C$3:$CD$12,AC$4+1,FALSE)</f>
        <v>75</v>
      </c>
      <c r="AD7" s="70">
        <f ca="1">INDIRECT("T"&amp;ROW())-HLOOKUP(INDIRECT("V"&amp;ROW()),Minimas!$C$3:$CD$12,AD$4+1,FALSE)</f>
        <v>63</v>
      </c>
      <c r="AE7" s="70">
        <f ca="1">INDIRECT("T"&amp;ROW())-HLOOKUP(INDIRECT("V"&amp;ROW()),Minimas!$C$3:$CD$12,AE$4+1,FALSE)</f>
        <v>48</v>
      </c>
      <c r="AF7" s="70">
        <f ca="1">INDIRECT("T"&amp;ROW())-HLOOKUP(INDIRECT("V"&amp;ROW()),Minimas!$C$3:$CD$12,AF$4+1,FALSE)</f>
        <v>27</v>
      </c>
      <c r="AG7" s="70">
        <f ca="1">INDIRECT("T"&amp;ROW())-HLOOKUP(INDIRECT("V"&amp;ROW()),Minimas!$C$3:$CD$12,AG$4+1,FALSE)</f>
        <v>12</v>
      </c>
      <c r="AH7" s="70">
        <f ca="1">INDIRECT("T"&amp;ROW())-HLOOKUP(INDIRECT("V"&amp;ROW()),Minimas!$C$3:$CD$12,AH$4+1,FALSE)</f>
        <v>-5</v>
      </c>
      <c r="AI7" s="70">
        <f ca="1">INDIRECT("T"&amp;ROW())-HLOOKUP(INDIRECT("V"&amp;ROW()),Minimas!$C$3:$CD$12,AI$4+1,FALSE)</f>
        <v>-25</v>
      </c>
      <c r="AJ7" s="70">
        <f ca="1">INDIRECT("T"&amp;ROW())-HLOOKUP(INDIRECT("V"&amp;ROW()),Minimas!$C$3:$CD$12,AJ$4+1,FALSE)</f>
        <v>-40</v>
      </c>
      <c r="AK7" s="71">
        <f ca="1" t="shared" si="3"/>
        <v>6</v>
      </c>
      <c r="AM7" s="5" t="str">
        <f ca="1" t="shared" si="4"/>
        <v>NAT +</v>
      </c>
      <c r="AN7" s="5">
        <f ca="1" t="shared" si="5"/>
        <v>12</v>
      </c>
      <c r="AO7" s="86">
        <v>276.0044797838008</v>
      </c>
      <c r="AP7" s="100" t="s">
        <v>385</v>
      </c>
    </row>
    <row r="8" spans="2:123" ht="30" customHeight="1" thickBot="1">
      <c r="B8" s="62"/>
      <c r="C8" s="65" t="s">
        <v>160</v>
      </c>
      <c r="D8" s="87">
        <v>2</v>
      </c>
      <c r="E8" s="64" t="s">
        <v>152</v>
      </c>
      <c r="F8" s="42" t="s">
        <v>161</v>
      </c>
      <c r="G8" s="43" t="s">
        <v>162</v>
      </c>
      <c r="H8" s="59">
        <f ca="1" t="shared" si="0"/>
        <v>1999</v>
      </c>
      <c r="I8" s="61" t="s">
        <v>159</v>
      </c>
      <c r="J8" s="60" t="s">
        <v>145</v>
      </c>
      <c r="K8" s="44">
        <v>54.2</v>
      </c>
      <c r="L8" s="67">
        <v>55</v>
      </c>
      <c r="M8" s="67">
        <v>59</v>
      </c>
      <c r="N8" s="67">
        <v>61</v>
      </c>
      <c r="O8" s="45">
        <v>61</v>
      </c>
      <c r="P8" s="67">
        <v>63</v>
      </c>
      <c r="Q8" s="67">
        <v>-68</v>
      </c>
      <c r="R8" s="67">
        <v>68</v>
      </c>
      <c r="S8" s="45">
        <v>68</v>
      </c>
      <c r="T8" s="46">
        <v>129</v>
      </c>
      <c r="U8" s="68" t="str">
        <f ca="1" t="shared" si="1"/>
        <v>NAT + 11</v>
      </c>
      <c r="V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F55</v>
      </c>
      <c r="W8" s="69">
        <v>186.6591716530761</v>
      </c>
      <c r="X8" s="5">
        <f ca="1" t="shared" si="2"/>
        <v>20</v>
      </c>
      <c r="Y8" s="5">
        <f ca="1">MATCH(INDIRECT("X"&amp;ROW()),Minimas!$B$50:$B$56,-1)</f>
        <v>2</v>
      </c>
      <c r="Z8" s="5">
        <f ca="1">IF(INDIRECT("E"&amp;ROW())="H",MATCH(INDIRECT("K"&amp;ROW()),Minimas!$A$16:$A$29,1),MATCH(INDIRECT("K"&amp;ROW()),Minimas!$J$16:$J$27,1))</f>
        <v>5</v>
      </c>
      <c r="AA8" s="59">
        <v>36263</v>
      </c>
      <c r="AB8" s="70">
        <f ca="1">INDIRECT("T"&amp;ROW())-HLOOKUP(INDIRECT("V"&amp;ROW()),Minimas!$C$3:$CD$12,AB$4+1,FALSE)</f>
        <v>79</v>
      </c>
      <c r="AC8" s="70">
        <f ca="1">INDIRECT("T"&amp;ROW())-HLOOKUP(INDIRECT("V"&amp;ROW()),Minimas!$C$3:$CD$12,AC$4+1,FALSE)</f>
        <v>67</v>
      </c>
      <c r="AD8" s="70">
        <f ca="1">INDIRECT("T"&amp;ROW())-HLOOKUP(INDIRECT("V"&amp;ROW()),Minimas!$C$3:$CD$12,AD$4+1,FALSE)</f>
        <v>54</v>
      </c>
      <c r="AE8" s="70">
        <f ca="1">INDIRECT("T"&amp;ROW())-HLOOKUP(INDIRECT("V"&amp;ROW()),Minimas!$C$3:$CD$12,AE$4+1,FALSE)</f>
        <v>42</v>
      </c>
      <c r="AF8" s="70">
        <f ca="1">INDIRECT("T"&amp;ROW())-HLOOKUP(INDIRECT("V"&amp;ROW()),Minimas!$C$3:$CD$12,AF$4+1,FALSE)</f>
        <v>26</v>
      </c>
      <c r="AG8" s="70">
        <f ca="1">INDIRECT("T"&amp;ROW())-HLOOKUP(INDIRECT("V"&amp;ROW()),Minimas!$C$3:$CD$12,AG$4+1,FALSE)</f>
        <v>11</v>
      </c>
      <c r="AH8" s="70">
        <f ca="1">INDIRECT("T"&amp;ROW())-HLOOKUP(INDIRECT("V"&amp;ROW()),Minimas!$C$3:$CD$12,AH$4+1,FALSE)</f>
        <v>-9</v>
      </c>
      <c r="AI8" s="70">
        <f ca="1">INDIRECT("T"&amp;ROW())-HLOOKUP(INDIRECT("V"&amp;ROW()),Minimas!$C$3:$CD$12,AI$4+1,FALSE)</f>
        <v>-31</v>
      </c>
      <c r="AJ8" s="70">
        <f ca="1">INDIRECT("T"&amp;ROW())-HLOOKUP(INDIRECT("V"&amp;ROW()),Minimas!$C$3:$CD$12,AJ$4+1,FALSE)</f>
        <v>-61</v>
      </c>
      <c r="AK8" s="71">
        <f ca="1" t="shared" si="3"/>
        <v>6</v>
      </c>
      <c r="AM8" s="5" t="str">
        <f ca="1" t="shared" si="4"/>
        <v>NAT +</v>
      </c>
      <c r="AN8" s="5">
        <f ca="1" t="shared" si="5"/>
        <v>11</v>
      </c>
      <c r="AO8" s="86">
        <v>167.2340455959414</v>
      </c>
      <c r="AP8" s="100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2:123" s="10" customFormat="1" ht="30" customHeight="1" thickBot="1">
      <c r="B9" s="62"/>
      <c r="C9" s="65" t="s">
        <v>163</v>
      </c>
      <c r="D9" s="87">
        <v>3</v>
      </c>
      <c r="E9" s="64" t="s">
        <v>152</v>
      </c>
      <c r="F9" s="134" t="s">
        <v>164</v>
      </c>
      <c r="G9" s="135" t="s">
        <v>165</v>
      </c>
      <c r="H9" s="59">
        <f ca="1" t="shared" si="0"/>
        <v>2000</v>
      </c>
      <c r="I9" s="61" t="s">
        <v>166</v>
      </c>
      <c r="J9" s="60" t="s">
        <v>145</v>
      </c>
      <c r="K9" s="44">
        <v>54.6</v>
      </c>
      <c r="L9" s="67">
        <v>54</v>
      </c>
      <c r="M9" s="67">
        <v>57</v>
      </c>
      <c r="N9" s="67">
        <v>-60</v>
      </c>
      <c r="O9" s="45">
        <v>57</v>
      </c>
      <c r="P9" s="67">
        <v>68</v>
      </c>
      <c r="Q9" s="67">
        <v>70</v>
      </c>
      <c r="R9" s="67">
        <v>-73</v>
      </c>
      <c r="S9" s="45">
        <v>70</v>
      </c>
      <c r="T9" s="46">
        <v>127</v>
      </c>
      <c r="U9" s="68" t="str">
        <f ca="1" t="shared" si="1"/>
        <v>NAT + 9</v>
      </c>
      <c r="V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F55</v>
      </c>
      <c r="W9" s="69">
        <v>182.8128838209063</v>
      </c>
      <c r="X9" s="5">
        <f ca="1" t="shared" si="2"/>
        <v>19</v>
      </c>
      <c r="Y9" s="5">
        <f ca="1">MATCH(INDIRECT("X"&amp;ROW()),Minimas!$B$50:$B$56,-1)</f>
        <v>2</v>
      </c>
      <c r="Z9" s="5">
        <f ca="1">IF(INDIRECT("E"&amp;ROW())="H",MATCH(INDIRECT("K"&amp;ROW()),Minimas!$A$16:$A$29,1),MATCH(INDIRECT("K"&amp;ROW()),Minimas!$J$16:$J$27,1))</f>
        <v>5</v>
      </c>
      <c r="AA9" s="59">
        <v>36711</v>
      </c>
      <c r="AB9" s="70">
        <f ca="1">INDIRECT("T"&amp;ROW())-HLOOKUP(INDIRECT("V"&amp;ROW()),Minimas!$C$3:$CD$12,AB$4+1,FALSE)</f>
        <v>77</v>
      </c>
      <c r="AC9" s="70">
        <f ca="1">INDIRECT("T"&amp;ROW())-HLOOKUP(INDIRECT("V"&amp;ROW()),Minimas!$C$3:$CD$12,AC$4+1,FALSE)</f>
        <v>65</v>
      </c>
      <c r="AD9" s="70">
        <f ca="1">INDIRECT("T"&amp;ROW())-HLOOKUP(INDIRECT("V"&amp;ROW()),Minimas!$C$3:$CD$12,AD$4+1,FALSE)</f>
        <v>52</v>
      </c>
      <c r="AE9" s="70">
        <f ca="1">INDIRECT("T"&amp;ROW())-HLOOKUP(INDIRECT("V"&amp;ROW()),Minimas!$C$3:$CD$12,AE$4+1,FALSE)</f>
        <v>40</v>
      </c>
      <c r="AF9" s="70">
        <f ca="1">INDIRECT("T"&amp;ROW())-HLOOKUP(INDIRECT("V"&amp;ROW()),Minimas!$C$3:$CD$12,AF$4+1,FALSE)</f>
        <v>24</v>
      </c>
      <c r="AG9" s="70">
        <f ca="1">INDIRECT("T"&amp;ROW())-HLOOKUP(INDIRECT("V"&amp;ROW()),Minimas!$C$3:$CD$12,AG$4+1,FALSE)</f>
        <v>9</v>
      </c>
      <c r="AH9" s="70">
        <f ca="1">INDIRECT("T"&amp;ROW())-HLOOKUP(INDIRECT("V"&amp;ROW()),Minimas!$C$3:$CD$12,AH$4+1,FALSE)</f>
        <v>-11</v>
      </c>
      <c r="AI9" s="70">
        <f ca="1">INDIRECT("T"&amp;ROW())-HLOOKUP(INDIRECT("V"&amp;ROW()),Minimas!$C$3:$CD$12,AI$4+1,FALSE)</f>
        <v>-33</v>
      </c>
      <c r="AJ9" s="70">
        <f ca="1">INDIRECT("T"&amp;ROW())-HLOOKUP(INDIRECT("V"&amp;ROW()),Minimas!$C$3:$CD$12,AJ$4+1,FALSE)</f>
        <v>-63</v>
      </c>
      <c r="AK9" s="71">
        <f ca="1" t="shared" si="3"/>
        <v>6</v>
      </c>
      <c r="AM9" s="5" t="str">
        <f ca="1" t="shared" si="4"/>
        <v>NAT +</v>
      </c>
      <c r="AN9" s="5">
        <f ca="1" t="shared" si="5"/>
        <v>9</v>
      </c>
      <c r="AO9" s="86">
        <v>158.7750021725445</v>
      </c>
      <c r="AP9" s="100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2:123" s="7" customFormat="1" ht="30" customHeight="1" thickBot="1">
      <c r="B10" s="62"/>
      <c r="C10" s="65" t="s">
        <v>167</v>
      </c>
      <c r="D10" s="87">
        <v>4</v>
      </c>
      <c r="E10" s="64" t="s">
        <v>152</v>
      </c>
      <c r="F10" s="42" t="s">
        <v>168</v>
      </c>
      <c r="G10" s="43" t="s">
        <v>169</v>
      </c>
      <c r="H10" s="59">
        <f ca="1" t="shared" si="0"/>
        <v>1999</v>
      </c>
      <c r="I10" s="61" t="s">
        <v>170</v>
      </c>
      <c r="J10" s="60" t="s">
        <v>145</v>
      </c>
      <c r="K10" s="44">
        <v>54.3</v>
      </c>
      <c r="L10" s="67">
        <v>43</v>
      </c>
      <c r="M10" s="67">
        <v>47</v>
      </c>
      <c r="N10" s="67">
        <v>-50</v>
      </c>
      <c r="O10" s="45">
        <v>47</v>
      </c>
      <c r="P10" s="67">
        <v>55</v>
      </c>
      <c r="Q10" s="67">
        <v>60</v>
      </c>
      <c r="R10" s="67">
        <v>-65</v>
      </c>
      <c r="S10" s="45">
        <v>60</v>
      </c>
      <c r="T10" s="46">
        <v>107</v>
      </c>
      <c r="U10" s="68" t="str">
        <f ca="1" t="shared" si="1"/>
        <v>FED + 4</v>
      </c>
      <c r="V1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F55</v>
      </c>
      <c r="W10" s="69">
        <v>154.62375187004943</v>
      </c>
      <c r="X10" s="5">
        <f ca="1" t="shared" si="2"/>
        <v>20</v>
      </c>
      <c r="Y10" s="5">
        <f ca="1">MATCH(INDIRECT("X"&amp;ROW()),Minimas!$B$50:$B$56,-1)</f>
        <v>2</v>
      </c>
      <c r="Z10" s="5">
        <f ca="1">IF(INDIRECT("E"&amp;ROW())="H",MATCH(INDIRECT("K"&amp;ROW()),Minimas!$A$16:$A$29,1),MATCH(INDIRECT("K"&amp;ROW()),Minimas!$J$16:$J$27,1))</f>
        <v>5</v>
      </c>
      <c r="AA10" s="59">
        <v>36470</v>
      </c>
      <c r="AB10" s="70">
        <f ca="1">INDIRECT("T"&amp;ROW())-HLOOKUP(INDIRECT("V"&amp;ROW()),Minimas!$C$3:$CD$12,AB$4+1,FALSE)</f>
        <v>57</v>
      </c>
      <c r="AC10" s="70">
        <f ca="1">INDIRECT("T"&amp;ROW())-HLOOKUP(INDIRECT("V"&amp;ROW()),Minimas!$C$3:$CD$12,AC$4+1,FALSE)</f>
        <v>45</v>
      </c>
      <c r="AD10" s="70">
        <f ca="1">INDIRECT("T"&amp;ROW())-HLOOKUP(INDIRECT("V"&amp;ROW()),Minimas!$C$3:$CD$12,AD$4+1,FALSE)</f>
        <v>32</v>
      </c>
      <c r="AE10" s="70">
        <f ca="1">INDIRECT("T"&amp;ROW())-HLOOKUP(INDIRECT("V"&amp;ROW()),Minimas!$C$3:$CD$12,AE$4+1,FALSE)</f>
        <v>20</v>
      </c>
      <c r="AF10" s="70">
        <f ca="1">INDIRECT("T"&amp;ROW())-HLOOKUP(INDIRECT("V"&amp;ROW()),Minimas!$C$3:$CD$12,AF$4+1,FALSE)</f>
        <v>4</v>
      </c>
      <c r="AG10" s="70">
        <f ca="1">INDIRECT("T"&amp;ROW())-HLOOKUP(INDIRECT("V"&amp;ROW()),Minimas!$C$3:$CD$12,AG$4+1,FALSE)</f>
        <v>-11</v>
      </c>
      <c r="AH10" s="70">
        <f ca="1">INDIRECT("T"&amp;ROW())-HLOOKUP(INDIRECT("V"&amp;ROW()),Minimas!$C$3:$CD$12,AH$4+1,FALSE)</f>
        <v>-31</v>
      </c>
      <c r="AI10" s="70">
        <f ca="1">INDIRECT("T"&amp;ROW())-HLOOKUP(INDIRECT("V"&amp;ROW()),Minimas!$C$3:$CD$12,AI$4+1,FALSE)</f>
        <v>-53</v>
      </c>
      <c r="AJ10" s="70">
        <f ca="1">INDIRECT("T"&amp;ROW())-HLOOKUP(INDIRECT("V"&amp;ROW()),Minimas!$C$3:$CD$12,AJ$4+1,FALSE)</f>
        <v>-83</v>
      </c>
      <c r="AK10" s="71">
        <f ca="1" t="shared" si="3"/>
        <v>5</v>
      </c>
      <c r="AM10" s="5" t="str">
        <f ca="1" t="shared" si="4"/>
        <v>FED +</v>
      </c>
      <c r="AN10" s="5">
        <f ca="1" t="shared" si="5"/>
        <v>4</v>
      </c>
      <c r="AO10" s="86">
        <v>89.85958881167306</v>
      </c>
      <c r="AP10" s="100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</row>
    <row r="11" spans="2:123" s="10" customFormat="1" ht="30" customHeight="1" thickBot="1">
      <c r="B11" s="62"/>
      <c r="C11" s="65" t="s">
        <v>171</v>
      </c>
      <c r="D11" s="87">
        <v>5</v>
      </c>
      <c r="E11" s="64" t="s">
        <v>152</v>
      </c>
      <c r="F11" s="42" t="s">
        <v>172</v>
      </c>
      <c r="G11" s="43" t="s">
        <v>173</v>
      </c>
      <c r="H11" s="59">
        <f ca="1" t="shared" si="0"/>
        <v>1998</v>
      </c>
      <c r="I11" s="61" t="s">
        <v>174</v>
      </c>
      <c r="J11" s="60" t="s">
        <v>145</v>
      </c>
      <c r="K11" s="44">
        <v>50.4</v>
      </c>
      <c r="L11" s="67">
        <v>38</v>
      </c>
      <c r="M11" s="67">
        <v>41</v>
      </c>
      <c r="N11" s="67">
        <v>43</v>
      </c>
      <c r="O11" s="45">
        <v>43</v>
      </c>
      <c r="P11" s="67">
        <v>56</v>
      </c>
      <c r="Q11" s="67">
        <v>-60</v>
      </c>
      <c r="R11" s="67">
        <v>-60</v>
      </c>
      <c r="S11" s="45">
        <v>56</v>
      </c>
      <c r="T11" s="46">
        <v>99</v>
      </c>
      <c r="U11" s="68" t="str">
        <f ca="1" t="shared" si="1"/>
        <v>REG + 12</v>
      </c>
      <c r="V1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F55</v>
      </c>
      <c r="W11" s="69">
        <v>151.09924315810525</v>
      </c>
      <c r="X11" s="5">
        <f ca="1" t="shared" si="2"/>
        <v>21</v>
      </c>
      <c r="Y11" s="5">
        <f ca="1">MATCH(INDIRECT("X"&amp;ROW()),Minimas!$B$50:$B$56,-1)</f>
        <v>1</v>
      </c>
      <c r="Z11" s="5">
        <f ca="1">IF(INDIRECT("E"&amp;ROW())="H",MATCH(INDIRECT("K"&amp;ROW()),Minimas!$A$16:$A$29,1),MATCH(INDIRECT("K"&amp;ROW()),Minimas!$J$16:$J$27,1))</f>
        <v>5</v>
      </c>
      <c r="AA11" s="59">
        <v>35869</v>
      </c>
      <c r="AB11" s="70">
        <f ca="1">INDIRECT("T"&amp;ROW())-HLOOKUP(INDIRECT("V"&amp;ROW()),Minimas!$C$3:$CD$12,AB$4+1,FALSE)</f>
        <v>39</v>
      </c>
      <c r="AC11" s="70">
        <f ca="1">INDIRECT("T"&amp;ROW())-HLOOKUP(INDIRECT("V"&amp;ROW()),Minimas!$C$3:$CD$12,AC$4+1,FALSE)</f>
        <v>24</v>
      </c>
      <c r="AD11" s="70">
        <f ca="1">INDIRECT("T"&amp;ROW())-HLOOKUP(INDIRECT("V"&amp;ROW()),Minimas!$C$3:$CD$12,AD$4+1,FALSE)</f>
        <v>12</v>
      </c>
      <c r="AE11" s="70">
        <f ca="1">INDIRECT("T"&amp;ROW())-HLOOKUP(INDIRECT("V"&amp;ROW()),Minimas!$C$3:$CD$12,AE$4+1,FALSE)</f>
        <v>-3</v>
      </c>
      <c r="AF11" s="70">
        <f ca="1">INDIRECT("T"&amp;ROW())-HLOOKUP(INDIRECT("V"&amp;ROW()),Minimas!$C$3:$CD$12,AF$4+1,FALSE)</f>
        <v>-24</v>
      </c>
      <c r="AG11" s="70">
        <f ca="1">INDIRECT("T"&amp;ROW())-HLOOKUP(INDIRECT("V"&amp;ROW()),Minimas!$C$3:$CD$12,AG$4+1,FALSE)</f>
        <v>-39</v>
      </c>
      <c r="AH11" s="70">
        <f ca="1">INDIRECT("T"&amp;ROW())-HLOOKUP(INDIRECT("V"&amp;ROW()),Minimas!$C$3:$CD$12,AH$4+1,FALSE)</f>
        <v>-56</v>
      </c>
      <c r="AI11" s="70">
        <f ca="1">INDIRECT("T"&amp;ROW())-HLOOKUP(INDIRECT("V"&amp;ROW()),Minimas!$C$3:$CD$12,AI$4+1,FALSE)</f>
        <v>-76</v>
      </c>
      <c r="AJ11" s="70">
        <f ca="1">INDIRECT("T"&amp;ROW())-HLOOKUP(INDIRECT("V"&amp;ROW()),Minimas!$C$3:$CD$12,AJ$4+1,FALSE)</f>
        <v>-91</v>
      </c>
      <c r="AK11" s="71">
        <f ca="1" t="shared" si="3"/>
        <v>3</v>
      </c>
      <c r="AM11" s="5" t="str">
        <f ca="1" t="shared" si="4"/>
        <v>REG +</v>
      </c>
      <c r="AN11" s="5">
        <f ca="1" t="shared" si="5"/>
        <v>12</v>
      </c>
      <c r="AO11" s="86">
        <v>69.41511710297699</v>
      </c>
      <c r="AP11" s="100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</row>
    <row r="12" spans="2:123" s="10" customFormat="1" ht="30" customHeight="1" thickBot="1">
      <c r="B12" s="62"/>
      <c r="C12" s="65" t="s">
        <v>175</v>
      </c>
      <c r="D12" s="87">
        <v>6</v>
      </c>
      <c r="E12" s="64" t="s">
        <v>152</v>
      </c>
      <c r="F12" s="42" t="s">
        <v>176</v>
      </c>
      <c r="G12" s="43" t="s">
        <v>177</v>
      </c>
      <c r="H12" s="59">
        <f ca="1" t="shared" si="0"/>
        <v>1998</v>
      </c>
      <c r="I12" s="61" t="s">
        <v>159</v>
      </c>
      <c r="J12" s="60" t="s">
        <v>145</v>
      </c>
      <c r="K12" s="44">
        <v>52.2</v>
      </c>
      <c r="L12" s="67">
        <v>30</v>
      </c>
      <c r="M12" s="67">
        <v>35</v>
      </c>
      <c r="N12" s="67">
        <v>-38</v>
      </c>
      <c r="O12" s="45">
        <v>35</v>
      </c>
      <c r="P12" s="67">
        <v>48</v>
      </c>
      <c r="Q12" s="67">
        <v>51</v>
      </c>
      <c r="R12" s="67">
        <v>55</v>
      </c>
      <c r="S12" s="45">
        <v>55</v>
      </c>
      <c r="T12" s="46">
        <v>90</v>
      </c>
      <c r="U12" s="68" t="str">
        <f ca="1" t="shared" si="1"/>
        <v>REG + 3</v>
      </c>
      <c r="V1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F55</v>
      </c>
      <c r="W12" s="69">
        <v>133.81057044827227</v>
      </c>
      <c r="X12" s="5">
        <f ca="1" t="shared" si="2"/>
        <v>21</v>
      </c>
      <c r="Y12" s="5">
        <f ca="1">MATCH(INDIRECT("X"&amp;ROW()),Minimas!$B$50:$B$56,-1)</f>
        <v>1</v>
      </c>
      <c r="Z12" s="5">
        <f ca="1">IF(INDIRECT("E"&amp;ROW())="H",MATCH(INDIRECT("K"&amp;ROW()),Minimas!$A$16:$A$29,1),MATCH(INDIRECT("K"&amp;ROW()),Minimas!$J$16:$J$27,1))</f>
        <v>5</v>
      </c>
      <c r="AA12" s="59">
        <v>35830</v>
      </c>
      <c r="AB12" s="70">
        <f ca="1">INDIRECT("T"&amp;ROW())-HLOOKUP(INDIRECT("V"&amp;ROW()),Minimas!$C$3:$CD$12,AB$4+1,FALSE)</f>
        <v>30</v>
      </c>
      <c r="AC12" s="70">
        <f ca="1">INDIRECT("T"&amp;ROW())-HLOOKUP(INDIRECT("V"&amp;ROW()),Minimas!$C$3:$CD$12,AC$4+1,FALSE)</f>
        <v>15</v>
      </c>
      <c r="AD12" s="70">
        <f ca="1">INDIRECT("T"&amp;ROW())-HLOOKUP(INDIRECT("V"&amp;ROW()),Minimas!$C$3:$CD$12,AD$4+1,FALSE)</f>
        <v>3</v>
      </c>
      <c r="AE12" s="70">
        <f ca="1">INDIRECT("T"&amp;ROW())-HLOOKUP(INDIRECT("V"&amp;ROW()),Minimas!$C$3:$CD$12,AE$4+1,FALSE)</f>
        <v>-12</v>
      </c>
      <c r="AF12" s="70">
        <f ca="1">INDIRECT("T"&amp;ROW())-HLOOKUP(INDIRECT("V"&amp;ROW()),Minimas!$C$3:$CD$12,AF$4+1,FALSE)</f>
        <v>-33</v>
      </c>
      <c r="AG12" s="70">
        <f ca="1">INDIRECT("T"&amp;ROW())-HLOOKUP(INDIRECT("V"&amp;ROW()),Minimas!$C$3:$CD$12,AG$4+1,FALSE)</f>
        <v>-48</v>
      </c>
      <c r="AH12" s="70">
        <f ca="1">INDIRECT("T"&amp;ROW())-HLOOKUP(INDIRECT("V"&amp;ROW()),Minimas!$C$3:$CD$12,AH$4+1,FALSE)</f>
        <v>-65</v>
      </c>
      <c r="AI12" s="70">
        <f ca="1">INDIRECT("T"&amp;ROW())-HLOOKUP(INDIRECT("V"&amp;ROW()),Minimas!$C$3:$CD$12,AI$4+1,FALSE)</f>
        <v>-85</v>
      </c>
      <c r="AJ12" s="70">
        <f ca="1">INDIRECT("T"&amp;ROW())-HLOOKUP(INDIRECT("V"&amp;ROW()),Minimas!$C$3:$CD$12,AJ$4+1,FALSE)</f>
        <v>-100</v>
      </c>
      <c r="AK12" s="71">
        <f ca="1" t="shared" si="3"/>
        <v>3</v>
      </c>
      <c r="AM12" s="5" t="str">
        <f ca="1" t="shared" si="4"/>
        <v>REG +</v>
      </c>
      <c r="AN12" s="5">
        <f ca="1" t="shared" si="5"/>
        <v>3</v>
      </c>
      <c r="AO12" s="86">
        <v>50.576705539046294</v>
      </c>
      <c r="AP12" s="10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</row>
    <row r="13" spans="2:123" s="10" customFormat="1" ht="30" customHeight="1" thickBot="1">
      <c r="B13" s="62"/>
      <c r="C13" s="65" t="s">
        <v>178</v>
      </c>
      <c r="D13" s="87">
        <v>7</v>
      </c>
      <c r="E13" s="64" t="s">
        <v>152</v>
      </c>
      <c r="F13" s="42" t="s">
        <v>179</v>
      </c>
      <c r="G13" s="43" t="s">
        <v>180</v>
      </c>
      <c r="H13" s="59">
        <f ca="1" t="shared" si="0"/>
        <v>1999</v>
      </c>
      <c r="I13" s="61" t="s">
        <v>181</v>
      </c>
      <c r="J13" s="60" t="s">
        <v>145</v>
      </c>
      <c r="K13" s="44">
        <v>52.9</v>
      </c>
      <c r="L13" s="67">
        <v>30</v>
      </c>
      <c r="M13" s="67">
        <v>35</v>
      </c>
      <c r="N13" s="67">
        <v>-40</v>
      </c>
      <c r="O13" s="45">
        <v>35</v>
      </c>
      <c r="P13" s="67">
        <v>40</v>
      </c>
      <c r="Q13" s="67">
        <v>45</v>
      </c>
      <c r="R13" s="67">
        <v>48</v>
      </c>
      <c r="S13" s="45">
        <v>48</v>
      </c>
      <c r="T13" s="46">
        <v>83</v>
      </c>
      <c r="U13" s="68" t="str">
        <f ca="1" t="shared" si="1"/>
        <v>REG + 8</v>
      </c>
      <c r="V1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F55</v>
      </c>
      <c r="W13" s="69">
        <v>122.20858329895937</v>
      </c>
      <c r="X13" s="5">
        <f ca="1" t="shared" si="2"/>
        <v>20</v>
      </c>
      <c r="Y13" s="5">
        <f ca="1">MATCH(INDIRECT("X"&amp;ROW()),Minimas!$B$50:$B$56,-1)</f>
        <v>2</v>
      </c>
      <c r="Z13" s="5">
        <f ca="1">IF(INDIRECT("E"&amp;ROW())="H",MATCH(INDIRECT("K"&amp;ROW()),Minimas!$A$16:$A$29,1),MATCH(INDIRECT("K"&amp;ROW()),Minimas!$J$16:$J$27,1))</f>
        <v>5</v>
      </c>
      <c r="AA13" s="59">
        <v>36466</v>
      </c>
      <c r="AB13" s="70">
        <f ca="1">INDIRECT("T"&amp;ROW())-HLOOKUP(INDIRECT("V"&amp;ROW()),Minimas!$C$3:$CD$12,AB$4+1,FALSE)</f>
        <v>33</v>
      </c>
      <c r="AC13" s="70">
        <f ca="1">INDIRECT("T"&amp;ROW())-HLOOKUP(INDIRECT("V"&amp;ROW()),Minimas!$C$3:$CD$12,AC$4+1,FALSE)</f>
        <v>21</v>
      </c>
      <c r="AD13" s="70">
        <f ca="1">INDIRECT("T"&amp;ROW())-HLOOKUP(INDIRECT("V"&amp;ROW()),Minimas!$C$3:$CD$12,AD$4+1,FALSE)</f>
        <v>8</v>
      </c>
      <c r="AE13" s="70">
        <f ca="1">INDIRECT("T"&amp;ROW())-HLOOKUP(INDIRECT("V"&amp;ROW()),Minimas!$C$3:$CD$12,AE$4+1,FALSE)</f>
        <v>-4</v>
      </c>
      <c r="AF13" s="70">
        <f ca="1">INDIRECT("T"&amp;ROW())-HLOOKUP(INDIRECT("V"&amp;ROW()),Minimas!$C$3:$CD$12,AF$4+1,FALSE)</f>
        <v>-20</v>
      </c>
      <c r="AG13" s="70">
        <f ca="1">INDIRECT("T"&amp;ROW())-HLOOKUP(INDIRECT("V"&amp;ROW()),Minimas!$C$3:$CD$12,AG$4+1,FALSE)</f>
        <v>-35</v>
      </c>
      <c r="AH13" s="70">
        <f ca="1">INDIRECT("T"&amp;ROW())-HLOOKUP(INDIRECT("V"&amp;ROW()),Minimas!$C$3:$CD$12,AH$4+1,FALSE)</f>
        <v>-55</v>
      </c>
      <c r="AI13" s="70">
        <f ca="1">INDIRECT("T"&amp;ROW())-HLOOKUP(INDIRECT("V"&amp;ROW()),Minimas!$C$3:$CD$12,AI$4+1,FALSE)</f>
        <v>-77</v>
      </c>
      <c r="AJ13" s="70">
        <f ca="1">INDIRECT("T"&amp;ROW())-HLOOKUP(INDIRECT("V"&amp;ROW()),Minimas!$C$3:$CD$12,AJ$4+1,FALSE)</f>
        <v>-107</v>
      </c>
      <c r="AK13" s="71">
        <f ca="1" t="shared" si="3"/>
        <v>3</v>
      </c>
      <c r="AM13" s="5" t="str">
        <f ca="1" t="shared" si="4"/>
        <v>REG +</v>
      </c>
      <c r="AN13" s="5">
        <f ca="1" t="shared" si="5"/>
        <v>8</v>
      </c>
      <c r="AO13" s="86">
        <v>38.648876335692556</v>
      </c>
      <c r="AP13" s="100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</row>
    <row r="14" spans="2:123" ht="30" customHeight="1" thickBot="1">
      <c r="B14" s="62"/>
      <c r="C14" s="65" t="s">
        <v>182</v>
      </c>
      <c r="D14" s="87">
        <v>8</v>
      </c>
      <c r="E14" s="64" t="s">
        <v>152</v>
      </c>
      <c r="F14" s="42" t="s">
        <v>183</v>
      </c>
      <c r="G14" s="43" t="s">
        <v>184</v>
      </c>
      <c r="H14" s="59">
        <f ca="1" t="shared" si="0"/>
        <v>1999</v>
      </c>
      <c r="I14" s="61" t="s">
        <v>159</v>
      </c>
      <c r="J14" s="60" t="s">
        <v>145</v>
      </c>
      <c r="K14" s="44">
        <v>49.8</v>
      </c>
      <c r="L14" s="67">
        <v>32</v>
      </c>
      <c r="M14" s="67">
        <v>-35</v>
      </c>
      <c r="N14" s="67">
        <v>35</v>
      </c>
      <c r="O14" s="45">
        <v>35</v>
      </c>
      <c r="P14" s="67">
        <v>43</v>
      </c>
      <c r="Q14" s="67">
        <v>-46</v>
      </c>
      <c r="R14" s="67">
        <v>46</v>
      </c>
      <c r="S14" s="45">
        <v>46</v>
      </c>
      <c r="T14" s="46">
        <v>81</v>
      </c>
      <c r="U14" s="68" t="str">
        <f ca="1" t="shared" si="1"/>
        <v>REG + 6</v>
      </c>
      <c r="V1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F55</v>
      </c>
      <c r="W14" s="69">
        <v>124.76103637671483</v>
      </c>
      <c r="X14" s="5">
        <f ca="1" t="shared" si="2"/>
        <v>20</v>
      </c>
      <c r="Y14" s="5">
        <f ca="1">MATCH(INDIRECT("X"&amp;ROW()),Minimas!$B$50:$B$56,-1)</f>
        <v>2</v>
      </c>
      <c r="Z14" s="5">
        <f ca="1">IF(INDIRECT("E"&amp;ROW())="H",MATCH(INDIRECT("K"&amp;ROW()),Minimas!$A$16:$A$29,1),MATCH(INDIRECT("K"&amp;ROW()),Minimas!$J$16:$J$27,1))</f>
        <v>5</v>
      </c>
      <c r="AA14" s="59">
        <v>36488</v>
      </c>
      <c r="AB14" s="70">
        <f ca="1">INDIRECT("T"&amp;ROW())-HLOOKUP(INDIRECT("V"&amp;ROW()),Minimas!$C$3:$CD$12,AB$4+1,FALSE)</f>
        <v>31</v>
      </c>
      <c r="AC14" s="70">
        <f ca="1">INDIRECT("T"&amp;ROW())-HLOOKUP(INDIRECT("V"&amp;ROW()),Minimas!$C$3:$CD$12,AC$4+1,FALSE)</f>
        <v>19</v>
      </c>
      <c r="AD14" s="70">
        <f ca="1">INDIRECT("T"&amp;ROW())-HLOOKUP(INDIRECT("V"&amp;ROW()),Minimas!$C$3:$CD$12,AD$4+1,FALSE)</f>
        <v>6</v>
      </c>
      <c r="AE14" s="70">
        <f ca="1">INDIRECT("T"&amp;ROW())-HLOOKUP(INDIRECT("V"&amp;ROW()),Minimas!$C$3:$CD$12,AE$4+1,FALSE)</f>
        <v>-6</v>
      </c>
      <c r="AF14" s="70">
        <f ca="1">INDIRECT("T"&amp;ROW())-HLOOKUP(INDIRECT("V"&amp;ROW()),Minimas!$C$3:$CD$12,AF$4+1,FALSE)</f>
        <v>-22</v>
      </c>
      <c r="AG14" s="70">
        <f ca="1">INDIRECT("T"&amp;ROW())-HLOOKUP(INDIRECT("V"&amp;ROW()),Minimas!$C$3:$CD$12,AG$4+1,FALSE)</f>
        <v>-37</v>
      </c>
      <c r="AH14" s="70">
        <f ca="1">INDIRECT("T"&amp;ROW())-HLOOKUP(INDIRECT("V"&amp;ROW()),Minimas!$C$3:$CD$12,AH$4+1,FALSE)</f>
        <v>-57</v>
      </c>
      <c r="AI14" s="70">
        <f ca="1">INDIRECT("T"&amp;ROW())-HLOOKUP(INDIRECT("V"&amp;ROW()),Minimas!$C$3:$CD$12,AI$4+1,FALSE)</f>
        <v>-79</v>
      </c>
      <c r="AJ14" s="70">
        <f ca="1">INDIRECT("T"&amp;ROW())-HLOOKUP(INDIRECT("V"&amp;ROW()),Minimas!$C$3:$CD$12,AJ$4+1,FALSE)</f>
        <v>-109</v>
      </c>
      <c r="AK14" s="71">
        <f ca="1" t="shared" si="3"/>
        <v>3</v>
      </c>
      <c r="AM14" s="5" t="str">
        <f ca="1" t="shared" si="4"/>
        <v>REG +</v>
      </c>
      <c r="AN14" s="5">
        <f ca="1" t="shared" si="5"/>
        <v>6</v>
      </c>
      <c r="AO14" s="86">
        <v>35.64079997664783</v>
      </c>
      <c r="AP14" s="100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2:123" ht="30" customHeight="1" thickBot="1">
      <c r="B15" s="62"/>
      <c r="C15" s="65" t="s">
        <v>185</v>
      </c>
      <c r="D15" s="87">
        <v>9</v>
      </c>
      <c r="E15" s="64" t="s">
        <v>152</v>
      </c>
      <c r="F15" s="42" t="s">
        <v>186</v>
      </c>
      <c r="G15" s="43" t="s">
        <v>187</v>
      </c>
      <c r="H15" s="59">
        <f ca="1" t="shared" si="0"/>
        <v>1998</v>
      </c>
      <c r="I15" s="61" t="s">
        <v>181</v>
      </c>
      <c r="J15" s="60" t="s">
        <v>145</v>
      </c>
      <c r="K15" s="44">
        <v>54.4</v>
      </c>
      <c r="L15" s="67">
        <v>-28</v>
      </c>
      <c r="M15" s="67">
        <v>30</v>
      </c>
      <c r="N15" s="67">
        <v>-36</v>
      </c>
      <c r="O15" s="45">
        <v>30</v>
      </c>
      <c r="P15" s="67">
        <v>-40</v>
      </c>
      <c r="Q15" s="67">
        <v>40</v>
      </c>
      <c r="R15" s="67">
        <v>-43</v>
      </c>
      <c r="S15" s="45">
        <v>40</v>
      </c>
      <c r="T15" s="46">
        <v>70</v>
      </c>
      <c r="U15" s="68" t="str">
        <f ca="1" t="shared" si="1"/>
        <v>DEB 10</v>
      </c>
      <c r="V1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F55</v>
      </c>
      <c r="W15" s="69">
        <v>101.02417669645384</v>
      </c>
      <c r="X15" s="5">
        <f ca="1" t="shared" si="2"/>
        <v>21</v>
      </c>
      <c r="Y15" s="5">
        <f ca="1">MATCH(INDIRECT("X"&amp;ROW()),Minimas!$B$50:$B$56,-1)</f>
        <v>1</v>
      </c>
      <c r="Z15" s="5">
        <f ca="1">IF(INDIRECT("E"&amp;ROW())="H",MATCH(INDIRECT("K"&amp;ROW()),Minimas!$A$16:$A$29,1),MATCH(INDIRECT("K"&amp;ROW()),Minimas!$J$16:$J$27,1))</f>
        <v>5</v>
      </c>
      <c r="AA15" s="59">
        <v>35946</v>
      </c>
      <c r="AB15" s="70">
        <f ca="1">INDIRECT("T"&amp;ROW())-HLOOKUP(INDIRECT("V"&amp;ROW()),Minimas!$C$3:$CD$12,AB$4+1,FALSE)</f>
        <v>10</v>
      </c>
      <c r="AC15" s="70">
        <f ca="1">INDIRECT("T"&amp;ROW())-HLOOKUP(INDIRECT("V"&amp;ROW()),Minimas!$C$3:$CD$12,AC$4+1,FALSE)</f>
        <v>-5</v>
      </c>
      <c r="AD15" s="70">
        <f ca="1">INDIRECT("T"&amp;ROW())-HLOOKUP(INDIRECT("V"&amp;ROW()),Minimas!$C$3:$CD$12,AD$4+1,FALSE)</f>
        <v>-17</v>
      </c>
      <c r="AE15" s="70">
        <f ca="1">INDIRECT("T"&amp;ROW())-HLOOKUP(INDIRECT("V"&amp;ROW()),Minimas!$C$3:$CD$12,AE$4+1,FALSE)</f>
        <v>-32</v>
      </c>
      <c r="AF15" s="70">
        <f ca="1">INDIRECT("T"&amp;ROW())-HLOOKUP(INDIRECT("V"&amp;ROW()),Minimas!$C$3:$CD$12,AF$4+1,FALSE)</f>
        <v>-53</v>
      </c>
      <c r="AG15" s="70">
        <f ca="1">INDIRECT("T"&amp;ROW())-HLOOKUP(INDIRECT("V"&amp;ROW()),Minimas!$C$3:$CD$12,AG$4+1,FALSE)</f>
        <v>-68</v>
      </c>
      <c r="AH15" s="70">
        <f ca="1">INDIRECT("T"&amp;ROW())-HLOOKUP(INDIRECT("V"&amp;ROW()),Minimas!$C$3:$CD$12,AH$4+1,FALSE)</f>
        <v>-85</v>
      </c>
      <c r="AI15" s="70">
        <f ca="1">INDIRECT("T"&amp;ROW())-HLOOKUP(INDIRECT("V"&amp;ROW()),Minimas!$C$3:$CD$12,AI$4+1,FALSE)</f>
        <v>-105</v>
      </c>
      <c r="AJ15" s="70">
        <f ca="1">INDIRECT("T"&amp;ROW())-HLOOKUP(INDIRECT("V"&amp;ROW()),Minimas!$C$3:$CD$12,AJ$4+1,FALSE)</f>
        <v>-120</v>
      </c>
      <c r="AK15" s="71">
        <f ca="1" t="shared" si="3"/>
        <v>1</v>
      </c>
      <c r="AM15" s="5" t="str">
        <f ca="1" t="shared" si="4"/>
        <v>DEB</v>
      </c>
      <c r="AN15" s="5">
        <f ca="1" t="shared" si="5"/>
        <v>10</v>
      </c>
      <c r="AO15" s="86">
        <v>21.947267525598416</v>
      </c>
      <c r="AP15" s="100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</row>
    <row r="16" spans="2:123" ht="30" customHeight="1" thickBot="1">
      <c r="B16" s="62"/>
      <c r="C16" s="65" t="s">
        <v>188</v>
      </c>
      <c r="D16" s="90">
        <v>1</v>
      </c>
      <c r="E16" s="64" t="s">
        <v>152</v>
      </c>
      <c r="F16" s="134" t="s">
        <v>189</v>
      </c>
      <c r="G16" s="135" t="s">
        <v>190</v>
      </c>
      <c r="H16" s="59">
        <f ca="1" t="shared" si="0"/>
        <v>1991</v>
      </c>
      <c r="I16" s="61" t="s">
        <v>191</v>
      </c>
      <c r="J16" s="60" t="s">
        <v>145</v>
      </c>
      <c r="K16" s="44">
        <v>57.1</v>
      </c>
      <c r="L16" s="67">
        <v>50</v>
      </c>
      <c r="M16" s="67">
        <v>-54</v>
      </c>
      <c r="N16" s="67">
        <v>54</v>
      </c>
      <c r="O16" s="45">
        <v>54</v>
      </c>
      <c r="P16" s="67">
        <v>65</v>
      </c>
      <c r="Q16" s="67">
        <v>69</v>
      </c>
      <c r="R16" s="67">
        <v>-72</v>
      </c>
      <c r="S16" s="45">
        <v>69</v>
      </c>
      <c r="T16" s="46">
        <v>123</v>
      </c>
      <c r="U16" s="68" t="str">
        <f ca="1" t="shared" si="1"/>
        <v>IRG + 16</v>
      </c>
      <c r="V1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16" s="69">
        <v>171.67756901799396</v>
      </c>
      <c r="X16" s="5">
        <f ca="1" t="shared" si="2"/>
        <v>28</v>
      </c>
      <c r="Y16" s="5">
        <f ca="1">MATCH(INDIRECT("X"&amp;ROW()),Minimas!$B$50:$B$56,-1)</f>
        <v>1</v>
      </c>
      <c r="Z16" s="5">
        <f ca="1">IF(INDIRECT("E"&amp;ROW())="H",MATCH(INDIRECT("K"&amp;ROW()),Minimas!$A$16:$A$29,1),MATCH(INDIRECT("K"&amp;ROW()),Minimas!$J$16:$J$27,1))</f>
        <v>6</v>
      </c>
      <c r="AA16" s="59">
        <v>33499</v>
      </c>
      <c r="AB16" s="70">
        <f ca="1">INDIRECT("T"&amp;ROW())-HLOOKUP(INDIRECT("V"&amp;ROW()),Minimas!$C$3:$CD$12,AB$4+1,FALSE)</f>
        <v>58</v>
      </c>
      <c r="AC16" s="70">
        <f ca="1">INDIRECT("T"&amp;ROW())-HLOOKUP(INDIRECT("V"&amp;ROW()),Minimas!$C$3:$CD$12,AC$4+1,FALSE)</f>
        <v>43</v>
      </c>
      <c r="AD16" s="70">
        <f ca="1">INDIRECT("T"&amp;ROW())-HLOOKUP(INDIRECT("V"&amp;ROW()),Minimas!$C$3:$CD$12,AD$4+1,FALSE)</f>
        <v>31</v>
      </c>
      <c r="AE16" s="70">
        <f ca="1">INDIRECT("T"&amp;ROW())-HLOOKUP(INDIRECT("V"&amp;ROW()),Minimas!$C$3:$CD$12,AE$4+1,FALSE)</f>
        <v>16</v>
      </c>
      <c r="AF16" s="70">
        <f ca="1">INDIRECT("T"&amp;ROW())-HLOOKUP(INDIRECT("V"&amp;ROW()),Minimas!$C$3:$CD$12,AF$4+1,FALSE)</f>
        <v>-7</v>
      </c>
      <c r="AG16" s="70">
        <f ca="1">INDIRECT("T"&amp;ROW())-HLOOKUP(INDIRECT("V"&amp;ROW()),Minimas!$C$3:$CD$12,AG$4+1,FALSE)</f>
        <v>-22</v>
      </c>
      <c r="AH16" s="70">
        <f ca="1">INDIRECT("T"&amp;ROW())-HLOOKUP(INDIRECT("V"&amp;ROW()),Minimas!$C$3:$CD$12,AH$4+1,FALSE)</f>
        <v>-42</v>
      </c>
      <c r="AI16" s="70">
        <f ca="1">INDIRECT("T"&amp;ROW())-HLOOKUP(INDIRECT("V"&amp;ROW()),Minimas!$C$3:$CD$12,AI$4+1,FALSE)</f>
        <v>-62</v>
      </c>
      <c r="AJ16" s="70">
        <f ca="1">INDIRECT("T"&amp;ROW())-HLOOKUP(INDIRECT("V"&amp;ROW()),Minimas!$C$3:$CD$12,AJ$4+1,FALSE)</f>
        <v>-77</v>
      </c>
      <c r="AK16" s="71">
        <f ca="1" t="shared" si="3"/>
        <v>4</v>
      </c>
      <c r="AM16" s="5" t="str">
        <f ca="1" t="shared" si="4"/>
        <v>IRG +</v>
      </c>
      <c r="AN16" s="5">
        <f ca="1" t="shared" si="5"/>
        <v>16</v>
      </c>
      <c r="AO16" s="86">
        <v>121.4880357074648</v>
      </c>
      <c r="AP16" s="101" t="s">
        <v>387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</row>
    <row r="17" spans="2:123" s="10" customFormat="1" ht="30" customHeight="1" thickBot="1">
      <c r="B17" s="62"/>
      <c r="C17" s="65" t="s">
        <v>192</v>
      </c>
      <c r="D17" s="90">
        <v>2</v>
      </c>
      <c r="E17" s="64" t="s">
        <v>152</v>
      </c>
      <c r="F17" s="42" t="s">
        <v>193</v>
      </c>
      <c r="G17" s="43" t="s">
        <v>194</v>
      </c>
      <c r="H17" s="59">
        <f ca="1" t="shared" si="0"/>
        <v>1997</v>
      </c>
      <c r="I17" s="61" t="s">
        <v>195</v>
      </c>
      <c r="J17" s="60" t="s">
        <v>145</v>
      </c>
      <c r="K17" s="44">
        <v>58.1</v>
      </c>
      <c r="L17" s="67">
        <v>47</v>
      </c>
      <c r="M17" s="67">
        <v>50</v>
      </c>
      <c r="N17" s="67">
        <v>-53</v>
      </c>
      <c r="O17" s="45">
        <v>50</v>
      </c>
      <c r="P17" s="67">
        <v>68</v>
      </c>
      <c r="Q17" s="67">
        <v>72</v>
      </c>
      <c r="R17" s="67">
        <v>-75</v>
      </c>
      <c r="S17" s="45">
        <v>72</v>
      </c>
      <c r="T17" s="46">
        <v>122</v>
      </c>
      <c r="U17" s="68" t="str">
        <f ca="1" t="shared" si="1"/>
        <v>IRG + 15</v>
      </c>
      <c r="V1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17" s="69">
        <v>168.3190792211739</v>
      </c>
      <c r="X17" s="5">
        <f ca="1" t="shared" si="2"/>
        <v>22</v>
      </c>
      <c r="Y17" s="5">
        <f ca="1">MATCH(INDIRECT("X"&amp;ROW()),Minimas!$B$50:$B$56,-1)</f>
        <v>1</v>
      </c>
      <c r="Z17" s="5">
        <f ca="1">IF(INDIRECT("E"&amp;ROW())="H",MATCH(INDIRECT("K"&amp;ROW()),Minimas!$A$16:$A$29,1),MATCH(INDIRECT("K"&amp;ROW()),Minimas!$J$16:$J$27,1))</f>
        <v>6</v>
      </c>
      <c r="AA17" s="59">
        <v>35628</v>
      </c>
      <c r="AB17" s="70">
        <f ca="1">INDIRECT("T"&amp;ROW())-HLOOKUP(INDIRECT("V"&amp;ROW()),Minimas!$C$3:$CD$12,AB$4+1,FALSE)</f>
        <v>57</v>
      </c>
      <c r="AC17" s="70">
        <f ca="1">INDIRECT("T"&amp;ROW())-HLOOKUP(INDIRECT("V"&amp;ROW()),Minimas!$C$3:$CD$12,AC$4+1,FALSE)</f>
        <v>42</v>
      </c>
      <c r="AD17" s="70">
        <f ca="1">INDIRECT("T"&amp;ROW())-HLOOKUP(INDIRECT("V"&amp;ROW()),Minimas!$C$3:$CD$12,AD$4+1,FALSE)</f>
        <v>30</v>
      </c>
      <c r="AE17" s="70">
        <f ca="1">INDIRECT("T"&amp;ROW())-HLOOKUP(INDIRECT("V"&amp;ROW()),Minimas!$C$3:$CD$12,AE$4+1,FALSE)</f>
        <v>15</v>
      </c>
      <c r="AF17" s="70">
        <f ca="1">INDIRECT("T"&amp;ROW())-HLOOKUP(INDIRECT("V"&amp;ROW()),Minimas!$C$3:$CD$12,AF$4+1,FALSE)</f>
        <v>-8</v>
      </c>
      <c r="AG17" s="70">
        <f ca="1">INDIRECT("T"&amp;ROW())-HLOOKUP(INDIRECT("V"&amp;ROW()),Minimas!$C$3:$CD$12,AG$4+1,FALSE)</f>
        <v>-23</v>
      </c>
      <c r="AH17" s="70">
        <f ca="1">INDIRECT("T"&amp;ROW())-HLOOKUP(INDIRECT("V"&amp;ROW()),Minimas!$C$3:$CD$12,AH$4+1,FALSE)</f>
        <v>-43</v>
      </c>
      <c r="AI17" s="70">
        <f ca="1">INDIRECT("T"&amp;ROW())-HLOOKUP(INDIRECT("V"&amp;ROW()),Minimas!$C$3:$CD$12,AI$4+1,FALSE)</f>
        <v>-63</v>
      </c>
      <c r="AJ17" s="70">
        <f ca="1">INDIRECT("T"&amp;ROW())-HLOOKUP(INDIRECT("V"&amp;ROW()),Minimas!$C$3:$CD$12,AJ$4+1,FALSE)</f>
        <v>-78</v>
      </c>
      <c r="AK17" s="71">
        <f ca="1" t="shared" si="3"/>
        <v>4</v>
      </c>
      <c r="AM17" s="5" t="str">
        <f ca="1" t="shared" si="4"/>
        <v>IRG +</v>
      </c>
      <c r="AN17" s="5">
        <f ca="1" t="shared" si="5"/>
        <v>15</v>
      </c>
      <c r="AO17" s="86">
        <v>118.23780054695102</v>
      </c>
      <c r="AP17" s="101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</row>
    <row r="18" spans="2:123" ht="30" customHeight="1" thickBot="1">
      <c r="B18" s="62"/>
      <c r="C18" s="65" t="s">
        <v>196</v>
      </c>
      <c r="D18" s="90">
        <v>3</v>
      </c>
      <c r="E18" s="64" t="s">
        <v>152</v>
      </c>
      <c r="F18" s="42" t="s">
        <v>197</v>
      </c>
      <c r="G18" s="43" t="s">
        <v>198</v>
      </c>
      <c r="H18" s="59">
        <f ca="1" t="shared" si="0"/>
        <v>1995</v>
      </c>
      <c r="I18" s="61" t="s">
        <v>181</v>
      </c>
      <c r="J18" s="60" t="s">
        <v>145</v>
      </c>
      <c r="K18" s="44">
        <v>58.3</v>
      </c>
      <c r="L18" s="67">
        <v>51</v>
      </c>
      <c r="M18" s="67">
        <v>-54</v>
      </c>
      <c r="N18" s="67">
        <v>-56</v>
      </c>
      <c r="O18" s="45">
        <v>51</v>
      </c>
      <c r="P18" s="67">
        <v>63</v>
      </c>
      <c r="Q18" s="67">
        <v>67</v>
      </c>
      <c r="R18" s="67">
        <v>-72</v>
      </c>
      <c r="S18" s="45">
        <v>67</v>
      </c>
      <c r="T18" s="46">
        <v>118</v>
      </c>
      <c r="U18" s="68" t="str">
        <f ca="1" t="shared" si="1"/>
        <v>IRG + 11</v>
      </c>
      <c r="V1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18" s="69">
        <v>162.43121949272245</v>
      </c>
      <c r="X18" s="5">
        <f ca="1" t="shared" si="2"/>
        <v>24</v>
      </c>
      <c r="Y18" s="5">
        <f ca="1">MATCH(INDIRECT("X"&amp;ROW()),Minimas!$B$50:$B$56,-1)</f>
        <v>1</v>
      </c>
      <c r="Z18" s="5">
        <f ca="1">IF(INDIRECT("E"&amp;ROW())="H",MATCH(INDIRECT("K"&amp;ROW()),Minimas!$A$16:$A$29,1),MATCH(INDIRECT("K"&amp;ROW()),Minimas!$J$16:$J$27,1))</f>
        <v>6</v>
      </c>
      <c r="AA18" s="59">
        <v>34946</v>
      </c>
      <c r="AB18" s="70">
        <f ca="1">INDIRECT("T"&amp;ROW())-HLOOKUP(INDIRECT("V"&amp;ROW()),Minimas!$C$3:$CD$12,AB$4+1,FALSE)</f>
        <v>53</v>
      </c>
      <c r="AC18" s="70">
        <f ca="1">INDIRECT("T"&amp;ROW())-HLOOKUP(INDIRECT("V"&amp;ROW()),Minimas!$C$3:$CD$12,AC$4+1,FALSE)</f>
        <v>38</v>
      </c>
      <c r="AD18" s="70">
        <f ca="1">INDIRECT("T"&amp;ROW())-HLOOKUP(INDIRECT("V"&amp;ROW()),Minimas!$C$3:$CD$12,AD$4+1,FALSE)</f>
        <v>26</v>
      </c>
      <c r="AE18" s="70">
        <f ca="1">INDIRECT("T"&amp;ROW())-HLOOKUP(INDIRECT("V"&amp;ROW()),Minimas!$C$3:$CD$12,AE$4+1,FALSE)</f>
        <v>11</v>
      </c>
      <c r="AF18" s="70">
        <f ca="1">INDIRECT("T"&amp;ROW())-HLOOKUP(INDIRECT("V"&amp;ROW()),Minimas!$C$3:$CD$12,AF$4+1,FALSE)</f>
        <v>-12</v>
      </c>
      <c r="AG18" s="70">
        <f ca="1">INDIRECT("T"&amp;ROW())-HLOOKUP(INDIRECT("V"&amp;ROW()),Minimas!$C$3:$CD$12,AG$4+1,FALSE)</f>
        <v>-27</v>
      </c>
      <c r="AH18" s="70">
        <f ca="1">INDIRECT("T"&amp;ROW())-HLOOKUP(INDIRECT("V"&amp;ROW()),Minimas!$C$3:$CD$12,AH$4+1,FALSE)</f>
        <v>-47</v>
      </c>
      <c r="AI18" s="70">
        <f ca="1">INDIRECT("T"&amp;ROW())-HLOOKUP(INDIRECT("V"&amp;ROW()),Minimas!$C$3:$CD$12,AI$4+1,FALSE)</f>
        <v>-67</v>
      </c>
      <c r="AJ18" s="70">
        <f ca="1">INDIRECT("T"&amp;ROW())-HLOOKUP(INDIRECT("V"&amp;ROW()),Minimas!$C$3:$CD$12,AJ$4+1,FALSE)</f>
        <v>-82</v>
      </c>
      <c r="AK18" s="71">
        <f ca="1" t="shared" si="3"/>
        <v>4</v>
      </c>
      <c r="AM18" s="5" t="str">
        <f ca="1" t="shared" si="4"/>
        <v>IRG +</v>
      </c>
      <c r="AN18" s="5">
        <f ca="1" t="shared" si="5"/>
        <v>11</v>
      </c>
      <c r="AO18" s="86">
        <v>105.84297886084569</v>
      </c>
      <c r="AP18" s="101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2:123" ht="30" customHeight="1" thickBot="1">
      <c r="B19" s="62"/>
      <c r="C19" s="65" t="s">
        <v>199</v>
      </c>
      <c r="D19" s="90">
        <v>4</v>
      </c>
      <c r="E19" s="64" t="s">
        <v>152</v>
      </c>
      <c r="F19" s="42" t="s">
        <v>200</v>
      </c>
      <c r="G19" s="43" t="s">
        <v>201</v>
      </c>
      <c r="H19" s="59">
        <f ca="1" t="shared" si="0"/>
        <v>1993</v>
      </c>
      <c r="I19" s="61" t="s">
        <v>202</v>
      </c>
      <c r="J19" s="60" t="s">
        <v>145</v>
      </c>
      <c r="K19" s="44">
        <v>57.2</v>
      </c>
      <c r="L19" s="67">
        <v>-46</v>
      </c>
      <c r="M19" s="67">
        <v>46</v>
      </c>
      <c r="N19" s="67">
        <v>48</v>
      </c>
      <c r="O19" s="45">
        <v>48</v>
      </c>
      <c r="P19" s="67">
        <v>62</v>
      </c>
      <c r="Q19" s="67">
        <v>67</v>
      </c>
      <c r="R19" s="67">
        <v>-72</v>
      </c>
      <c r="S19" s="45">
        <v>67</v>
      </c>
      <c r="T19" s="46">
        <v>115</v>
      </c>
      <c r="U19" s="68" t="str">
        <f ca="1" t="shared" si="1"/>
        <v>IRG + 8</v>
      </c>
      <c r="V1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19" s="69">
        <v>160.32262033323664</v>
      </c>
      <c r="X19" s="5">
        <f ca="1" t="shared" si="2"/>
        <v>26</v>
      </c>
      <c r="Y19" s="5">
        <f ca="1">MATCH(INDIRECT("X"&amp;ROW()),Minimas!$B$50:$B$56,-1)</f>
        <v>1</v>
      </c>
      <c r="Z19" s="5">
        <f ca="1">IF(INDIRECT("E"&amp;ROW())="H",MATCH(INDIRECT("K"&amp;ROW()),Minimas!$A$16:$A$29,1),MATCH(INDIRECT("K"&amp;ROW()),Minimas!$J$16:$J$27,1))</f>
        <v>6</v>
      </c>
      <c r="AA19" s="59">
        <v>33971</v>
      </c>
      <c r="AB19" s="70">
        <f ca="1">INDIRECT("T"&amp;ROW())-HLOOKUP(INDIRECT("V"&amp;ROW()),Minimas!$C$3:$CD$12,AB$4+1,FALSE)</f>
        <v>50</v>
      </c>
      <c r="AC19" s="70">
        <f ca="1">INDIRECT("T"&amp;ROW())-HLOOKUP(INDIRECT("V"&amp;ROW()),Minimas!$C$3:$CD$12,AC$4+1,FALSE)</f>
        <v>35</v>
      </c>
      <c r="AD19" s="70">
        <f ca="1">INDIRECT("T"&amp;ROW())-HLOOKUP(INDIRECT("V"&amp;ROW()),Minimas!$C$3:$CD$12,AD$4+1,FALSE)</f>
        <v>23</v>
      </c>
      <c r="AE19" s="70">
        <f ca="1">INDIRECT("T"&amp;ROW())-HLOOKUP(INDIRECT("V"&amp;ROW()),Minimas!$C$3:$CD$12,AE$4+1,FALSE)</f>
        <v>8</v>
      </c>
      <c r="AF19" s="70">
        <f ca="1">INDIRECT("T"&amp;ROW())-HLOOKUP(INDIRECT("V"&amp;ROW()),Minimas!$C$3:$CD$12,AF$4+1,FALSE)</f>
        <v>-15</v>
      </c>
      <c r="AG19" s="70">
        <f ca="1">INDIRECT("T"&amp;ROW())-HLOOKUP(INDIRECT("V"&amp;ROW()),Minimas!$C$3:$CD$12,AG$4+1,FALSE)</f>
        <v>-30</v>
      </c>
      <c r="AH19" s="70">
        <f ca="1">INDIRECT("T"&amp;ROW())-HLOOKUP(INDIRECT("V"&amp;ROW()),Minimas!$C$3:$CD$12,AH$4+1,FALSE)</f>
        <v>-50</v>
      </c>
      <c r="AI19" s="70">
        <f ca="1">INDIRECT("T"&amp;ROW())-HLOOKUP(INDIRECT("V"&amp;ROW()),Minimas!$C$3:$CD$12,AI$4+1,FALSE)</f>
        <v>-70</v>
      </c>
      <c r="AJ19" s="70">
        <f ca="1">INDIRECT("T"&amp;ROW())-HLOOKUP(INDIRECT("V"&amp;ROW()),Minimas!$C$3:$CD$12,AJ$4+1,FALSE)</f>
        <v>-85</v>
      </c>
      <c r="AK19" s="71">
        <f ca="1" t="shared" si="3"/>
        <v>4</v>
      </c>
      <c r="AM19" s="5" t="str">
        <f ca="1" t="shared" si="4"/>
        <v>IRG +</v>
      </c>
      <c r="AN19" s="5">
        <f ca="1" t="shared" si="5"/>
        <v>8</v>
      </c>
      <c r="AO19" s="86">
        <v>97.16482118923444</v>
      </c>
      <c r="AP19" s="101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2:123" ht="30" customHeight="1" thickBot="1">
      <c r="B20" s="62"/>
      <c r="C20" s="65" t="s">
        <v>203</v>
      </c>
      <c r="D20" s="90">
        <v>5</v>
      </c>
      <c r="E20" s="64" t="s">
        <v>152</v>
      </c>
      <c r="F20" s="42" t="s">
        <v>204</v>
      </c>
      <c r="G20" s="43" t="s">
        <v>205</v>
      </c>
      <c r="H20" s="59">
        <f ca="1" t="shared" si="0"/>
        <v>1996</v>
      </c>
      <c r="I20" s="61" t="s">
        <v>174</v>
      </c>
      <c r="J20" s="60" t="s">
        <v>145</v>
      </c>
      <c r="K20" s="44">
        <v>56.2</v>
      </c>
      <c r="L20" s="67">
        <v>50</v>
      </c>
      <c r="M20" s="67">
        <v>53</v>
      </c>
      <c r="N20" s="67">
        <v>-55</v>
      </c>
      <c r="O20" s="45">
        <v>53</v>
      </c>
      <c r="P20" s="67">
        <v>57</v>
      </c>
      <c r="Q20" s="67">
        <v>60</v>
      </c>
      <c r="R20" s="67">
        <v>-62</v>
      </c>
      <c r="S20" s="45">
        <v>60</v>
      </c>
      <c r="T20" s="46">
        <v>113</v>
      </c>
      <c r="U20" s="68" t="str">
        <f ca="1" t="shared" si="1"/>
        <v>IRG + 6</v>
      </c>
      <c r="V2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20" s="69">
        <v>159.43084750018556</v>
      </c>
      <c r="X20" s="5">
        <f ca="1" t="shared" si="2"/>
        <v>23</v>
      </c>
      <c r="Y20" s="5">
        <f ca="1">MATCH(INDIRECT("X"&amp;ROW()),Minimas!$B$50:$B$56,-1)</f>
        <v>1</v>
      </c>
      <c r="Z20" s="5">
        <f ca="1">IF(INDIRECT("E"&amp;ROW())="H",MATCH(INDIRECT("K"&amp;ROW()),Minimas!$A$16:$A$29,1),MATCH(INDIRECT("K"&amp;ROW()),Minimas!$J$16:$J$27,1))</f>
        <v>6</v>
      </c>
      <c r="AA20" s="59">
        <v>35138</v>
      </c>
      <c r="AB20" s="70">
        <f ca="1">INDIRECT("T"&amp;ROW())-HLOOKUP(INDIRECT("V"&amp;ROW()),Minimas!$C$3:$CD$12,AB$4+1,FALSE)</f>
        <v>48</v>
      </c>
      <c r="AC20" s="70">
        <f ca="1">INDIRECT("T"&amp;ROW())-HLOOKUP(INDIRECT("V"&amp;ROW()),Minimas!$C$3:$CD$12,AC$4+1,FALSE)</f>
        <v>33</v>
      </c>
      <c r="AD20" s="70">
        <f ca="1">INDIRECT("T"&amp;ROW())-HLOOKUP(INDIRECT("V"&amp;ROW()),Minimas!$C$3:$CD$12,AD$4+1,FALSE)</f>
        <v>21</v>
      </c>
      <c r="AE20" s="70">
        <f ca="1">INDIRECT("T"&amp;ROW())-HLOOKUP(INDIRECT("V"&amp;ROW()),Minimas!$C$3:$CD$12,AE$4+1,FALSE)</f>
        <v>6</v>
      </c>
      <c r="AF20" s="70">
        <f ca="1">INDIRECT("T"&amp;ROW())-HLOOKUP(INDIRECT("V"&amp;ROW()),Minimas!$C$3:$CD$12,AF$4+1,FALSE)</f>
        <v>-17</v>
      </c>
      <c r="AG20" s="70">
        <f ca="1">INDIRECT("T"&amp;ROW())-HLOOKUP(INDIRECT("V"&amp;ROW()),Minimas!$C$3:$CD$12,AG$4+1,FALSE)</f>
        <v>-32</v>
      </c>
      <c r="AH20" s="70">
        <f ca="1">INDIRECT("T"&amp;ROW())-HLOOKUP(INDIRECT("V"&amp;ROW()),Minimas!$C$3:$CD$12,AH$4+1,FALSE)</f>
        <v>-52</v>
      </c>
      <c r="AI20" s="70">
        <f ca="1">INDIRECT("T"&amp;ROW())-HLOOKUP(INDIRECT("V"&amp;ROW()),Minimas!$C$3:$CD$12,AI$4+1,FALSE)</f>
        <v>-72</v>
      </c>
      <c r="AJ20" s="70">
        <f ca="1">INDIRECT("T"&amp;ROW())-HLOOKUP(INDIRECT("V"&amp;ROW()),Minimas!$C$3:$CD$12,AJ$4+1,FALSE)</f>
        <v>-87</v>
      </c>
      <c r="AK20" s="71">
        <f ca="1" t="shared" si="3"/>
        <v>4</v>
      </c>
      <c r="AM20" s="5" t="str">
        <f ca="1" t="shared" si="4"/>
        <v>IRG +</v>
      </c>
      <c r="AN20" s="5">
        <f ca="1" t="shared" si="5"/>
        <v>6</v>
      </c>
      <c r="AO20" s="86">
        <v>91.66382320162032</v>
      </c>
      <c r="AP20" s="101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</row>
    <row r="21" spans="2:123" ht="30" customHeight="1" thickBot="1">
      <c r="B21" s="62"/>
      <c r="C21" s="65" t="s">
        <v>206</v>
      </c>
      <c r="D21" s="90">
        <v>6</v>
      </c>
      <c r="E21" s="64" t="s">
        <v>152</v>
      </c>
      <c r="F21" s="42" t="s">
        <v>207</v>
      </c>
      <c r="G21" s="43" t="s">
        <v>208</v>
      </c>
      <c r="H21" s="59">
        <f ca="1" t="shared" si="0"/>
        <v>2000</v>
      </c>
      <c r="I21" s="61" t="s">
        <v>181</v>
      </c>
      <c r="J21" s="60" t="s">
        <v>145</v>
      </c>
      <c r="K21" s="44">
        <v>58.5</v>
      </c>
      <c r="L21" s="67">
        <v>-45</v>
      </c>
      <c r="M21" s="67">
        <v>45</v>
      </c>
      <c r="N21" s="67">
        <v>50</v>
      </c>
      <c r="O21" s="45">
        <v>50</v>
      </c>
      <c r="P21" s="67">
        <v>-55</v>
      </c>
      <c r="Q21" s="67">
        <v>55</v>
      </c>
      <c r="R21" s="67">
        <v>60</v>
      </c>
      <c r="S21" s="45">
        <v>60</v>
      </c>
      <c r="T21" s="46">
        <v>110</v>
      </c>
      <c r="U21" s="68" t="str">
        <f ca="1" t="shared" si="1"/>
        <v>FED + 0</v>
      </c>
      <c r="V2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F59</v>
      </c>
      <c r="W21" s="69">
        <v>151.07792572008253</v>
      </c>
      <c r="X21" s="5">
        <f ca="1" t="shared" si="2"/>
        <v>19</v>
      </c>
      <c r="Y21" s="5">
        <f ca="1">MATCH(INDIRECT("X"&amp;ROW()),Minimas!$B$50:$B$56,-1)</f>
        <v>2</v>
      </c>
      <c r="Z21" s="5">
        <f ca="1">IF(INDIRECT("E"&amp;ROW())="H",MATCH(INDIRECT("K"&amp;ROW()),Minimas!$A$16:$A$29,1),MATCH(INDIRECT("K"&amp;ROW()),Minimas!$J$16:$J$27,1))</f>
        <v>6</v>
      </c>
      <c r="AA21" s="59">
        <v>36547</v>
      </c>
      <c r="AB21" s="70">
        <f ca="1">INDIRECT("T"&amp;ROW())-HLOOKUP(INDIRECT("V"&amp;ROW()),Minimas!$C$3:$CD$12,AB$4+1,FALSE)</f>
        <v>55</v>
      </c>
      <c r="AC21" s="70">
        <f ca="1">INDIRECT("T"&amp;ROW())-HLOOKUP(INDIRECT("V"&amp;ROW()),Minimas!$C$3:$CD$12,AC$4+1,FALSE)</f>
        <v>40</v>
      </c>
      <c r="AD21" s="70">
        <f ca="1">INDIRECT("T"&amp;ROW())-HLOOKUP(INDIRECT("V"&amp;ROW()),Minimas!$C$3:$CD$12,AD$4+1,FALSE)</f>
        <v>28</v>
      </c>
      <c r="AE21" s="70">
        <f ca="1">INDIRECT("T"&amp;ROW())-HLOOKUP(INDIRECT("V"&amp;ROW()),Minimas!$C$3:$CD$12,AE$4+1,FALSE)</f>
        <v>15</v>
      </c>
      <c r="AF21" s="70">
        <f ca="1">INDIRECT("T"&amp;ROW())-HLOOKUP(INDIRECT("V"&amp;ROW()),Minimas!$C$3:$CD$12,AF$4+1,FALSE)</f>
        <v>0</v>
      </c>
      <c r="AG21" s="70">
        <f ca="1">INDIRECT("T"&amp;ROW())-HLOOKUP(INDIRECT("V"&amp;ROW()),Minimas!$C$3:$CD$12,AG$4+1,FALSE)</f>
        <v>-15</v>
      </c>
      <c r="AH21" s="70">
        <f ca="1">INDIRECT("T"&amp;ROW())-HLOOKUP(INDIRECT("V"&amp;ROW()),Minimas!$C$3:$CD$12,AH$4+1,FALSE)</f>
        <v>-35</v>
      </c>
      <c r="AI21" s="70">
        <f ca="1">INDIRECT("T"&amp;ROW())-HLOOKUP(INDIRECT("V"&amp;ROW()),Minimas!$C$3:$CD$12,AI$4+1,FALSE)</f>
        <v>-55</v>
      </c>
      <c r="AJ21" s="70">
        <f ca="1">INDIRECT("T"&amp;ROW())-HLOOKUP(INDIRECT("V"&amp;ROW()),Minimas!$C$3:$CD$12,AJ$4+1,FALSE)</f>
        <v>-90</v>
      </c>
      <c r="AK21" s="71">
        <f ca="1" t="shared" si="3"/>
        <v>5</v>
      </c>
      <c r="AM21" s="5" t="str">
        <f ca="1" t="shared" si="4"/>
        <v>FED +</v>
      </c>
      <c r="AN21" s="5">
        <f ca="1" t="shared" si="5"/>
        <v>0</v>
      </c>
      <c r="AO21" s="86">
        <v>83.82599523723016</v>
      </c>
      <c r="AP21" s="101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</row>
    <row r="22" spans="2:123" ht="30" customHeight="1" thickBot="1">
      <c r="B22" s="62"/>
      <c r="C22" s="65" t="s">
        <v>209</v>
      </c>
      <c r="D22" s="90">
        <v>7</v>
      </c>
      <c r="E22" s="64" t="s">
        <v>152</v>
      </c>
      <c r="F22" s="42" t="s">
        <v>210</v>
      </c>
      <c r="G22" s="43" t="s">
        <v>211</v>
      </c>
      <c r="H22" s="59">
        <f ca="1" t="shared" si="0"/>
        <v>1997</v>
      </c>
      <c r="I22" s="61" t="s">
        <v>202</v>
      </c>
      <c r="J22" s="60" t="s">
        <v>145</v>
      </c>
      <c r="K22" s="44">
        <v>56.4</v>
      </c>
      <c r="L22" s="67">
        <v>-40</v>
      </c>
      <c r="M22" s="67">
        <v>40</v>
      </c>
      <c r="N22" s="67">
        <v>42</v>
      </c>
      <c r="O22" s="45">
        <v>42</v>
      </c>
      <c r="P22" s="67">
        <v>-52</v>
      </c>
      <c r="Q22" s="67">
        <v>53</v>
      </c>
      <c r="R22" s="67">
        <v>55</v>
      </c>
      <c r="S22" s="45">
        <v>55</v>
      </c>
      <c r="T22" s="46">
        <v>97</v>
      </c>
      <c r="U22" s="68" t="str">
        <f ca="1" t="shared" si="1"/>
        <v>REG + 5</v>
      </c>
      <c r="V2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F59</v>
      </c>
      <c r="W22" s="69">
        <v>136.5247855684795</v>
      </c>
      <c r="X22" s="5">
        <f ca="1" t="shared" si="2"/>
        <v>22</v>
      </c>
      <c r="Y22" s="5">
        <f ca="1">MATCH(INDIRECT("X"&amp;ROW()),Minimas!$B$50:$B$56,-1)</f>
        <v>1</v>
      </c>
      <c r="Z22" s="5">
        <f ca="1">IF(INDIRECT("E"&amp;ROW())="H",MATCH(INDIRECT("K"&amp;ROW()),Minimas!$A$16:$A$29,1),MATCH(INDIRECT("K"&amp;ROW()),Minimas!$J$16:$J$27,1))</f>
        <v>6</v>
      </c>
      <c r="AA22" s="59">
        <v>35593</v>
      </c>
      <c r="AB22" s="70">
        <f ca="1">INDIRECT("T"&amp;ROW())-HLOOKUP(INDIRECT("V"&amp;ROW()),Minimas!$C$3:$CD$12,AB$4+1,FALSE)</f>
        <v>32</v>
      </c>
      <c r="AC22" s="70">
        <f ca="1">INDIRECT("T"&amp;ROW())-HLOOKUP(INDIRECT("V"&amp;ROW()),Minimas!$C$3:$CD$12,AC$4+1,FALSE)</f>
        <v>17</v>
      </c>
      <c r="AD22" s="70">
        <f ca="1">INDIRECT("T"&amp;ROW())-HLOOKUP(INDIRECT("V"&amp;ROW()),Minimas!$C$3:$CD$12,AD$4+1,FALSE)</f>
        <v>5</v>
      </c>
      <c r="AE22" s="70">
        <f ca="1">INDIRECT("T"&amp;ROW())-HLOOKUP(INDIRECT("V"&amp;ROW()),Minimas!$C$3:$CD$12,AE$4+1,FALSE)</f>
        <v>-10</v>
      </c>
      <c r="AF22" s="70">
        <f ca="1">INDIRECT("T"&amp;ROW())-HLOOKUP(INDIRECT("V"&amp;ROW()),Minimas!$C$3:$CD$12,AF$4+1,FALSE)</f>
        <v>-33</v>
      </c>
      <c r="AG22" s="70">
        <f ca="1">INDIRECT("T"&amp;ROW())-HLOOKUP(INDIRECT("V"&amp;ROW()),Minimas!$C$3:$CD$12,AG$4+1,FALSE)</f>
        <v>-48</v>
      </c>
      <c r="AH22" s="70">
        <f ca="1">INDIRECT("T"&amp;ROW())-HLOOKUP(INDIRECT("V"&amp;ROW()),Minimas!$C$3:$CD$12,AH$4+1,FALSE)</f>
        <v>-68</v>
      </c>
      <c r="AI22" s="70">
        <f ca="1">INDIRECT("T"&amp;ROW())-HLOOKUP(INDIRECT("V"&amp;ROW()),Minimas!$C$3:$CD$12,AI$4+1,FALSE)</f>
        <v>-88</v>
      </c>
      <c r="AJ22" s="70">
        <f ca="1">INDIRECT("T"&amp;ROW())-HLOOKUP(INDIRECT("V"&amp;ROW()),Minimas!$C$3:$CD$12,AJ$4+1,FALSE)</f>
        <v>-103</v>
      </c>
      <c r="AK22" s="71">
        <f ca="1" t="shared" si="3"/>
        <v>3</v>
      </c>
      <c r="AM22" s="5" t="str">
        <f ca="1" t="shared" si="4"/>
        <v>REG +</v>
      </c>
      <c r="AN22" s="5">
        <f ca="1" t="shared" si="5"/>
        <v>5</v>
      </c>
      <c r="AO22" s="86">
        <v>55.199080964615014</v>
      </c>
      <c r="AP22" s="101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</row>
    <row r="23" spans="2:123" ht="30" customHeight="1" thickBot="1">
      <c r="B23" s="62"/>
      <c r="C23" s="65" t="s">
        <v>212</v>
      </c>
      <c r="D23" s="90">
        <v>8</v>
      </c>
      <c r="E23" s="64" t="s">
        <v>152</v>
      </c>
      <c r="F23" s="42" t="s">
        <v>213</v>
      </c>
      <c r="G23" s="43" t="s">
        <v>214</v>
      </c>
      <c r="H23" s="59">
        <f ca="1" t="shared" si="0"/>
        <v>1999</v>
      </c>
      <c r="I23" s="61" t="s">
        <v>181</v>
      </c>
      <c r="J23" s="60" t="s">
        <v>145</v>
      </c>
      <c r="K23" s="44">
        <v>58.2</v>
      </c>
      <c r="L23" s="67">
        <v>41</v>
      </c>
      <c r="M23" s="67">
        <v>-45</v>
      </c>
      <c r="N23" s="67">
        <v>-47</v>
      </c>
      <c r="O23" s="45">
        <v>41</v>
      </c>
      <c r="P23" s="67">
        <v>-55</v>
      </c>
      <c r="Q23" s="67">
        <v>55</v>
      </c>
      <c r="R23" s="67">
        <v>-60</v>
      </c>
      <c r="S23" s="45">
        <v>55</v>
      </c>
      <c r="T23" s="46">
        <v>96</v>
      </c>
      <c r="U23" s="68" t="str">
        <f ca="1" t="shared" si="1"/>
        <v>IRG + 1</v>
      </c>
      <c r="V2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F59</v>
      </c>
      <c r="W23" s="69">
        <v>132.29726925688374</v>
      </c>
      <c r="X23" s="5">
        <f ca="1" t="shared" si="2"/>
        <v>20</v>
      </c>
      <c r="Y23" s="5">
        <f ca="1">MATCH(INDIRECT("X"&amp;ROW()),Minimas!$B$50:$B$56,-1)</f>
        <v>2</v>
      </c>
      <c r="Z23" s="5">
        <f ca="1">IF(INDIRECT("E"&amp;ROW())="H",MATCH(INDIRECT("K"&amp;ROW()),Minimas!$A$16:$A$29,1),MATCH(INDIRECT("K"&amp;ROW()),Minimas!$J$16:$J$27,1))</f>
        <v>6</v>
      </c>
      <c r="AA23" s="59">
        <v>36421</v>
      </c>
      <c r="AB23" s="70">
        <f ca="1">INDIRECT("T"&amp;ROW())-HLOOKUP(INDIRECT("V"&amp;ROW()),Minimas!$C$3:$CD$12,AB$4+1,FALSE)</f>
        <v>41</v>
      </c>
      <c r="AC23" s="70">
        <f ca="1">INDIRECT("T"&amp;ROW())-HLOOKUP(INDIRECT("V"&amp;ROW()),Minimas!$C$3:$CD$12,AC$4+1,FALSE)</f>
        <v>26</v>
      </c>
      <c r="AD23" s="70">
        <f ca="1">INDIRECT("T"&amp;ROW())-HLOOKUP(INDIRECT("V"&amp;ROW()),Minimas!$C$3:$CD$12,AD$4+1,FALSE)</f>
        <v>14</v>
      </c>
      <c r="AE23" s="70">
        <f ca="1">INDIRECT("T"&amp;ROW())-HLOOKUP(INDIRECT("V"&amp;ROW()),Minimas!$C$3:$CD$12,AE$4+1,FALSE)</f>
        <v>1</v>
      </c>
      <c r="AF23" s="70">
        <f ca="1">INDIRECT("T"&amp;ROW())-HLOOKUP(INDIRECT("V"&amp;ROW()),Minimas!$C$3:$CD$12,AF$4+1,FALSE)</f>
        <v>-14</v>
      </c>
      <c r="AG23" s="70">
        <f ca="1">INDIRECT("T"&amp;ROW())-HLOOKUP(INDIRECT("V"&amp;ROW()),Minimas!$C$3:$CD$12,AG$4+1,FALSE)</f>
        <v>-29</v>
      </c>
      <c r="AH23" s="70">
        <f ca="1">INDIRECT("T"&amp;ROW())-HLOOKUP(INDIRECT("V"&amp;ROW()),Minimas!$C$3:$CD$12,AH$4+1,FALSE)</f>
        <v>-49</v>
      </c>
      <c r="AI23" s="70">
        <f ca="1">INDIRECT("T"&amp;ROW())-HLOOKUP(INDIRECT("V"&amp;ROW()),Minimas!$C$3:$CD$12,AI$4+1,FALSE)</f>
        <v>-69</v>
      </c>
      <c r="AJ23" s="70">
        <f ca="1">INDIRECT("T"&amp;ROW())-HLOOKUP(INDIRECT("V"&amp;ROW()),Minimas!$C$3:$CD$12,AJ$4+1,FALSE)</f>
        <v>-104</v>
      </c>
      <c r="AK23" s="71">
        <f ca="1" t="shared" si="3"/>
        <v>4</v>
      </c>
      <c r="AM23" s="5" t="str">
        <f ca="1" t="shared" si="4"/>
        <v>IRG +</v>
      </c>
      <c r="AN23" s="5">
        <f ca="1" t="shared" si="5"/>
        <v>1</v>
      </c>
      <c r="AO23" s="86">
        <v>53.331218388127006</v>
      </c>
      <c r="AP23" s="101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</row>
    <row r="24" spans="2:123" ht="30" customHeight="1" thickBot="1">
      <c r="B24" s="62"/>
      <c r="C24" s="65" t="s">
        <v>215</v>
      </c>
      <c r="D24" s="90">
        <v>9</v>
      </c>
      <c r="E24" s="64" t="s">
        <v>152</v>
      </c>
      <c r="F24" s="42" t="s">
        <v>216</v>
      </c>
      <c r="G24" s="43" t="s">
        <v>217</v>
      </c>
      <c r="H24" s="59">
        <f ca="1" t="shared" si="0"/>
        <v>1999</v>
      </c>
      <c r="I24" s="61" t="s">
        <v>218</v>
      </c>
      <c r="J24" s="60" t="s">
        <v>145</v>
      </c>
      <c r="K24" s="44">
        <v>57</v>
      </c>
      <c r="L24" s="67">
        <v>-40</v>
      </c>
      <c r="M24" s="67">
        <v>40</v>
      </c>
      <c r="N24" s="67">
        <v>-42</v>
      </c>
      <c r="O24" s="45">
        <v>40</v>
      </c>
      <c r="P24" s="67">
        <v>52</v>
      </c>
      <c r="Q24" s="67">
        <v>-55</v>
      </c>
      <c r="R24" s="67">
        <v>-55</v>
      </c>
      <c r="S24" s="45">
        <v>52</v>
      </c>
      <c r="T24" s="46">
        <v>92</v>
      </c>
      <c r="U24" s="68" t="str">
        <f ca="1" t="shared" si="1"/>
        <v>REG + 10</v>
      </c>
      <c r="V2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F59</v>
      </c>
      <c r="W24" s="69">
        <v>128.56109304933312</v>
      </c>
      <c r="X24" s="5">
        <f ca="1" t="shared" si="2"/>
        <v>20</v>
      </c>
      <c r="Y24" s="5">
        <f ca="1">MATCH(INDIRECT("X"&amp;ROW()),Minimas!$B$50:$B$56,-1)</f>
        <v>2</v>
      </c>
      <c r="Z24" s="5">
        <f ca="1">IF(INDIRECT("E"&amp;ROW())="H",MATCH(INDIRECT("K"&amp;ROW()),Minimas!$A$16:$A$29,1),MATCH(INDIRECT("K"&amp;ROW()),Minimas!$J$16:$J$27,1))</f>
        <v>6</v>
      </c>
      <c r="AA24" s="59">
        <v>36258</v>
      </c>
      <c r="AB24" s="70">
        <f ca="1">INDIRECT("T"&amp;ROW())-HLOOKUP(INDIRECT("V"&amp;ROW()),Minimas!$C$3:$CD$12,AB$4+1,FALSE)</f>
        <v>37</v>
      </c>
      <c r="AC24" s="70">
        <f ca="1">INDIRECT("T"&amp;ROW())-HLOOKUP(INDIRECT("V"&amp;ROW()),Minimas!$C$3:$CD$12,AC$4+1,FALSE)</f>
        <v>22</v>
      </c>
      <c r="AD24" s="70">
        <f ca="1">INDIRECT("T"&amp;ROW())-HLOOKUP(INDIRECT("V"&amp;ROW()),Minimas!$C$3:$CD$12,AD$4+1,FALSE)</f>
        <v>10</v>
      </c>
      <c r="AE24" s="70">
        <f ca="1">INDIRECT("T"&amp;ROW())-HLOOKUP(INDIRECT("V"&amp;ROW()),Minimas!$C$3:$CD$12,AE$4+1,FALSE)</f>
        <v>-3</v>
      </c>
      <c r="AF24" s="70">
        <f ca="1">INDIRECT("T"&amp;ROW())-HLOOKUP(INDIRECT("V"&amp;ROW()),Minimas!$C$3:$CD$12,AF$4+1,FALSE)</f>
        <v>-18</v>
      </c>
      <c r="AG24" s="70">
        <f ca="1">INDIRECT("T"&amp;ROW())-HLOOKUP(INDIRECT("V"&amp;ROW()),Minimas!$C$3:$CD$12,AG$4+1,FALSE)</f>
        <v>-33</v>
      </c>
      <c r="AH24" s="70">
        <f ca="1">INDIRECT("T"&amp;ROW())-HLOOKUP(INDIRECT("V"&amp;ROW()),Minimas!$C$3:$CD$12,AH$4+1,FALSE)</f>
        <v>-53</v>
      </c>
      <c r="AI24" s="70">
        <f ca="1">INDIRECT("T"&amp;ROW())-HLOOKUP(INDIRECT("V"&amp;ROW()),Minimas!$C$3:$CD$12,AI$4+1,FALSE)</f>
        <v>-73</v>
      </c>
      <c r="AJ24" s="70">
        <f ca="1">INDIRECT("T"&amp;ROW())-HLOOKUP(INDIRECT("V"&amp;ROW()),Minimas!$C$3:$CD$12,AJ$4+1,FALSE)</f>
        <v>-108</v>
      </c>
      <c r="AK24" s="71">
        <f ca="1" t="shared" si="3"/>
        <v>3</v>
      </c>
      <c r="AM24" s="5" t="str">
        <f ca="1" t="shared" si="4"/>
        <v>REG +</v>
      </c>
      <c r="AN24" s="5">
        <f ca="1" t="shared" si="5"/>
        <v>10</v>
      </c>
      <c r="AO24" s="86">
        <v>46.29999678744941</v>
      </c>
      <c r="AP24" s="101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2:123" ht="30" customHeight="1" thickBot="1">
      <c r="B25" s="62"/>
      <c r="C25" s="65" t="s">
        <v>219</v>
      </c>
      <c r="D25" s="63">
        <v>1</v>
      </c>
      <c r="E25" s="64" t="s">
        <v>152</v>
      </c>
      <c r="F25" s="42" t="s">
        <v>220</v>
      </c>
      <c r="G25" s="43" t="s">
        <v>221</v>
      </c>
      <c r="H25" s="59">
        <f ca="1" t="shared" si="0"/>
        <v>1994</v>
      </c>
      <c r="I25" s="61" t="s">
        <v>181</v>
      </c>
      <c r="J25" s="60" t="s">
        <v>145</v>
      </c>
      <c r="K25" s="44">
        <v>63.1</v>
      </c>
      <c r="L25" s="67">
        <v>40</v>
      </c>
      <c r="M25" s="67">
        <v>-45</v>
      </c>
      <c r="N25" s="67">
        <v>-48</v>
      </c>
      <c r="O25" s="45">
        <v>40</v>
      </c>
      <c r="P25" s="67">
        <v>-45</v>
      </c>
      <c r="Q25" s="67">
        <v>45</v>
      </c>
      <c r="R25" s="67">
        <v>0</v>
      </c>
      <c r="S25" s="45">
        <v>45</v>
      </c>
      <c r="T25" s="46">
        <v>85</v>
      </c>
      <c r="U25" s="68" t="str">
        <f ca="1" t="shared" si="1"/>
        <v>DPT + 0</v>
      </c>
      <c r="V2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F64</v>
      </c>
      <c r="W25" s="69">
        <v>111.29356195688652</v>
      </c>
      <c r="X25" s="5">
        <f ca="1" t="shared" si="2"/>
        <v>25</v>
      </c>
      <c r="Y25" s="5">
        <f ca="1">MATCH(INDIRECT("X"&amp;ROW()),Minimas!$B$50:$B$56,-1)</f>
        <v>1</v>
      </c>
      <c r="Z25" s="5">
        <f ca="1">IF(INDIRECT("E"&amp;ROW())="H",MATCH(INDIRECT("K"&amp;ROW()),Minimas!$A$16:$A$29,1),MATCH(INDIRECT("K"&amp;ROW()),Minimas!$J$16:$J$27,1))</f>
        <v>7</v>
      </c>
      <c r="AA25" s="59">
        <v>34362</v>
      </c>
      <c r="AB25" s="70">
        <f ca="1">INDIRECT("T"&amp;ROW())-HLOOKUP(INDIRECT("V"&amp;ROW()),Minimas!$C$3:$CD$12,AB$4+1,FALSE)</f>
        <v>15</v>
      </c>
      <c r="AC25" s="70">
        <f ca="1">INDIRECT("T"&amp;ROW())-HLOOKUP(INDIRECT("V"&amp;ROW()),Minimas!$C$3:$CD$12,AC$4+1,FALSE)</f>
        <v>0</v>
      </c>
      <c r="AD25" s="70">
        <f ca="1">INDIRECT("T"&amp;ROW())-HLOOKUP(INDIRECT("V"&amp;ROW()),Minimas!$C$3:$CD$12,AD$4+1,FALSE)</f>
        <v>-15</v>
      </c>
      <c r="AE25" s="70">
        <f ca="1">INDIRECT("T"&amp;ROW())-HLOOKUP(INDIRECT("V"&amp;ROW()),Minimas!$C$3:$CD$12,AE$4+1,FALSE)</f>
        <v>-32</v>
      </c>
      <c r="AF25" s="70">
        <f ca="1">INDIRECT("T"&amp;ROW())-HLOOKUP(INDIRECT("V"&amp;ROW()),Minimas!$C$3:$CD$12,AF$4+1,FALSE)</f>
        <v>-52</v>
      </c>
      <c r="AG25" s="70">
        <f ca="1">INDIRECT("T"&amp;ROW())-HLOOKUP(INDIRECT("V"&amp;ROW()),Minimas!$C$3:$CD$12,AG$4+1,FALSE)</f>
        <v>-70</v>
      </c>
      <c r="AH25" s="70">
        <f ca="1">INDIRECT("T"&amp;ROW())-HLOOKUP(INDIRECT("V"&amp;ROW()),Minimas!$C$3:$CD$12,AH$4+1,FALSE)</f>
        <v>-90</v>
      </c>
      <c r="AI25" s="70">
        <f ca="1">INDIRECT("T"&amp;ROW())-HLOOKUP(INDIRECT("V"&amp;ROW()),Minimas!$C$3:$CD$12,AI$4+1,FALSE)</f>
        <v>-110</v>
      </c>
      <c r="AJ25" s="70">
        <f ca="1">INDIRECT("T"&amp;ROW())-HLOOKUP(INDIRECT("V"&amp;ROW()),Minimas!$C$3:$CD$12,AJ$4+1,FALSE)</f>
        <v>-125</v>
      </c>
      <c r="AK25" s="71">
        <f ca="1" t="shared" si="3"/>
        <v>2</v>
      </c>
      <c r="AM25" s="5" t="str">
        <f ca="1" t="shared" si="4"/>
        <v>DPT +</v>
      </c>
      <c r="AN25" s="5">
        <f ca="1" t="shared" si="5"/>
        <v>0</v>
      </c>
      <c r="AO25" s="86">
        <v>29.699763913789884</v>
      </c>
      <c r="AP25" s="71" t="s">
        <v>388</v>
      </c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2:123" ht="30" customHeight="1" thickBot="1">
      <c r="B26" s="62"/>
      <c r="C26" s="65" t="s">
        <v>222</v>
      </c>
      <c r="D26" s="91">
        <v>1</v>
      </c>
      <c r="E26" s="64" t="s">
        <v>152</v>
      </c>
      <c r="F26" s="42" t="s">
        <v>223</v>
      </c>
      <c r="G26" s="43" t="s">
        <v>165</v>
      </c>
      <c r="H26" s="59">
        <f ca="1" t="shared" si="0"/>
        <v>1989</v>
      </c>
      <c r="I26" s="61" t="s">
        <v>224</v>
      </c>
      <c r="J26" s="60" t="s">
        <v>145</v>
      </c>
      <c r="K26" s="44">
        <v>70</v>
      </c>
      <c r="L26" s="67">
        <v>-68</v>
      </c>
      <c r="M26" s="67">
        <v>-68</v>
      </c>
      <c r="N26" s="67">
        <v>68</v>
      </c>
      <c r="O26" s="45">
        <v>68</v>
      </c>
      <c r="P26" s="67">
        <v>71</v>
      </c>
      <c r="Q26" s="67">
        <v>78</v>
      </c>
      <c r="R26" s="67">
        <v>-81</v>
      </c>
      <c r="S26" s="45">
        <v>78</v>
      </c>
      <c r="T26" s="46">
        <v>146</v>
      </c>
      <c r="U26" s="68" t="str">
        <f ca="1" t="shared" si="1"/>
        <v>FED + 4</v>
      </c>
      <c r="V2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F71</v>
      </c>
      <c r="W26" s="69">
        <v>180.1766970220029</v>
      </c>
      <c r="X26" s="5">
        <f ca="1" t="shared" si="2"/>
        <v>30</v>
      </c>
      <c r="Y26" s="5">
        <f ca="1">MATCH(INDIRECT("X"&amp;ROW()),Minimas!$B$50:$B$56,-1)</f>
        <v>1</v>
      </c>
      <c r="Z26" s="5">
        <f ca="1">IF(INDIRECT("E"&amp;ROW())="H",MATCH(INDIRECT("K"&amp;ROW()),Minimas!$A$16:$A$29,1),MATCH(INDIRECT("K"&amp;ROW()),Minimas!$J$16:$J$27,1))</f>
        <v>8</v>
      </c>
      <c r="AA26" s="59">
        <v>32841</v>
      </c>
      <c r="AB26" s="70">
        <f ca="1">INDIRECT("T"&amp;ROW())-HLOOKUP(INDIRECT("V"&amp;ROW()),Minimas!$C$3:$CD$12,AB$4+1,FALSE)</f>
        <v>71</v>
      </c>
      <c r="AC26" s="70">
        <f ca="1">INDIRECT("T"&amp;ROW())-HLOOKUP(INDIRECT("V"&amp;ROW()),Minimas!$C$3:$CD$12,AC$4+1,FALSE)</f>
        <v>56</v>
      </c>
      <c r="AD26" s="70">
        <f ca="1">INDIRECT("T"&amp;ROW())-HLOOKUP(INDIRECT("V"&amp;ROW()),Minimas!$C$3:$CD$12,AD$4+1,FALSE)</f>
        <v>39</v>
      </c>
      <c r="AE26" s="70">
        <f ca="1">INDIRECT("T"&amp;ROW())-HLOOKUP(INDIRECT("V"&amp;ROW()),Minimas!$C$3:$CD$12,AE$4+1,FALSE)</f>
        <v>24</v>
      </c>
      <c r="AF26" s="70">
        <f ca="1">INDIRECT("T"&amp;ROW())-HLOOKUP(INDIRECT("V"&amp;ROW()),Minimas!$C$3:$CD$12,AF$4+1,FALSE)</f>
        <v>4</v>
      </c>
      <c r="AG26" s="70">
        <f ca="1">INDIRECT("T"&amp;ROW())-HLOOKUP(INDIRECT("V"&amp;ROW()),Minimas!$C$3:$CD$12,AG$4+1,FALSE)</f>
        <v>-19</v>
      </c>
      <c r="AH26" s="70">
        <f ca="1">INDIRECT("T"&amp;ROW())-HLOOKUP(INDIRECT("V"&amp;ROW()),Minimas!$C$3:$CD$12,AH$4+1,FALSE)</f>
        <v>-39</v>
      </c>
      <c r="AI26" s="70">
        <f ca="1">INDIRECT("T"&amp;ROW())-HLOOKUP(INDIRECT("V"&amp;ROW()),Minimas!$C$3:$CD$12,AI$4+1,FALSE)</f>
        <v>-59</v>
      </c>
      <c r="AJ26" s="70">
        <f ca="1">INDIRECT("T"&amp;ROW())-HLOOKUP(INDIRECT("V"&amp;ROW()),Minimas!$C$3:$CD$12,AJ$4+1,FALSE)</f>
        <v>-79</v>
      </c>
      <c r="AK26" s="71">
        <f ca="1" t="shared" si="3"/>
        <v>5</v>
      </c>
      <c r="AM26" s="5" t="str">
        <f ca="1" t="shared" si="4"/>
        <v>FED +</v>
      </c>
      <c r="AN26" s="5">
        <f ca="1" t="shared" si="5"/>
        <v>4</v>
      </c>
      <c r="AO26" s="86">
        <v>145.18393471010847</v>
      </c>
      <c r="AP26" s="102" t="s">
        <v>389</v>
      </c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</row>
    <row r="27" spans="2:123" ht="30" customHeight="1" thickBot="1">
      <c r="B27" s="62"/>
      <c r="C27" s="65" t="s">
        <v>225</v>
      </c>
      <c r="D27" s="91">
        <v>2</v>
      </c>
      <c r="E27" s="64" t="s">
        <v>152</v>
      </c>
      <c r="F27" s="134" t="s">
        <v>164</v>
      </c>
      <c r="G27" s="135" t="s">
        <v>226</v>
      </c>
      <c r="H27" s="59">
        <f ca="1" t="shared" si="0"/>
        <v>1998</v>
      </c>
      <c r="I27" s="61" t="s">
        <v>397</v>
      </c>
      <c r="J27" s="60" t="s">
        <v>145</v>
      </c>
      <c r="K27" s="44">
        <v>66.3</v>
      </c>
      <c r="L27" s="67">
        <v>55</v>
      </c>
      <c r="M27" s="67">
        <v>58</v>
      </c>
      <c r="N27" s="67">
        <v>-60</v>
      </c>
      <c r="O27" s="45">
        <v>58</v>
      </c>
      <c r="P27" s="67">
        <v>70</v>
      </c>
      <c r="Q27" s="67">
        <v>75</v>
      </c>
      <c r="R27" s="67">
        <v>78</v>
      </c>
      <c r="S27" s="45">
        <v>78</v>
      </c>
      <c r="T27" s="46">
        <v>136</v>
      </c>
      <c r="U27" s="68" t="str">
        <f ca="1" t="shared" si="1"/>
        <v>IRG + 14</v>
      </c>
      <c r="V2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F71</v>
      </c>
      <c r="W27" s="69">
        <v>172.95747297761443</v>
      </c>
      <c r="X27" s="5">
        <f ca="1" t="shared" si="2"/>
        <v>21</v>
      </c>
      <c r="Y27" s="5">
        <f ca="1">MATCH(INDIRECT("X"&amp;ROW()),Minimas!$B$50:$B$56,-1)</f>
        <v>1</v>
      </c>
      <c r="Z27" s="5">
        <f ca="1">IF(INDIRECT("E"&amp;ROW())="H",MATCH(INDIRECT("K"&amp;ROW()),Minimas!$A$16:$A$29,1),MATCH(INDIRECT("K"&amp;ROW()),Minimas!$J$16:$J$27,1))</f>
        <v>8</v>
      </c>
      <c r="AA27" s="59">
        <v>35997</v>
      </c>
      <c r="AB27" s="70">
        <f ca="1">INDIRECT("T"&amp;ROW())-HLOOKUP(INDIRECT("V"&amp;ROW()),Minimas!$C$3:$CD$12,AB$4+1,FALSE)</f>
        <v>61</v>
      </c>
      <c r="AC27" s="70">
        <f ca="1">INDIRECT("T"&amp;ROW())-HLOOKUP(INDIRECT("V"&amp;ROW()),Minimas!$C$3:$CD$12,AC$4+1,FALSE)</f>
        <v>46</v>
      </c>
      <c r="AD27" s="70">
        <f ca="1">INDIRECT("T"&amp;ROW())-HLOOKUP(INDIRECT("V"&amp;ROW()),Minimas!$C$3:$CD$12,AD$4+1,FALSE)</f>
        <v>29</v>
      </c>
      <c r="AE27" s="70">
        <f ca="1">INDIRECT("T"&amp;ROW())-HLOOKUP(INDIRECT("V"&amp;ROW()),Minimas!$C$3:$CD$12,AE$4+1,FALSE)</f>
        <v>14</v>
      </c>
      <c r="AF27" s="70">
        <f ca="1">INDIRECT("T"&amp;ROW())-HLOOKUP(INDIRECT("V"&amp;ROW()),Minimas!$C$3:$CD$12,AF$4+1,FALSE)</f>
        <v>-6</v>
      </c>
      <c r="AG27" s="70">
        <f ca="1">INDIRECT("T"&amp;ROW())-HLOOKUP(INDIRECT("V"&amp;ROW()),Minimas!$C$3:$CD$12,AG$4+1,FALSE)</f>
        <v>-29</v>
      </c>
      <c r="AH27" s="70">
        <f ca="1">INDIRECT("T"&amp;ROW())-HLOOKUP(INDIRECT("V"&amp;ROW()),Minimas!$C$3:$CD$12,AH$4+1,FALSE)</f>
        <v>-49</v>
      </c>
      <c r="AI27" s="70">
        <f ca="1">INDIRECT("T"&amp;ROW())-HLOOKUP(INDIRECT("V"&amp;ROW()),Minimas!$C$3:$CD$12,AI$4+1,FALSE)</f>
        <v>-69</v>
      </c>
      <c r="AJ27" s="70">
        <f ca="1">INDIRECT("T"&amp;ROW())-HLOOKUP(INDIRECT("V"&amp;ROW()),Minimas!$C$3:$CD$12,AJ$4+1,FALSE)</f>
        <v>-89</v>
      </c>
      <c r="AK27" s="71">
        <f ca="1" t="shared" si="3"/>
        <v>4</v>
      </c>
      <c r="AM27" s="5" t="str">
        <f ca="1" t="shared" si="4"/>
        <v>IRG +</v>
      </c>
      <c r="AN27" s="5">
        <f ca="1" t="shared" si="5"/>
        <v>14</v>
      </c>
      <c r="AO27" s="86">
        <v>114.69826397430661</v>
      </c>
      <c r="AP27" s="102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</row>
    <row r="28" spans="2:123" ht="30" customHeight="1" thickBot="1">
      <c r="B28" s="62"/>
      <c r="C28" s="65" t="s">
        <v>227</v>
      </c>
      <c r="D28" s="91">
        <v>3</v>
      </c>
      <c r="E28" s="64" t="s">
        <v>152</v>
      </c>
      <c r="F28" s="42" t="s">
        <v>228</v>
      </c>
      <c r="G28" s="43" t="s">
        <v>229</v>
      </c>
      <c r="H28" s="59">
        <f ca="1" t="shared" si="0"/>
        <v>1997</v>
      </c>
      <c r="I28" s="61" t="s">
        <v>181</v>
      </c>
      <c r="J28" s="60" t="s">
        <v>145</v>
      </c>
      <c r="K28" s="44">
        <v>67.1</v>
      </c>
      <c r="L28" s="67">
        <v>-42</v>
      </c>
      <c r="M28" s="67">
        <v>43</v>
      </c>
      <c r="N28" s="67">
        <v>-46</v>
      </c>
      <c r="O28" s="45">
        <v>43</v>
      </c>
      <c r="P28" s="67">
        <v>55</v>
      </c>
      <c r="Q28" s="67">
        <v>60</v>
      </c>
      <c r="R28" s="67">
        <v>-63</v>
      </c>
      <c r="S28" s="45">
        <v>60</v>
      </c>
      <c r="T28" s="46">
        <v>103</v>
      </c>
      <c r="U28" s="68" t="str">
        <f ca="1" t="shared" si="1"/>
        <v>DPT + 13</v>
      </c>
      <c r="V2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F71</v>
      </c>
      <c r="W28" s="69">
        <v>130.10061117080676</v>
      </c>
      <c r="X28" s="5">
        <f ca="1" t="shared" si="2"/>
        <v>22</v>
      </c>
      <c r="Y28" s="5">
        <f ca="1">MATCH(INDIRECT("X"&amp;ROW()),Minimas!$B$50:$B$56,-1)</f>
        <v>1</v>
      </c>
      <c r="Z28" s="5">
        <f ca="1">IF(INDIRECT("E"&amp;ROW())="H",MATCH(INDIRECT("K"&amp;ROW()),Minimas!$A$16:$A$29,1),MATCH(INDIRECT("K"&amp;ROW()),Minimas!$J$16:$J$27,1))</f>
        <v>8</v>
      </c>
      <c r="AA28" s="59">
        <v>35465</v>
      </c>
      <c r="AB28" s="70">
        <f ca="1">INDIRECT("T"&amp;ROW())-HLOOKUP(INDIRECT("V"&amp;ROW()),Minimas!$C$3:$CD$12,AB$4+1,FALSE)</f>
        <v>28</v>
      </c>
      <c r="AC28" s="70">
        <f ca="1">INDIRECT("T"&amp;ROW())-HLOOKUP(INDIRECT("V"&amp;ROW()),Minimas!$C$3:$CD$12,AC$4+1,FALSE)</f>
        <v>13</v>
      </c>
      <c r="AD28" s="70">
        <f ca="1">INDIRECT("T"&amp;ROW())-HLOOKUP(INDIRECT("V"&amp;ROW()),Minimas!$C$3:$CD$12,AD$4+1,FALSE)</f>
        <v>-4</v>
      </c>
      <c r="AE28" s="70">
        <f ca="1">INDIRECT("T"&amp;ROW())-HLOOKUP(INDIRECT("V"&amp;ROW()),Minimas!$C$3:$CD$12,AE$4+1,FALSE)</f>
        <v>-19</v>
      </c>
      <c r="AF28" s="70">
        <f ca="1">INDIRECT("T"&amp;ROW())-HLOOKUP(INDIRECT("V"&amp;ROW()),Minimas!$C$3:$CD$12,AF$4+1,FALSE)</f>
        <v>-39</v>
      </c>
      <c r="AG28" s="70">
        <f ca="1">INDIRECT("T"&amp;ROW())-HLOOKUP(INDIRECT("V"&amp;ROW()),Minimas!$C$3:$CD$12,AG$4+1,FALSE)</f>
        <v>-62</v>
      </c>
      <c r="AH28" s="70">
        <f ca="1">INDIRECT("T"&amp;ROW())-HLOOKUP(INDIRECT("V"&amp;ROW()),Minimas!$C$3:$CD$12,AH$4+1,FALSE)</f>
        <v>-82</v>
      </c>
      <c r="AI28" s="70">
        <f ca="1">INDIRECT("T"&amp;ROW())-HLOOKUP(INDIRECT("V"&amp;ROW()),Minimas!$C$3:$CD$12,AI$4+1,FALSE)</f>
        <v>-102</v>
      </c>
      <c r="AJ28" s="70">
        <f ca="1">INDIRECT("T"&amp;ROW())-HLOOKUP(INDIRECT("V"&amp;ROW()),Minimas!$C$3:$CD$12,AJ$4+1,FALSE)</f>
        <v>-122</v>
      </c>
      <c r="AK28" s="71">
        <f ca="1" t="shared" si="3"/>
        <v>2</v>
      </c>
      <c r="AM28" s="5" t="str">
        <f ca="1" t="shared" si="4"/>
        <v>DPT +</v>
      </c>
      <c r="AN28" s="5">
        <f ca="1" t="shared" si="5"/>
        <v>13</v>
      </c>
      <c r="AO28" s="86">
        <v>45.5611345869712</v>
      </c>
      <c r="AP28" s="102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</row>
    <row r="29" spans="2:123" ht="30" customHeight="1" thickBot="1">
      <c r="B29" s="62"/>
      <c r="C29" s="65" t="s">
        <v>230</v>
      </c>
      <c r="D29" s="91">
        <v>4</v>
      </c>
      <c r="E29" s="64" t="s">
        <v>152</v>
      </c>
      <c r="F29" s="42" t="s">
        <v>231</v>
      </c>
      <c r="G29" s="43" t="s">
        <v>169</v>
      </c>
      <c r="H29" s="59">
        <f ca="1" t="shared" si="0"/>
        <v>1998</v>
      </c>
      <c r="I29" s="61" t="s">
        <v>181</v>
      </c>
      <c r="J29" s="60" t="s">
        <v>145</v>
      </c>
      <c r="K29" s="44">
        <v>70.8</v>
      </c>
      <c r="L29" s="67">
        <v>-43</v>
      </c>
      <c r="M29" s="67">
        <v>-43</v>
      </c>
      <c r="N29" s="67">
        <v>43</v>
      </c>
      <c r="O29" s="45">
        <v>43</v>
      </c>
      <c r="P29" s="67">
        <v>58</v>
      </c>
      <c r="Q29" s="67">
        <v>60</v>
      </c>
      <c r="R29" s="67">
        <v>-63</v>
      </c>
      <c r="S29" s="45">
        <v>60</v>
      </c>
      <c r="T29" s="46">
        <v>103</v>
      </c>
      <c r="U29" s="68" t="str">
        <f ca="1" t="shared" si="1"/>
        <v>DPT + 13</v>
      </c>
      <c r="V2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F71</v>
      </c>
      <c r="W29" s="69">
        <v>126.34599891191193</v>
      </c>
      <c r="X29" s="5">
        <f ca="1" t="shared" si="2"/>
        <v>21</v>
      </c>
      <c r="Y29" s="5">
        <f ca="1">MATCH(INDIRECT("X"&amp;ROW()),Minimas!$B$50:$B$56,-1)</f>
        <v>1</v>
      </c>
      <c r="Z29" s="5">
        <f ca="1">IF(INDIRECT("E"&amp;ROW())="H",MATCH(INDIRECT("K"&amp;ROW()),Minimas!$A$16:$A$29,1),MATCH(INDIRECT("K"&amp;ROW()),Minimas!$J$16:$J$27,1))</f>
        <v>8</v>
      </c>
      <c r="AA29" s="59">
        <v>36054</v>
      </c>
      <c r="AB29" s="70">
        <f ca="1">INDIRECT("T"&amp;ROW())-HLOOKUP(INDIRECT("V"&amp;ROW()),Minimas!$C$3:$CD$12,AB$4+1,FALSE)</f>
        <v>28</v>
      </c>
      <c r="AC29" s="70">
        <f ca="1">INDIRECT("T"&amp;ROW())-HLOOKUP(INDIRECT("V"&amp;ROW()),Minimas!$C$3:$CD$12,AC$4+1,FALSE)</f>
        <v>13</v>
      </c>
      <c r="AD29" s="70">
        <f ca="1">INDIRECT("T"&amp;ROW())-HLOOKUP(INDIRECT("V"&amp;ROW()),Minimas!$C$3:$CD$12,AD$4+1,FALSE)</f>
        <v>-4</v>
      </c>
      <c r="AE29" s="70">
        <f ca="1">INDIRECT("T"&amp;ROW())-HLOOKUP(INDIRECT("V"&amp;ROW()),Minimas!$C$3:$CD$12,AE$4+1,FALSE)</f>
        <v>-19</v>
      </c>
      <c r="AF29" s="70">
        <f ca="1">INDIRECT("T"&amp;ROW())-HLOOKUP(INDIRECT("V"&amp;ROW()),Minimas!$C$3:$CD$12,AF$4+1,FALSE)</f>
        <v>-39</v>
      </c>
      <c r="AG29" s="70">
        <f ca="1">INDIRECT("T"&amp;ROW())-HLOOKUP(INDIRECT("V"&amp;ROW()),Minimas!$C$3:$CD$12,AG$4+1,FALSE)</f>
        <v>-62</v>
      </c>
      <c r="AH29" s="70">
        <f ca="1">INDIRECT("T"&amp;ROW())-HLOOKUP(INDIRECT("V"&amp;ROW()),Minimas!$C$3:$CD$12,AH$4+1,FALSE)</f>
        <v>-82</v>
      </c>
      <c r="AI29" s="70">
        <f ca="1">INDIRECT("T"&amp;ROW())-HLOOKUP(INDIRECT("V"&amp;ROW()),Minimas!$C$3:$CD$12,AI$4+1,FALSE)</f>
        <v>-102</v>
      </c>
      <c r="AJ29" s="70">
        <f ca="1">INDIRECT("T"&amp;ROW())-HLOOKUP(INDIRECT("V"&amp;ROW()),Minimas!$C$3:$CD$12,AJ$4+1,FALSE)</f>
        <v>-122</v>
      </c>
      <c r="AK29" s="71">
        <f ca="1" t="shared" si="3"/>
        <v>2</v>
      </c>
      <c r="AM29" s="5" t="str">
        <f ca="1" t="shared" si="4"/>
        <v>DPT +</v>
      </c>
      <c r="AN29" s="5">
        <f ca="1" t="shared" si="5"/>
        <v>13</v>
      </c>
      <c r="AO29" s="86">
        <v>45.5611345869712</v>
      </c>
      <c r="AP29" s="10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</row>
    <row r="30" spans="2:123" ht="30" customHeight="1" thickBot="1">
      <c r="B30" s="62"/>
      <c r="C30" s="65" t="s">
        <v>232</v>
      </c>
      <c r="D30" s="91">
        <v>5</v>
      </c>
      <c r="E30" s="64" t="s">
        <v>152</v>
      </c>
      <c r="F30" s="42" t="s">
        <v>233</v>
      </c>
      <c r="G30" s="43" t="s">
        <v>234</v>
      </c>
      <c r="H30" s="59">
        <f ca="1" t="shared" si="0"/>
        <v>1997</v>
      </c>
      <c r="I30" s="61" t="s">
        <v>202</v>
      </c>
      <c r="J30" s="60" t="s">
        <v>145</v>
      </c>
      <c r="K30" s="44">
        <v>67.6</v>
      </c>
      <c r="L30" s="67">
        <v>-42</v>
      </c>
      <c r="M30" s="67">
        <v>42</v>
      </c>
      <c r="N30" s="67">
        <v>-45</v>
      </c>
      <c r="O30" s="45">
        <v>42</v>
      </c>
      <c r="P30" s="67">
        <v>53</v>
      </c>
      <c r="Q30" s="67">
        <v>56</v>
      </c>
      <c r="R30" s="67">
        <v>60</v>
      </c>
      <c r="S30" s="45">
        <v>60</v>
      </c>
      <c r="T30" s="46">
        <v>102</v>
      </c>
      <c r="U30" s="68" t="str">
        <f ca="1" t="shared" si="1"/>
        <v>DPT + 12</v>
      </c>
      <c r="V3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F71</v>
      </c>
      <c r="W30" s="69">
        <v>128.30172652994463</v>
      </c>
      <c r="X30" s="5">
        <f ca="1" t="shared" si="2"/>
        <v>22</v>
      </c>
      <c r="Y30" s="5">
        <f ca="1">MATCH(INDIRECT("X"&amp;ROW()),Minimas!$B$50:$B$56,-1)</f>
        <v>1</v>
      </c>
      <c r="Z30" s="5">
        <f ca="1">IF(INDIRECT("E"&amp;ROW())="H",MATCH(INDIRECT("K"&amp;ROW()),Minimas!$A$16:$A$29,1),MATCH(INDIRECT("K"&amp;ROW()),Minimas!$J$16:$J$27,1))</f>
        <v>8</v>
      </c>
      <c r="AA30" s="59">
        <v>35768</v>
      </c>
      <c r="AB30" s="70">
        <f ca="1">INDIRECT("T"&amp;ROW())-HLOOKUP(INDIRECT("V"&amp;ROW()),Minimas!$C$3:$CD$12,AB$4+1,FALSE)</f>
        <v>27</v>
      </c>
      <c r="AC30" s="70">
        <f ca="1">INDIRECT("T"&amp;ROW())-HLOOKUP(INDIRECT("V"&amp;ROW()),Minimas!$C$3:$CD$12,AC$4+1,FALSE)</f>
        <v>12</v>
      </c>
      <c r="AD30" s="70">
        <f ca="1">INDIRECT("T"&amp;ROW())-HLOOKUP(INDIRECT("V"&amp;ROW()),Minimas!$C$3:$CD$12,AD$4+1,FALSE)</f>
        <v>-5</v>
      </c>
      <c r="AE30" s="70">
        <f ca="1">INDIRECT("T"&amp;ROW())-HLOOKUP(INDIRECT("V"&amp;ROW()),Minimas!$C$3:$CD$12,AE$4+1,FALSE)</f>
        <v>-20</v>
      </c>
      <c r="AF30" s="70">
        <f ca="1">INDIRECT("T"&amp;ROW())-HLOOKUP(INDIRECT("V"&amp;ROW()),Minimas!$C$3:$CD$12,AF$4+1,FALSE)</f>
        <v>-40</v>
      </c>
      <c r="AG30" s="70">
        <f ca="1">INDIRECT("T"&amp;ROW())-HLOOKUP(INDIRECT("V"&amp;ROW()),Minimas!$C$3:$CD$12,AG$4+1,FALSE)</f>
        <v>-63</v>
      </c>
      <c r="AH30" s="70">
        <f ca="1">INDIRECT("T"&amp;ROW())-HLOOKUP(INDIRECT("V"&amp;ROW()),Minimas!$C$3:$CD$12,AH$4+1,FALSE)</f>
        <v>-83</v>
      </c>
      <c r="AI30" s="70">
        <f ca="1">INDIRECT("T"&amp;ROW())-HLOOKUP(INDIRECT("V"&amp;ROW()),Minimas!$C$3:$CD$12,AI$4+1,FALSE)</f>
        <v>-103</v>
      </c>
      <c r="AJ30" s="70">
        <f ca="1">INDIRECT("T"&amp;ROW())-HLOOKUP(INDIRECT("V"&amp;ROW()),Minimas!$C$3:$CD$12,AJ$4+1,FALSE)</f>
        <v>-123</v>
      </c>
      <c r="AK30" s="71">
        <f ca="1" t="shared" si="3"/>
        <v>2</v>
      </c>
      <c r="AM30" s="5" t="str">
        <f ca="1" t="shared" si="4"/>
        <v>DPT +</v>
      </c>
      <c r="AN30" s="5">
        <f ca="1" t="shared" si="5"/>
        <v>12</v>
      </c>
      <c r="AO30" s="86">
        <v>44.10820103853888</v>
      </c>
      <c r="AP30" s="102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2:123" ht="30" customHeight="1" thickBot="1">
      <c r="B31" s="62"/>
      <c r="C31" s="65" t="s">
        <v>235</v>
      </c>
      <c r="D31" s="63">
        <v>1</v>
      </c>
      <c r="E31" s="64" t="s">
        <v>152</v>
      </c>
      <c r="F31" s="42" t="s">
        <v>236</v>
      </c>
      <c r="G31" s="43" t="s">
        <v>237</v>
      </c>
      <c r="H31" s="59">
        <f ca="1" t="shared" si="0"/>
        <v>1997</v>
      </c>
      <c r="I31" s="61" t="s">
        <v>224</v>
      </c>
      <c r="J31" s="60" t="s">
        <v>145</v>
      </c>
      <c r="K31" s="44">
        <v>75.4</v>
      </c>
      <c r="L31" s="67">
        <v>48</v>
      </c>
      <c r="M31" s="67">
        <v>51</v>
      </c>
      <c r="N31" s="67">
        <v>-54</v>
      </c>
      <c r="O31" s="45">
        <v>51</v>
      </c>
      <c r="P31" s="67">
        <v>58</v>
      </c>
      <c r="Q31" s="67">
        <v>-61</v>
      </c>
      <c r="R31" s="67">
        <v>63</v>
      </c>
      <c r="S31" s="45">
        <v>63</v>
      </c>
      <c r="T31" s="46">
        <v>114</v>
      </c>
      <c r="U31" s="68" t="str">
        <f ca="1" t="shared" si="1"/>
        <v>DPT + 19</v>
      </c>
      <c r="V3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F76</v>
      </c>
      <c r="W31" s="69">
        <v>135.45620472630847</v>
      </c>
      <c r="X31" s="5">
        <f ca="1" t="shared" si="2"/>
        <v>22</v>
      </c>
      <c r="Y31" s="5">
        <f ca="1">MATCH(INDIRECT("X"&amp;ROW()),Minimas!$B$50:$B$56,-1)</f>
        <v>1</v>
      </c>
      <c r="Z31" s="5">
        <f ca="1">IF(INDIRECT("E"&amp;ROW())="H",MATCH(INDIRECT("K"&amp;ROW()),Minimas!$A$16:$A$29,1),MATCH(INDIRECT("K"&amp;ROW()),Minimas!$J$16:$J$27,1))</f>
        <v>9</v>
      </c>
      <c r="AA31" s="59">
        <v>35537</v>
      </c>
      <c r="AB31" s="70">
        <f ca="1">INDIRECT("T"&amp;ROW())-HLOOKUP(INDIRECT("V"&amp;ROW()),Minimas!$C$3:$CD$12,AB$4+1,FALSE)</f>
        <v>34</v>
      </c>
      <c r="AC31" s="70">
        <f ca="1">INDIRECT("T"&amp;ROW())-HLOOKUP(INDIRECT("V"&amp;ROW()),Minimas!$C$3:$CD$12,AC$4+1,FALSE)</f>
        <v>19</v>
      </c>
      <c r="AD31" s="70">
        <f ca="1">INDIRECT("T"&amp;ROW())-HLOOKUP(INDIRECT("V"&amp;ROW()),Minimas!$C$3:$CD$12,AD$4+1,FALSE)</f>
        <v>-1</v>
      </c>
      <c r="AE31" s="70">
        <f ca="1">INDIRECT("T"&amp;ROW())-HLOOKUP(INDIRECT("V"&amp;ROW()),Minimas!$C$3:$CD$12,AE$4+1,FALSE)</f>
        <v>-16</v>
      </c>
      <c r="AF31" s="70">
        <f ca="1">INDIRECT("T"&amp;ROW())-HLOOKUP(INDIRECT("V"&amp;ROW()),Minimas!$C$3:$CD$12,AF$4+1,FALSE)</f>
        <v>-33</v>
      </c>
      <c r="AG31" s="70">
        <f ca="1">INDIRECT("T"&amp;ROW())-HLOOKUP(INDIRECT("V"&amp;ROW()),Minimas!$C$3:$CD$12,AG$4+1,FALSE)</f>
        <v>-56</v>
      </c>
      <c r="AH31" s="70">
        <f ca="1">INDIRECT("T"&amp;ROW())-HLOOKUP(INDIRECT("V"&amp;ROW()),Minimas!$C$3:$CD$12,AH$4+1,FALSE)</f>
        <v>-76</v>
      </c>
      <c r="AI31" s="70">
        <f ca="1">INDIRECT("T"&amp;ROW())-HLOOKUP(INDIRECT("V"&amp;ROW()),Minimas!$C$3:$CD$12,AI$4+1,FALSE)</f>
        <v>-96</v>
      </c>
      <c r="AJ31" s="70">
        <f ca="1">INDIRECT("T"&amp;ROW())-HLOOKUP(INDIRECT("V"&amp;ROW()),Minimas!$C$3:$CD$12,AJ$4+1,FALSE)</f>
        <v>-111</v>
      </c>
      <c r="AK31" s="71">
        <f ca="1" t="shared" si="3"/>
        <v>2</v>
      </c>
      <c r="AM31" s="5" t="str">
        <f ca="1" t="shared" si="4"/>
        <v>DPT +</v>
      </c>
      <c r="AN31" s="5">
        <f ca="1" t="shared" si="5"/>
        <v>19</v>
      </c>
      <c r="AO31" s="86">
        <v>55.64513147460587</v>
      </c>
      <c r="AP31" s="71" t="s">
        <v>390</v>
      </c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2:123" ht="30" customHeight="1" thickBot="1">
      <c r="B32" s="62"/>
      <c r="C32" s="65" t="s">
        <v>238</v>
      </c>
      <c r="D32" s="92">
        <v>1</v>
      </c>
      <c r="E32" s="64" t="s">
        <v>374</v>
      </c>
      <c r="F32" s="42" t="s">
        <v>239</v>
      </c>
      <c r="G32" s="43" t="s">
        <v>240</v>
      </c>
      <c r="H32" s="59">
        <f ca="1" t="shared" si="0"/>
        <v>1991</v>
      </c>
      <c r="I32" s="61" t="s">
        <v>224</v>
      </c>
      <c r="J32" s="60" t="s">
        <v>145</v>
      </c>
      <c r="K32" s="44">
        <v>61</v>
      </c>
      <c r="L32" s="67">
        <v>93</v>
      </c>
      <c r="M32" s="67">
        <v>-101</v>
      </c>
      <c r="N32" s="67">
        <v>-104</v>
      </c>
      <c r="O32" s="45">
        <v>93</v>
      </c>
      <c r="P32" s="67">
        <v>95</v>
      </c>
      <c r="Q32" s="67">
        <v>-122</v>
      </c>
      <c r="R32" s="67">
        <v>-131</v>
      </c>
      <c r="S32" s="45">
        <v>95</v>
      </c>
      <c r="T32" s="46">
        <v>188</v>
      </c>
      <c r="U32" s="68" t="str">
        <f ca="1" t="shared" si="1"/>
        <v>IRG + 18</v>
      </c>
      <c r="V3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M61</v>
      </c>
      <c r="W32" s="69">
        <v>270.7420159101313</v>
      </c>
      <c r="X32" s="5">
        <f ca="1" t="shared" si="2"/>
        <v>28</v>
      </c>
      <c r="Y32" s="5">
        <f ca="1">MATCH(INDIRECT("X"&amp;ROW()),Minimas!$B$50:$B$56,-1)</f>
        <v>1</v>
      </c>
      <c r="Z32" s="5">
        <f ca="1">IF(INDIRECT("E"&amp;ROW())="H",MATCH(INDIRECT("K"&amp;ROW()),Minimas!$A$16:$A$29,1),MATCH(INDIRECT("K"&amp;ROW()),Minimas!$J$16:$J$27,1))</f>
        <v>6</v>
      </c>
      <c r="AA32" s="59">
        <v>33559</v>
      </c>
      <c r="AB32" s="70">
        <f ca="1">INDIRECT("T"&amp;ROW())-HLOOKUP(INDIRECT("V"&amp;ROW()),Minimas!$C$3:$CD$12,AB$4+1,FALSE)</f>
        <v>78</v>
      </c>
      <c r="AC32" s="70">
        <f ca="1">INDIRECT("T"&amp;ROW())-HLOOKUP(INDIRECT("V"&amp;ROW()),Minimas!$C$3:$CD$12,AC$4+1,FALSE)</f>
        <v>58</v>
      </c>
      <c r="AD32" s="70">
        <f ca="1">INDIRECT("T"&amp;ROW())-HLOOKUP(INDIRECT("V"&amp;ROW()),Minimas!$C$3:$CD$12,AD$4+1,FALSE)</f>
        <v>38</v>
      </c>
      <c r="AE32" s="70">
        <f ca="1">INDIRECT("T"&amp;ROW())-HLOOKUP(INDIRECT("V"&amp;ROW()),Minimas!$C$3:$CD$12,AE$4+1,FALSE)</f>
        <v>18</v>
      </c>
      <c r="AF32" s="70">
        <f ca="1">INDIRECT("T"&amp;ROW())-HLOOKUP(INDIRECT("V"&amp;ROW()),Minimas!$C$3:$CD$12,AF$4+1,FALSE)</f>
        <v>-7</v>
      </c>
      <c r="AG32" s="70">
        <f ca="1">INDIRECT("T"&amp;ROW())-HLOOKUP(INDIRECT("V"&amp;ROW()),Minimas!$C$3:$CD$12,AG$4+1,FALSE)</f>
        <v>-27</v>
      </c>
      <c r="AH32" s="70">
        <f ca="1">INDIRECT("T"&amp;ROW())-HLOOKUP(INDIRECT("V"&amp;ROW()),Minimas!$C$3:$CD$12,AH$4+1,FALSE)</f>
        <v>-47</v>
      </c>
      <c r="AI32" s="70">
        <f ca="1">INDIRECT("T"&amp;ROW())-HLOOKUP(INDIRECT("V"&amp;ROW()),Minimas!$C$3:$CD$12,AI$4+1,FALSE)</f>
        <v>-72</v>
      </c>
      <c r="AJ32" s="70">
        <f ca="1">INDIRECT("T"&amp;ROW())-HLOOKUP(INDIRECT("V"&amp;ROW()),Minimas!$C$3:$CD$12,AJ$4+1,FALSE)</f>
        <v>-87</v>
      </c>
      <c r="AK32" s="71">
        <f ca="1" t="shared" si="3"/>
        <v>4</v>
      </c>
      <c r="AM32" s="5" t="str">
        <f ca="1" t="shared" si="4"/>
        <v>IRG +</v>
      </c>
      <c r="AN32" s="5">
        <f ca="1" t="shared" si="5"/>
        <v>18</v>
      </c>
      <c r="AO32" s="86">
        <v>185.86029956117753</v>
      </c>
      <c r="AP32" s="103" t="s">
        <v>391</v>
      </c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</row>
    <row r="33" spans="2:123" ht="30" customHeight="1" thickBot="1">
      <c r="B33" s="62"/>
      <c r="C33" s="65" t="s">
        <v>241</v>
      </c>
      <c r="D33" s="92">
        <v>2</v>
      </c>
      <c r="E33" s="64" t="s">
        <v>374</v>
      </c>
      <c r="F33" s="42" t="s">
        <v>242</v>
      </c>
      <c r="G33" s="43" t="s">
        <v>243</v>
      </c>
      <c r="H33" s="59">
        <f ca="1" t="shared" si="0"/>
        <v>1998</v>
      </c>
      <c r="I33" s="61" t="s">
        <v>195</v>
      </c>
      <c r="J33" s="60" t="s">
        <v>145</v>
      </c>
      <c r="K33" s="44">
        <v>61</v>
      </c>
      <c r="L33" s="67">
        <v>-75</v>
      </c>
      <c r="M33" s="67">
        <v>75</v>
      </c>
      <c r="N33" s="67">
        <v>-80</v>
      </c>
      <c r="O33" s="45">
        <v>75</v>
      </c>
      <c r="P33" s="67">
        <v>76</v>
      </c>
      <c r="Q33" s="67">
        <v>0</v>
      </c>
      <c r="R33" s="67">
        <v>0</v>
      </c>
      <c r="S33" s="45">
        <v>76</v>
      </c>
      <c r="T33" s="46">
        <v>151</v>
      </c>
      <c r="U33" s="68" t="str">
        <f ca="1" t="shared" si="1"/>
        <v>REG + 1</v>
      </c>
      <c r="V3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M61</v>
      </c>
      <c r="W33" s="69">
        <v>217.457682991648</v>
      </c>
      <c r="X33" s="5">
        <f ca="1" t="shared" si="2"/>
        <v>21</v>
      </c>
      <c r="Y33" s="5">
        <f ca="1">MATCH(INDIRECT("X"&amp;ROW()),Minimas!$B$50:$B$56,-1)</f>
        <v>1</v>
      </c>
      <c r="Z33" s="5">
        <f ca="1">IF(INDIRECT("E"&amp;ROW())="H",MATCH(INDIRECT("K"&amp;ROW()),Minimas!$A$16:$A$29,1),MATCH(INDIRECT("K"&amp;ROW()),Minimas!$J$16:$J$27,1))</f>
        <v>6</v>
      </c>
      <c r="AA33" s="59">
        <v>36081</v>
      </c>
      <c r="AB33" s="70">
        <f ca="1">INDIRECT("T"&amp;ROW())-HLOOKUP(INDIRECT("V"&amp;ROW()),Minimas!$C$3:$CD$12,AB$4+1,FALSE)</f>
        <v>41</v>
      </c>
      <c r="AC33" s="70">
        <f ca="1">INDIRECT("T"&amp;ROW())-HLOOKUP(INDIRECT("V"&amp;ROW()),Minimas!$C$3:$CD$12,AC$4+1,FALSE)</f>
        <v>21</v>
      </c>
      <c r="AD33" s="70">
        <f ca="1">INDIRECT("T"&amp;ROW())-HLOOKUP(INDIRECT("V"&amp;ROW()),Minimas!$C$3:$CD$12,AD$4+1,FALSE)</f>
        <v>1</v>
      </c>
      <c r="AE33" s="70">
        <f ca="1">INDIRECT("T"&amp;ROW())-HLOOKUP(INDIRECT("V"&amp;ROW()),Minimas!$C$3:$CD$12,AE$4+1,FALSE)</f>
        <v>-19</v>
      </c>
      <c r="AF33" s="70">
        <f ca="1">INDIRECT("T"&amp;ROW())-HLOOKUP(INDIRECT("V"&amp;ROW()),Minimas!$C$3:$CD$12,AF$4+1,FALSE)</f>
        <v>-44</v>
      </c>
      <c r="AG33" s="70">
        <f ca="1">INDIRECT("T"&amp;ROW())-HLOOKUP(INDIRECT("V"&amp;ROW()),Minimas!$C$3:$CD$12,AG$4+1,FALSE)</f>
        <v>-64</v>
      </c>
      <c r="AH33" s="70">
        <f ca="1">INDIRECT("T"&amp;ROW())-HLOOKUP(INDIRECT("V"&amp;ROW()),Minimas!$C$3:$CD$12,AH$4+1,FALSE)</f>
        <v>-84</v>
      </c>
      <c r="AI33" s="70">
        <f ca="1">INDIRECT("T"&amp;ROW())-HLOOKUP(INDIRECT("V"&amp;ROW()),Minimas!$C$3:$CD$12,AI$4+1,FALSE)</f>
        <v>-109</v>
      </c>
      <c r="AJ33" s="70">
        <f ca="1">INDIRECT("T"&amp;ROW())-HLOOKUP(INDIRECT("V"&amp;ROW()),Minimas!$C$3:$CD$12,AJ$4+1,FALSE)</f>
        <v>-124</v>
      </c>
      <c r="AK33" s="71">
        <f ca="1" t="shared" si="3"/>
        <v>3</v>
      </c>
      <c r="AM33" s="5" t="str">
        <f ca="1" t="shared" si="4"/>
        <v>REG +</v>
      </c>
      <c r="AN33" s="5">
        <f ca="1" t="shared" si="5"/>
        <v>1</v>
      </c>
      <c r="AO33" s="86">
        <v>89.74340027424321</v>
      </c>
      <c r="AP33" s="10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</row>
    <row r="34" spans="2:123" ht="30" customHeight="1" thickBot="1">
      <c r="B34" s="62"/>
      <c r="C34" s="65" t="s">
        <v>244</v>
      </c>
      <c r="D34" s="92">
        <v>3</v>
      </c>
      <c r="E34" s="64" t="s">
        <v>374</v>
      </c>
      <c r="F34" s="42" t="s">
        <v>245</v>
      </c>
      <c r="G34" s="43" t="s">
        <v>246</v>
      </c>
      <c r="H34" s="59">
        <f ca="1" t="shared" si="0"/>
        <v>1998</v>
      </c>
      <c r="I34" s="61" t="s">
        <v>181</v>
      </c>
      <c r="J34" s="60" t="s">
        <v>145</v>
      </c>
      <c r="K34" s="44">
        <v>60.6</v>
      </c>
      <c r="L34" s="67">
        <v>-55</v>
      </c>
      <c r="M34" s="67">
        <v>58</v>
      </c>
      <c r="N34" s="67">
        <v>-62</v>
      </c>
      <c r="O34" s="45">
        <v>58</v>
      </c>
      <c r="P34" s="67">
        <v>-72</v>
      </c>
      <c r="Q34" s="67">
        <v>72</v>
      </c>
      <c r="R34" s="67">
        <v>75</v>
      </c>
      <c r="S34" s="45">
        <v>75</v>
      </c>
      <c r="T34" s="46">
        <v>133</v>
      </c>
      <c r="U34" s="68" t="str">
        <f ca="1" t="shared" si="1"/>
        <v>DPT + 3</v>
      </c>
      <c r="V3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M61</v>
      </c>
      <c r="W34" s="69">
        <v>192.41004381533762</v>
      </c>
      <c r="X34" s="5">
        <f ca="1" t="shared" si="2"/>
        <v>21</v>
      </c>
      <c r="Y34" s="5">
        <f ca="1">MATCH(INDIRECT("X"&amp;ROW()),Minimas!$B$50:$B$56,-1)</f>
        <v>1</v>
      </c>
      <c r="Z34" s="5">
        <f ca="1">IF(INDIRECT("E"&amp;ROW())="H",MATCH(INDIRECT("K"&amp;ROW()),Minimas!$A$16:$A$29,1),MATCH(INDIRECT("K"&amp;ROW()),Minimas!$J$16:$J$27,1))</f>
        <v>6</v>
      </c>
      <c r="AA34" s="59">
        <v>35809</v>
      </c>
      <c r="AB34" s="70">
        <f ca="1">INDIRECT("T"&amp;ROW())-HLOOKUP(INDIRECT("V"&amp;ROW()),Minimas!$C$3:$CD$12,AB$4+1,FALSE)</f>
        <v>23</v>
      </c>
      <c r="AC34" s="70">
        <f ca="1">INDIRECT("T"&amp;ROW())-HLOOKUP(INDIRECT("V"&amp;ROW()),Minimas!$C$3:$CD$12,AC$4+1,FALSE)</f>
        <v>3</v>
      </c>
      <c r="AD34" s="70">
        <f ca="1">INDIRECT("T"&amp;ROW())-HLOOKUP(INDIRECT("V"&amp;ROW()),Minimas!$C$3:$CD$12,AD$4+1,FALSE)</f>
        <v>-17</v>
      </c>
      <c r="AE34" s="70">
        <f ca="1">INDIRECT("T"&amp;ROW())-HLOOKUP(INDIRECT("V"&amp;ROW()),Minimas!$C$3:$CD$12,AE$4+1,FALSE)</f>
        <v>-37</v>
      </c>
      <c r="AF34" s="70">
        <f ca="1">INDIRECT("T"&amp;ROW())-HLOOKUP(INDIRECT("V"&amp;ROW()),Minimas!$C$3:$CD$12,AF$4+1,FALSE)</f>
        <v>-62</v>
      </c>
      <c r="AG34" s="70">
        <f ca="1">INDIRECT("T"&amp;ROW())-HLOOKUP(INDIRECT("V"&amp;ROW()),Minimas!$C$3:$CD$12,AG$4+1,FALSE)</f>
        <v>-82</v>
      </c>
      <c r="AH34" s="70">
        <f ca="1">INDIRECT("T"&amp;ROW())-HLOOKUP(INDIRECT("V"&amp;ROW()),Minimas!$C$3:$CD$12,AH$4+1,FALSE)</f>
        <v>-102</v>
      </c>
      <c r="AI34" s="70">
        <f ca="1">INDIRECT("T"&amp;ROW())-HLOOKUP(INDIRECT("V"&amp;ROW()),Minimas!$C$3:$CD$12,AI$4+1,FALSE)</f>
        <v>-127</v>
      </c>
      <c r="AJ34" s="70">
        <f ca="1">INDIRECT("T"&amp;ROW())-HLOOKUP(INDIRECT("V"&amp;ROW()),Minimas!$C$3:$CD$12,AJ$4+1,FALSE)</f>
        <v>-142</v>
      </c>
      <c r="AK34" s="71">
        <f ca="1" t="shared" si="3"/>
        <v>2</v>
      </c>
      <c r="AM34" s="5" t="str">
        <f ca="1" t="shared" si="4"/>
        <v>DPT +</v>
      </c>
      <c r="AN34" s="5">
        <f ca="1" t="shared" si="5"/>
        <v>3</v>
      </c>
      <c r="AO34" s="86">
        <v>58.868126791211765</v>
      </c>
      <c r="AP34" s="10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</row>
    <row r="35" spans="2:123" ht="30" customHeight="1" thickBot="1">
      <c r="B35" s="62"/>
      <c r="C35" s="65" t="s">
        <v>247</v>
      </c>
      <c r="D35" s="93">
        <v>1</v>
      </c>
      <c r="E35" s="64" t="s">
        <v>374</v>
      </c>
      <c r="F35" s="134" t="s">
        <v>248</v>
      </c>
      <c r="G35" s="135" t="s">
        <v>249</v>
      </c>
      <c r="H35" s="59">
        <f ca="1" t="shared" si="0"/>
        <v>1998</v>
      </c>
      <c r="I35" s="61" t="s">
        <v>250</v>
      </c>
      <c r="J35" s="60" t="s">
        <v>145</v>
      </c>
      <c r="K35" s="44">
        <v>65.7</v>
      </c>
      <c r="L35" s="67">
        <v>80</v>
      </c>
      <c r="M35" s="67">
        <v>84</v>
      </c>
      <c r="N35" s="67">
        <v>86</v>
      </c>
      <c r="O35" s="45">
        <v>86</v>
      </c>
      <c r="P35" s="67">
        <v>105</v>
      </c>
      <c r="Q35" s="67">
        <v>110</v>
      </c>
      <c r="R35" s="67">
        <v>-115</v>
      </c>
      <c r="S35" s="45">
        <v>110</v>
      </c>
      <c r="T35" s="46">
        <v>196</v>
      </c>
      <c r="U35" s="68" t="str">
        <f ca="1" t="shared" si="1"/>
        <v>IRG + 1</v>
      </c>
      <c r="V3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M67</v>
      </c>
      <c r="W35" s="69">
        <v>268.64893380017924</v>
      </c>
      <c r="X35" s="5">
        <f ca="1" t="shared" si="2"/>
        <v>21</v>
      </c>
      <c r="Y35" s="5">
        <f ca="1">MATCH(INDIRECT("X"&amp;ROW()),Minimas!$B$50:$B$56,-1)</f>
        <v>1</v>
      </c>
      <c r="Z35" s="5">
        <f ca="1">IF(INDIRECT("E"&amp;ROW())="H",MATCH(INDIRECT("K"&amp;ROW()),Minimas!$A$16:$A$29,1),MATCH(INDIRECT("K"&amp;ROW()),Minimas!$J$16:$J$27,1))</f>
        <v>7</v>
      </c>
      <c r="AA35" s="59">
        <v>36124</v>
      </c>
      <c r="AB35" s="70">
        <f ca="1">INDIRECT("T"&amp;ROW())-HLOOKUP(INDIRECT("V"&amp;ROW()),Minimas!$C$3:$CD$12,AB$4+1,FALSE)</f>
        <v>71</v>
      </c>
      <c r="AC35" s="70">
        <f ca="1">INDIRECT("T"&amp;ROW())-HLOOKUP(INDIRECT("V"&amp;ROW()),Minimas!$C$3:$CD$12,AC$4+1,FALSE)</f>
        <v>51</v>
      </c>
      <c r="AD35" s="70">
        <f ca="1">INDIRECT("T"&amp;ROW())-HLOOKUP(INDIRECT("V"&amp;ROW()),Minimas!$C$3:$CD$12,AD$4+1,FALSE)</f>
        <v>26</v>
      </c>
      <c r="AE35" s="70">
        <f ca="1">INDIRECT("T"&amp;ROW())-HLOOKUP(INDIRECT("V"&amp;ROW()),Minimas!$C$3:$CD$12,AE$4+1,FALSE)</f>
        <v>1</v>
      </c>
      <c r="AF35" s="70">
        <f ca="1">INDIRECT("T"&amp;ROW())-HLOOKUP(INDIRECT("V"&amp;ROW()),Minimas!$C$3:$CD$12,AF$4+1,FALSE)</f>
        <v>-29</v>
      </c>
      <c r="AG35" s="70">
        <f ca="1">INDIRECT("T"&amp;ROW())-HLOOKUP(INDIRECT("V"&amp;ROW()),Minimas!$C$3:$CD$12,AG$4+1,FALSE)</f>
        <v>-44</v>
      </c>
      <c r="AH35" s="70">
        <f ca="1">INDIRECT("T"&amp;ROW())-HLOOKUP(INDIRECT("V"&amp;ROW()),Minimas!$C$3:$CD$12,AH$4+1,FALSE)</f>
        <v>-64</v>
      </c>
      <c r="AI35" s="70">
        <f ca="1">INDIRECT("T"&amp;ROW())-HLOOKUP(INDIRECT("V"&amp;ROW()),Minimas!$C$3:$CD$12,AI$4+1,FALSE)</f>
        <v>-84</v>
      </c>
      <c r="AJ35" s="70">
        <f ca="1">INDIRECT("T"&amp;ROW())-HLOOKUP(INDIRECT("V"&amp;ROW()),Minimas!$C$3:$CD$12,AJ$4+1,FALSE)</f>
        <v>-99</v>
      </c>
      <c r="AK35" s="71">
        <f ca="1" t="shared" si="3"/>
        <v>4</v>
      </c>
      <c r="AM35" s="5" t="str">
        <f ca="1" t="shared" si="4"/>
        <v>IRG +</v>
      </c>
      <c r="AN35" s="5">
        <f ca="1" t="shared" si="5"/>
        <v>1</v>
      </c>
      <c r="AO35" s="86">
        <v>175.3971116229561</v>
      </c>
      <c r="AP35" s="104" t="s">
        <v>392</v>
      </c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</row>
    <row r="36" spans="2:123" ht="30" customHeight="1" thickBot="1">
      <c r="B36" s="62"/>
      <c r="C36" s="65" t="s">
        <v>251</v>
      </c>
      <c r="D36" s="93">
        <v>2</v>
      </c>
      <c r="E36" s="64" t="s">
        <v>374</v>
      </c>
      <c r="F36" s="42" t="s">
        <v>252</v>
      </c>
      <c r="G36" s="43" t="s">
        <v>253</v>
      </c>
      <c r="H36" s="59">
        <f ca="1" t="shared" si="0"/>
        <v>1998</v>
      </c>
      <c r="I36" s="61" t="s">
        <v>254</v>
      </c>
      <c r="J36" s="60" t="s">
        <v>145</v>
      </c>
      <c r="K36" s="44">
        <v>63.3</v>
      </c>
      <c r="L36" s="67">
        <v>79</v>
      </c>
      <c r="M36" s="67">
        <v>-84</v>
      </c>
      <c r="N36" s="67">
        <v>-84</v>
      </c>
      <c r="O36" s="45">
        <v>79</v>
      </c>
      <c r="P36" s="67">
        <v>100</v>
      </c>
      <c r="Q36" s="67">
        <v>-108</v>
      </c>
      <c r="R36" s="67">
        <v>0</v>
      </c>
      <c r="S36" s="45">
        <v>100</v>
      </c>
      <c r="T36" s="46">
        <v>179</v>
      </c>
      <c r="U36" s="68" t="str">
        <f ca="1" t="shared" si="1"/>
        <v>REG + 9</v>
      </c>
      <c r="V3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M67</v>
      </c>
      <c r="W36" s="69">
        <v>251.3913625810401</v>
      </c>
      <c r="X36" s="5">
        <f ca="1" t="shared" si="2"/>
        <v>21</v>
      </c>
      <c r="Y36" s="5">
        <f ca="1">MATCH(INDIRECT("X"&amp;ROW()),Minimas!$B$50:$B$56,-1)</f>
        <v>1</v>
      </c>
      <c r="Z36" s="5">
        <f ca="1">IF(INDIRECT("E"&amp;ROW())="H",MATCH(INDIRECT("K"&amp;ROW()),Minimas!$A$16:$A$29,1),MATCH(INDIRECT("K"&amp;ROW()),Minimas!$J$16:$J$27,1))</f>
        <v>7</v>
      </c>
      <c r="AA36" s="59">
        <v>36014</v>
      </c>
      <c r="AB36" s="70">
        <f ca="1">INDIRECT("T"&amp;ROW())-HLOOKUP(INDIRECT("V"&amp;ROW()),Minimas!$C$3:$CD$12,AB$4+1,FALSE)</f>
        <v>54</v>
      </c>
      <c r="AC36" s="70">
        <f ca="1">INDIRECT("T"&amp;ROW())-HLOOKUP(INDIRECT("V"&amp;ROW()),Minimas!$C$3:$CD$12,AC$4+1,FALSE)</f>
        <v>34</v>
      </c>
      <c r="AD36" s="70">
        <f ca="1">INDIRECT("T"&amp;ROW())-HLOOKUP(INDIRECT("V"&amp;ROW()),Minimas!$C$3:$CD$12,AD$4+1,FALSE)</f>
        <v>9</v>
      </c>
      <c r="AE36" s="70">
        <f ca="1">INDIRECT("T"&amp;ROW())-HLOOKUP(INDIRECT("V"&amp;ROW()),Minimas!$C$3:$CD$12,AE$4+1,FALSE)</f>
        <v>-16</v>
      </c>
      <c r="AF36" s="70">
        <f ca="1">INDIRECT("T"&amp;ROW())-HLOOKUP(INDIRECT("V"&amp;ROW()),Minimas!$C$3:$CD$12,AF$4+1,FALSE)</f>
        <v>-46</v>
      </c>
      <c r="AG36" s="70">
        <f ca="1">INDIRECT("T"&amp;ROW())-HLOOKUP(INDIRECT("V"&amp;ROW()),Minimas!$C$3:$CD$12,AG$4+1,FALSE)</f>
        <v>-61</v>
      </c>
      <c r="AH36" s="70">
        <f ca="1">INDIRECT("T"&amp;ROW())-HLOOKUP(INDIRECT("V"&amp;ROW()),Minimas!$C$3:$CD$12,AH$4+1,FALSE)</f>
        <v>-81</v>
      </c>
      <c r="AI36" s="70">
        <f ca="1">INDIRECT("T"&amp;ROW())-HLOOKUP(INDIRECT("V"&amp;ROW()),Minimas!$C$3:$CD$12,AI$4+1,FALSE)</f>
        <v>-101</v>
      </c>
      <c r="AJ36" s="70">
        <f ca="1">INDIRECT("T"&amp;ROW())-HLOOKUP(INDIRECT("V"&amp;ROW()),Minimas!$C$3:$CD$12,AJ$4+1,FALSE)</f>
        <v>-116</v>
      </c>
      <c r="AK36" s="71">
        <f ca="1" t="shared" si="3"/>
        <v>3</v>
      </c>
      <c r="AM36" s="5" t="str">
        <f ca="1" t="shared" si="4"/>
        <v>REG +</v>
      </c>
      <c r="AN36" s="5">
        <f ca="1" t="shared" si="5"/>
        <v>9</v>
      </c>
      <c r="AO36" s="86">
        <v>129.7562752875768</v>
      </c>
      <c r="AP36" s="10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2:123" ht="30" customHeight="1" thickBot="1">
      <c r="B37" s="62"/>
      <c r="C37" s="65" t="s">
        <v>255</v>
      </c>
      <c r="D37" s="93">
        <v>3</v>
      </c>
      <c r="E37" s="64" t="s">
        <v>374</v>
      </c>
      <c r="F37" s="42" t="s">
        <v>256</v>
      </c>
      <c r="G37" s="43" t="s">
        <v>257</v>
      </c>
      <c r="H37" s="59">
        <f ca="1" t="shared" si="0"/>
        <v>1996</v>
      </c>
      <c r="I37" s="61" t="s">
        <v>218</v>
      </c>
      <c r="J37" s="60" t="s">
        <v>145</v>
      </c>
      <c r="K37" s="44">
        <v>65.2</v>
      </c>
      <c r="L37" s="67">
        <v>70</v>
      </c>
      <c r="M37" s="67">
        <v>75</v>
      </c>
      <c r="N37" s="67">
        <v>-78</v>
      </c>
      <c r="O37" s="45">
        <v>75</v>
      </c>
      <c r="P37" s="67">
        <v>90</v>
      </c>
      <c r="Q37" s="67">
        <v>95</v>
      </c>
      <c r="R37" s="67">
        <v>-100</v>
      </c>
      <c r="S37" s="45">
        <v>95</v>
      </c>
      <c r="T37" s="46">
        <v>170</v>
      </c>
      <c r="U37" s="68" t="str">
        <f ca="1" t="shared" si="1"/>
        <v>REG + 0</v>
      </c>
      <c r="V3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M67</v>
      </c>
      <c r="W37" s="69">
        <v>234.16147987873532</v>
      </c>
      <c r="X37" s="5">
        <f ca="1" t="shared" si="2"/>
        <v>23</v>
      </c>
      <c r="Y37" s="5">
        <f ca="1">MATCH(INDIRECT("X"&amp;ROW()),Minimas!$B$50:$B$56,-1)</f>
        <v>1</v>
      </c>
      <c r="Z37" s="5">
        <f ca="1">IF(INDIRECT("E"&amp;ROW())="H",MATCH(INDIRECT("K"&amp;ROW()),Minimas!$A$16:$A$29,1),MATCH(INDIRECT("K"&amp;ROW()),Minimas!$J$16:$J$27,1))</f>
        <v>7</v>
      </c>
      <c r="AA37" s="59">
        <v>35401</v>
      </c>
      <c r="AB37" s="70">
        <f ca="1">INDIRECT("T"&amp;ROW())-HLOOKUP(INDIRECT("V"&amp;ROW()),Minimas!$C$3:$CD$12,AB$4+1,FALSE)</f>
        <v>45</v>
      </c>
      <c r="AC37" s="70">
        <f ca="1">INDIRECT("T"&amp;ROW())-HLOOKUP(INDIRECT("V"&amp;ROW()),Minimas!$C$3:$CD$12,AC$4+1,FALSE)</f>
        <v>25</v>
      </c>
      <c r="AD37" s="70">
        <f ca="1">INDIRECT("T"&amp;ROW())-HLOOKUP(INDIRECT("V"&amp;ROW()),Minimas!$C$3:$CD$12,AD$4+1,FALSE)</f>
        <v>0</v>
      </c>
      <c r="AE37" s="70">
        <f ca="1">INDIRECT("T"&amp;ROW())-HLOOKUP(INDIRECT("V"&amp;ROW()),Minimas!$C$3:$CD$12,AE$4+1,FALSE)</f>
        <v>-25</v>
      </c>
      <c r="AF37" s="70">
        <f ca="1">INDIRECT("T"&amp;ROW())-HLOOKUP(INDIRECT("V"&amp;ROW()),Minimas!$C$3:$CD$12,AF$4+1,FALSE)</f>
        <v>-55</v>
      </c>
      <c r="AG37" s="70">
        <f ca="1">INDIRECT("T"&amp;ROW())-HLOOKUP(INDIRECT("V"&amp;ROW()),Minimas!$C$3:$CD$12,AG$4+1,FALSE)</f>
        <v>-70</v>
      </c>
      <c r="AH37" s="70">
        <f ca="1">INDIRECT("T"&amp;ROW())-HLOOKUP(INDIRECT("V"&amp;ROW()),Minimas!$C$3:$CD$12,AH$4+1,FALSE)</f>
        <v>-90</v>
      </c>
      <c r="AI37" s="70">
        <f ca="1">INDIRECT("T"&amp;ROW())-HLOOKUP(INDIRECT("V"&amp;ROW()),Minimas!$C$3:$CD$12,AI$4+1,FALSE)</f>
        <v>-110</v>
      </c>
      <c r="AJ37" s="70">
        <f ca="1">INDIRECT("T"&amp;ROW())-HLOOKUP(INDIRECT("V"&amp;ROW()),Minimas!$C$3:$CD$12,AJ$4+1,FALSE)</f>
        <v>-125</v>
      </c>
      <c r="AK37" s="71">
        <f ca="1" t="shared" si="3"/>
        <v>3</v>
      </c>
      <c r="AM37" s="5" t="str">
        <f ca="1" t="shared" si="4"/>
        <v>REG +</v>
      </c>
      <c r="AN37" s="5">
        <f ca="1" t="shared" si="5"/>
        <v>0</v>
      </c>
      <c r="AO37" s="86">
        <v>109.32098328707595</v>
      </c>
      <c r="AP37" s="10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2:123" ht="30" customHeight="1" thickBot="1">
      <c r="B38" s="62"/>
      <c r="C38" s="65" t="s">
        <v>258</v>
      </c>
      <c r="D38" s="93">
        <v>4</v>
      </c>
      <c r="E38" s="64" t="s">
        <v>374</v>
      </c>
      <c r="F38" s="42" t="s">
        <v>259</v>
      </c>
      <c r="G38" s="43" t="s">
        <v>260</v>
      </c>
      <c r="H38" s="59">
        <f aca="true" ca="1" t="shared" si="6" ref="H38:H73">YEAR(INDIRECT("AA"&amp;ROW()))</f>
        <v>1999</v>
      </c>
      <c r="I38" s="61" t="s">
        <v>181</v>
      </c>
      <c r="J38" s="60" t="s">
        <v>145</v>
      </c>
      <c r="K38" s="44">
        <v>65.1</v>
      </c>
      <c r="L38" s="67">
        <v>70</v>
      </c>
      <c r="M38" s="67">
        <v>-75</v>
      </c>
      <c r="N38" s="67">
        <v>-78</v>
      </c>
      <c r="O38" s="45">
        <v>70</v>
      </c>
      <c r="P38" s="67">
        <v>80</v>
      </c>
      <c r="Q38" s="67">
        <v>-85</v>
      </c>
      <c r="R38" s="67">
        <v>-85</v>
      </c>
      <c r="S38" s="45">
        <v>80</v>
      </c>
      <c r="T38" s="46">
        <v>150</v>
      </c>
      <c r="U38" s="68" t="str">
        <f ca="1" t="shared" si="7" ref="U38:U73">INDIRECT("AM"&amp;ROW())&amp;" "&amp;INDIRECT("AN"&amp;ROW())</f>
        <v>REG + 0</v>
      </c>
      <c r="V3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M67</v>
      </c>
      <c r="W38" s="69">
        <v>206.8184371810014</v>
      </c>
      <c r="X38" s="5">
        <f aca="true" ca="1" t="shared" si="8" ref="X38:X73">YEAR(TODAY())-YEAR(INDIRECT("AA"&amp;ROW()))</f>
        <v>20</v>
      </c>
      <c r="Y38" s="5">
        <f ca="1">MATCH(INDIRECT("X"&amp;ROW()),Minimas!$B$50:$B$56,-1)</f>
        <v>2</v>
      </c>
      <c r="Z38" s="5">
        <f ca="1">IF(INDIRECT("E"&amp;ROW())="H",MATCH(INDIRECT("K"&amp;ROW()),Minimas!$A$16:$A$29,1),MATCH(INDIRECT("K"&amp;ROW()),Minimas!$J$16:$J$27,1))</f>
        <v>7</v>
      </c>
      <c r="AA38" s="59">
        <v>36275</v>
      </c>
      <c r="AB38" s="70">
        <f ca="1">INDIRECT("T"&amp;ROW())-HLOOKUP(INDIRECT("V"&amp;ROW()),Minimas!$C$3:$CD$12,AB$4+1,FALSE)</f>
        <v>45</v>
      </c>
      <c r="AC38" s="70">
        <f ca="1">INDIRECT("T"&amp;ROW())-HLOOKUP(INDIRECT("V"&amp;ROW()),Minimas!$C$3:$CD$12,AC$4+1,FALSE)</f>
        <v>25</v>
      </c>
      <c r="AD38" s="70">
        <f ca="1">INDIRECT("T"&amp;ROW())-HLOOKUP(INDIRECT("V"&amp;ROW()),Minimas!$C$3:$CD$12,AD$4+1,FALSE)</f>
        <v>0</v>
      </c>
      <c r="AE38" s="70">
        <f ca="1">INDIRECT("T"&amp;ROW())-HLOOKUP(INDIRECT("V"&amp;ROW()),Minimas!$C$3:$CD$12,AE$4+1,FALSE)</f>
        <v>-20</v>
      </c>
      <c r="AF38" s="70">
        <f ca="1">INDIRECT("T"&amp;ROW())-HLOOKUP(INDIRECT("V"&amp;ROW()),Minimas!$C$3:$CD$12,AF$4+1,FALSE)</f>
        <v>-40</v>
      </c>
      <c r="AG38" s="70">
        <f ca="1">INDIRECT("T"&amp;ROW())-HLOOKUP(INDIRECT("V"&amp;ROW()),Minimas!$C$3:$CD$12,AG$4+1,FALSE)</f>
        <v>-68</v>
      </c>
      <c r="AH38" s="70">
        <f ca="1">INDIRECT("T"&amp;ROW())-HLOOKUP(INDIRECT("V"&amp;ROW()),Minimas!$C$3:$CD$12,AH$4+1,FALSE)</f>
        <v>-90</v>
      </c>
      <c r="AI38" s="70">
        <f ca="1">INDIRECT("T"&amp;ROW())-HLOOKUP(INDIRECT("V"&amp;ROW()),Minimas!$C$3:$CD$12,AI$4+1,FALSE)</f>
        <v>-110</v>
      </c>
      <c r="AJ38" s="70">
        <f ca="1">INDIRECT("T"&amp;ROW())-HLOOKUP(INDIRECT("V"&amp;ROW()),Minimas!$C$3:$CD$12,AJ$4+1,FALSE)</f>
        <v>-145</v>
      </c>
      <c r="AK38" s="71">
        <f aca="true" ca="1" t="shared" si="9" ref="AK38:AK73">IF(ISERROR(MATCH(0,INDIRECT("AB"&amp;ROW()&amp;":"&amp;"AJ"&amp;ROW()),-1)),1,MATCH(0,INDIRECT("AB"&amp;ROW()&amp;":"&amp;"AJ"&amp;ROW()),-1))</f>
        <v>3</v>
      </c>
      <c r="AM38" s="5" t="str">
        <f aca="true" ca="1" t="shared" si="10" ref="AM38:AM73">LOOKUP(INDIRECT("AK"&amp;ROW()),$AB$4:$AJ$5,$AB$5:$AJ$5)</f>
        <v>REG +</v>
      </c>
      <c r="AN38" s="5">
        <f aca="true" ca="1" t="shared" si="11" ref="AN38:AN73">LOOKUP(INDIRECT("AK"&amp;ROW()),$AB$4:$AJ$4,INDIRECT(ADDRESS(ROW(),COLUMN()-12,4,1)&amp;":"&amp;ADDRESS(ROW(),COLUMN()-4,4,1)))</f>
        <v>0</v>
      </c>
      <c r="AO38" s="86">
        <v>72.13254969938124</v>
      </c>
      <c r="AP38" s="10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</row>
    <row r="39" spans="2:123" ht="30" customHeight="1" thickBot="1">
      <c r="B39" s="62"/>
      <c r="C39" s="65" t="s">
        <v>261</v>
      </c>
      <c r="D39" s="94">
        <v>1</v>
      </c>
      <c r="E39" s="64" t="s">
        <v>374</v>
      </c>
      <c r="F39" s="42" t="s">
        <v>262</v>
      </c>
      <c r="G39" s="43" t="s">
        <v>263</v>
      </c>
      <c r="H39" s="59">
        <f ca="1" t="shared" si="6"/>
        <v>1998</v>
      </c>
      <c r="I39" s="61" t="s">
        <v>254</v>
      </c>
      <c r="J39" s="60" t="s">
        <v>145</v>
      </c>
      <c r="K39" s="44">
        <v>67.8</v>
      </c>
      <c r="L39" s="67">
        <v>105</v>
      </c>
      <c r="M39" s="67">
        <v>110</v>
      </c>
      <c r="N39" s="67">
        <v>-115</v>
      </c>
      <c r="O39" s="45">
        <v>110</v>
      </c>
      <c r="P39" s="67">
        <v>130</v>
      </c>
      <c r="Q39" s="67">
        <v>136</v>
      </c>
      <c r="R39" s="67">
        <v>-140</v>
      </c>
      <c r="S39" s="45">
        <v>136</v>
      </c>
      <c r="T39" s="46">
        <v>246</v>
      </c>
      <c r="U39" s="68" t="str">
        <f ca="1" t="shared" si="7"/>
        <v>FED + 6</v>
      </c>
      <c r="V3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39" s="69">
        <v>330.54864042494114</v>
      </c>
      <c r="X39" s="5">
        <f ca="1" t="shared" si="8"/>
        <v>21</v>
      </c>
      <c r="Y39" s="5">
        <f ca="1">MATCH(INDIRECT("X"&amp;ROW()),Minimas!$B$50:$B$56,-1)</f>
        <v>1</v>
      </c>
      <c r="Z39" s="5">
        <f ca="1">IF(INDIRECT("E"&amp;ROW())="H",MATCH(INDIRECT("K"&amp;ROW()),Minimas!$A$16:$A$29,1),MATCH(INDIRECT("K"&amp;ROW()),Minimas!$J$16:$J$27,1))</f>
        <v>8</v>
      </c>
      <c r="AA39" s="59">
        <v>36112</v>
      </c>
      <c r="AB39" s="70">
        <f ca="1">INDIRECT("T"&amp;ROW())-HLOOKUP(INDIRECT("V"&amp;ROW()),Minimas!$C$3:$CD$12,AB$4+1,FALSE)</f>
        <v>111</v>
      </c>
      <c r="AC39" s="70">
        <f ca="1">INDIRECT("T"&amp;ROW())-HLOOKUP(INDIRECT("V"&amp;ROW()),Minimas!$C$3:$CD$12,AC$4+1,FALSE)</f>
        <v>86</v>
      </c>
      <c r="AD39" s="70">
        <f ca="1">INDIRECT("T"&amp;ROW())-HLOOKUP(INDIRECT("V"&amp;ROW()),Minimas!$C$3:$CD$12,AD$4+1,FALSE)</f>
        <v>61</v>
      </c>
      <c r="AE39" s="70">
        <f ca="1">INDIRECT("T"&amp;ROW())-HLOOKUP(INDIRECT("V"&amp;ROW()),Minimas!$C$3:$CD$12,AE$4+1,FALSE)</f>
        <v>36</v>
      </c>
      <c r="AF39" s="70">
        <f ca="1">INDIRECT("T"&amp;ROW())-HLOOKUP(INDIRECT("V"&amp;ROW()),Minimas!$C$3:$CD$12,AF$4+1,FALSE)</f>
        <v>6</v>
      </c>
      <c r="AG39" s="70">
        <f ca="1">INDIRECT("T"&amp;ROW())-HLOOKUP(INDIRECT("V"&amp;ROW()),Minimas!$C$3:$CD$12,AG$4+1,FALSE)</f>
        <v>-14</v>
      </c>
      <c r="AH39" s="70">
        <f ca="1">INDIRECT("T"&amp;ROW())-HLOOKUP(INDIRECT("V"&amp;ROW()),Minimas!$C$3:$CD$12,AH$4+1,FALSE)</f>
        <v>-34</v>
      </c>
      <c r="AI39" s="70">
        <f ca="1">INDIRECT("T"&amp;ROW())-HLOOKUP(INDIRECT("V"&amp;ROW()),Minimas!$C$3:$CD$12,AI$4+1,FALSE)</f>
        <v>-54</v>
      </c>
      <c r="AJ39" s="70">
        <f ca="1">INDIRECT("T"&amp;ROW())-HLOOKUP(INDIRECT("V"&amp;ROW()),Minimas!$C$3:$CD$12,AJ$4+1,FALSE)</f>
        <v>-69</v>
      </c>
      <c r="AK39" s="71">
        <f ca="1" t="shared" si="9"/>
        <v>5</v>
      </c>
      <c r="AM39" s="5" t="str">
        <f ca="1" t="shared" si="10"/>
        <v>FED +</v>
      </c>
      <c r="AN39" s="5">
        <f ca="1" t="shared" si="11"/>
        <v>6</v>
      </c>
      <c r="AO39" s="86">
        <v>315.9155545046997</v>
      </c>
      <c r="AP39" s="105" t="s">
        <v>393</v>
      </c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</row>
    <row r="40" spans="2:123" ht="30" customHeight="1" thickBot="1">
      <c r="B40" s="62"/>
      <c r="C40" s="65" t="s">
        <v>264</v>
      </c>
      <c r="D40" s="94">
        <v>2</v>
      </c>
      <c r="E40" s="64" t="s">
        <v>374</v>
      </c>
      <c r="F40" s="134" t="s">
        <v>265</v>
      </c>
      <c r="G40" s="135" t="s">
        <v>266</v>
      </c>
      <c r="H40" s="59">
        <f ca="1" t="shared" si="6"/>
        <v>1998</v>
      </c>
      <c r="I40" s="61" t="s">
        <v>191</v>
      </c>
      <c r="J40" s="60" t="s">
        <v>145</v>
      </c>
      <c r="K40" s="44">
        <v>72.8</v>
      </c>
      <c r="L40" s="67">
        <v>-107</v>
      </c>
      <c r="M40" s="67">
        <v>-107</v>
      </c>
      <c r="N40" s="67">
        <v>107</v>
      </c>
      <c r="O40" s="45">
        <v>107</v>
      </c>
      <c r="P40" s="67">
        <v>117</v>
      </c>
      <c r="Q40" s="67">
        <v>122</v>
      </c>
      <c r="R40" s="67">
        <v>-130</v>
      </c>
      <c r="S40" s="45">
        <v>122</v>
      </c>
      <c r="T40" s="46">
        <v>229</v>
      </c>
      <c r="U40" s="68" t="str">
        <f ca="1" t="shared" si="7"/>
        <v>IRG + 19</v>
      </c>
      <c r="V4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0" s="69">
        <v>294.88822321974106</v>
      </c>
      <c r="X40" s="5">
        <f ca="1" t="shared" si="8"/>
        <v>21</v>
      </c>
      <c r="Y40" s="5">
        <f ca="1">MATCH(INDIRECT("X"&amp;ROW()),Minimas!$B$50:$B$56,-1)</f>
        <v>1</v>
      </c>
      <c r="Z40" s="5">
        <f ca="1">IF(INDIRECT("E"&amp;ROW())="H",MATCH(INDIRECT("K"&amp;ROW()),Minimas!$A$16:$A$29,1),MATCH(INDIRECT("K"&amp;ROW()),Minimas!$J$16:$J$27,1))</f>
        <v>8</v>
      </c>
      <c r="AA40" s="59">
        <v>36079</v>
      </c>
      <c r="AB40" s="70">
        <f ca="1">INDIRECT("T"&amp;ROW())-HLOOKUP(INDIRECT("V"&amp;ROW()),Minimas!$C$3:$CD$12,AB$4+1,FALSE)</f>
        <v>94</v>
      </c>
      <c r="AC40" s="70">
        <f ca="1">INDIRECT("T"&amp;ROW())-HLOOKUP(INDIRECT("V"&amp;ROW()),Minimas!$C$3:$CD$12,AC$4+1,FALSE)</f>
        <v>69</v>
      </c>
      <c r="AD40" s="70">
        <f ca="1">INDIRECT("T"&amp;ROW())-HLOOKUP(INDIRECT("V"&amp;ROW()),Minimas!$C$3:$CD$12,AD$4+1,FALSE)</f>
        <v>44</v>
      </c>
      <c r="AE40" s="70">
        <f ca="1">INDIRECT("T"&amp;ROW())-HLOOKUP(INDIRECT("V"&amp;ROW()),Minimas!$C$3:$CD$12,AE$4+1,FALSE)</f>
        <v>19</v>
      </c>
      <c r="AF40" s="70">
        <f ca="1">INDIRECT("T"&amp;ROW())-HLOOKUP(INDIRECT("V"&amp;ROW()),Minimas!$C$3:$CD$12,AF$4+1,FALSE)</f>
        <v>-11</v>
      </c>
      <c r="AG40" s="70">
        <f ca="1">INDIRECT("T"&amp;ROW())-HLOOKUP(INDIRECT("V"&amp;ROW()),Minimas!$C$3:$CD$12,AG$4+1,FALSE)</f>
        <v>-31</v>
      </c>
      <c r="AH40" s="70">
        <f ca="1">INDIRECT("T"&amp;ROW())-HLOOKUP(INDIRECT("V"&amp;ROW()),Minimas!$C$3:$CD$12,AH$4+1,FALSE)</f>
        <v>-51</v>
      </c>
      <c r="AI40" s="70">
        <f ca="1">INDIRECT("T"&amp;ROW())-HLOOKUP(INDIRECT("V"&amp;ROW()),Minimas!$C$3:$CD$12,AI$4+1,FALSE)</f>
        <v>-71</v>
      </c>
      <c r="AJ40" s="70">
        <f ca="1">INDIRECT("T"&amp;ROW())-HLOOKUP(INDIRECT("V"&amp;ROW()),Minimas!$C$3:$CD$12,AJ$4+1,FALSE)</f>
        <v>-86</v>
      </c>
      <c r="AK40" s="71">
        <f ca="1" t="shared" si="9"/>
        <v>4</v>
      </c>
      <c r="AM40" s="5" t="str">
        <f ca="1" t="shared" si="10"/>
        <v>IRG +</v>
      </c>
      <c r="AN40" s="5">
        <f ca="1" t="shared" si="11"/>
        <v>19</v>
      </c>
      <c r="AO40" s="86">
        <v>249.03494495863995</v>
      </c>
      <c r="AP40" s="10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</row>
    <row r="41" spans="2:123" ht="30" customHeight="1" thickBot="1">
      <c r="B41" s="62"/>
      <c r="C41" s="65" t="s">
        <v>267</v>
      </c>
      <c r="D41" s="94">
        <v>3</v>
      </c>
      <c r="E41" s="64" t="s">
        <v>374</v>
      </c>
      <c r="F41" s="42" t="s">
        <v>268</v>
      </c>
      <c r="G41" s="43" t="s">
        <v>269</v>
      </c>
      <c r="H41" s="59">
        <f ca="1" t="shared" si="6"/>
        <v>1998</v>
      </c>
      <c r="I41" s="61" t="s">
        <v>195</v>
      </c>
      <c r="J41" s="60" t="s">
        <v>145</v>
      </c>
      <c r="K41" s="44">
        <v>72.2</v>
      </c>
      <c r="L41" s="67">
        <v>90</v>
      </c>
      <c r="M41" s="67">
        <v>95</v>
      </c>
      <c r="N41" s="67">
        <v>-100</v>
      </c>
      <c r="O41" s="45">
        <v>95</v>
      </c>
      <c r="P41" s="67">
        <v>117</v>
      </c>
      <c r="Q41" s="67">
        <v>-124</v>
      </c>
      <c r="R41" s="67">
        <v>124</v>
      </c>
      <c r="S41" s="45">
        <v>124</v>
      </c>
      <c r="T41" s="46">
        <v>219</v>
      </c>
      <c r="U41" s="68" t="str">
        <f ca="1" t="shared" si="7"/>
        <v>IRG + 9</v>
      </c>
      <c r="V4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1" s="69">
        <v>283.3619136706526</v>
      </c>
      <c r="X41" s="5">
        <f ca="1" t="shared" si="8"/>
        <v>21</v>
      </c>
      <c r="Y41" s="5">
        <f ca="1">MATCH(INDIRECT("X"&amp;ROW()),Minimas!$B$50:$B$56,-1)</f>
        <v>1</v>
      </c>
      <c r="Z41" s="5">
        <f ca="1">IF(INDIRECT("E"&amp;ROW())="H",MATCH(INDIRECT("K"&amp;ROW()),Minimas!$A$16:$A$29,1),MATCH(INDIRECT("K"&amp;ROW()),Minimas!$J$16:$J$27,1))</f>
        <v>8</v>
      </c>
      <c r="AA41" s="59">
        <v>36091</v>
      </c>
      <c r="AB41" s="70">
        <f ca="1">INDIRECT("T"&amp;ROW())-HLOOKUP(INDIRECT("V"&amp;ROW()),Minimas!$C$3:$CD$12,AB$4+1,FALSE)</f>
        <v>84</v>
      </c>
      <c r="AC41" s="70">
        <f ca="1">INDIRECT("T"&amp;ROW())-HLOOKUP(INDIRECT("V"&amp;ROW()),Minimas!$C$3:$CD$12,AC$4+1,FALSE)</f>
        <v>59</v>
      </c>
      <c r="AD41" s="70">
        <f ca="1">INDIRECT("T"&amp;ROW())-HLOOKUP(INDIRECT("V"&amp;ROW()),Minimas!$C$3:$CD$12,AD$4+1,FALSE)</f>
        <v>34</v>
      </c>
      <c r="AE41" s="70">
        <f ca="1">INDIRECT("T"&amp;ROW())-HLOOKUP(INDIRECT("V"&amp;ROW()),Minimas!$C$3:$CD$12,AE$4+1,FALSE)</f>
        <v>9</v>
      </c>
      <c r="AF41" s="70">
        <f ca="1">INDIRECT("T"&amp;ROW())-HLOOKUP(INDIRECT("V"&amp;ROW()),Minimas!$C$3:$CD$12,AF$4+1,FALSE)</f>
        <v>-21</v>
      </c>
      <c r="AG41" s="70">
        <f ca="1">INDIRECT("T"&amp;ROW())-HLOOKUP(INDIRECT("V"&amp;ROW()),Minimas!$C$3:$CD$12,AG$4+1,FALSE)</f>
        <v>-41</v>
      </c>
      <c r="AH41" s="70">
        <f ca="1">INDIRECT("T"&amp;ROW())-HLOOKUP(INDIRECT("V"&amp;ROW()),Minimas!$C$3:$CD$12,AH$4+1,FALSE)</f>
        <v>-61</v>
      </c>
      <c r="AI41" s="70">
        <f ca="1">INDIRECT("T"&amp;ROW())-HLOOKUP(INDIRECT("V"&amp;ROW()),Minimas!$C$3:$CD$12,AI$4+1,FALSE)</f>
        <v>-81</v>
      </c>
      <c r="AJ41" s="70">
        <f ca="1">INDIRECT("T"&amp;ROW())-HLOOKUP(INDIRECT("V"&amp;ROW()),Minimas!$C$3:$CD$12,AJ$4+1,FALSE)</f>
        <v>-96</v>
      </c>
      <c r="AK41" s="71">
        <f ca="1" t="shared" si="9"/>
        <v>4</v>
      </c>
      <c r="AM41" s="5" t="str">
        <f ca="1" t="shared" si="10"/>
        <v>IRG +</v>
      </c>
      <c r="AN41" s="5">
        <f ca="1" t="shared" si="11"/>
        <v>9</v>
      </c>
      <c r="AO41" s="86">
        <v>214.7056948113003</v>
      </c>
      <c r="AP41" s="10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2:123" ht="30" customHeight="1" thickBot="1">
      <c r="B42" s="62"/>
      <c r="C42" s="65" t="s">
        <v>270</v>
      </c>
      <c r="D42" s="94">
        <v>4</v>
      </c>
      <c r="E42" s="64" t="s">
        <v>374</v>
      </c>
      <c r="F42" s="42" t="s">
        <v>271</v>
      </c>
      <c r="G42" s="43" t="s">
        <v>272</v>
      </c>
      <c r="H42" s="59">
        <f ca="1" t="shared" si="6"/>
        <v>1998</v>
      </c>
      <c r="I42" s="61" t="s">
        <v>195</v>
      </c>
      <c r="J42" s="60" t="s">
        <v>145</v>
      </c>
      <c r="K42" s="44">
        <v>71.8</v>
      </c>
      <c r="L42" s="67">
        <v>95</v>
      </c>
      <c r="M42" s="67">
        <v>101</v>
      </c>
      <c r="N42" s="67">
        <v>-105</v>
      </c>
      <c r="O42" s="45">
        <v>101</v>
      </c>
      <c r="P42" s="67">
        <v>117</v>
      </c>
      <c r="Q42" s="67">
        <v>-121</v>
      </c>
      <c r="R42" s="67">
        <v>-122</v>
      </c>
      <c r="S42" s="45">
        <v>117</v>
      </c>
      <c r="T42" s="46">
        <v>218</v>
      </c>
      <c r="U42" s="68" t="str">
        <f ca="1" t="shared" si="7"/>
        <v>IRG + 8</v>
      </c>
      <c r="V4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2" s="69">
        <v>282.9814503877095</v>
      </c>
      <c r="X42" s="5">
        <f ca="1" t="shared" si="8"/>
        <v>21</v>
      </c>
      <c r="Y42" s="5">
        <f ca="1">MATCH(INDIRECT("X"&amp;ROW()),Minimas!$B$50:$B$56,-1)</f>
        <v>1</v>
      </c>
      <c r="Z42" s="5">
        <f ca="1">IF(INDIRECT("E"&amp;ROW())="H",MATCH(INDIRECT("K"&amp;ROW()),Minimas!$A$16:$A$29,1),MATCH(INDIRECT("K"&amp;ROW()),Minimas!$J$16:$J$27,1))</f>
        <v>8</v>
      </c>
      <c r="AA42" s="59">
        <v>36075</v>
      </c>
      <c r="AB42" s="70">
        <f ca="1">INDIRECT("T"&amp;ROW())-HLOOKUP(INDIRECT("V"&amp;ROW()),Minimas!$C$3:$CD$12,AB$4+1,FALSE)</f>
        <v>83</v>
      </c>
      <c r="AC42" s="70">
        <f ca="1">INDIRECT("T"&amp;ROW())-HLOOKUP(INDIRECT("V"&amp;ROW()),Minimas!$C$3:$CD$12,AC$4+1,FALSE)</f>
        <v>58</v>
      </c>
      <c r="AD42" s="70">
        <f ca="1">INDIRECT("T"&amp;ROW())-HLOOKUP(INDIRECT("V"&amp;ROW()),Minimas!$C$3:$CD$12,AD$4+1,FALSE)</f>
        <v>33</v>
      </c>
      <c r="AE42" s="70">
        <f ca="1">INDIRECT("T"&amp;ROW())-HLOOKUP(INDIRECT("V"&amp;ROW()),Minimas!$C$3:$CD$12,AE$4+1,FALSE)</f>
        <v>8</v>
      </c>
      <c r="AF42" s="70">
        <f ca="1">INDIRECT("T"&amp;ROW())-HLOOKUP(INDIRECT("V"&amp;ROW()),Minimas!$C$3:$CD$12,AF$4+1,FALSE)</f>
        <v>-22</v>
      </c>
      <c r="AG42" s="70">
        <f ca="1">INDIRECT("T"&amp;ROW())-HLOOKUP(INDIRECT("V"&amp;ROW()),Minimas!$C$3:$CD$12,AG$4+1,FALSE)</f>
        <v>-42</v>
      </c>
      <c r="AH42" s="70">
        <f ca="1">INDIRECT("T"&amp;ROW())-HLOOKUP(INDIRECT("V"&amp;ROW()),Minimas!$C$3:$CD$12,AH$4+1,FALSE)</f>
        <v>-62</v>
      </c>
      <c r="AI42" s="70">
        <f ca="1">INDIRECT("T"&amp;ROW())-HLOOKUP(INDIRECT("V"&amp;ROW()),Minimas!$C$3:$CD$12,AI$4+1,FALSE)</f>
        <v>-82</v>
      </c>
      <c r="AJ42" s="70">
        <f ca="1">INDIRECT("T"&amp;ROW())-HLOOKUP(INDIRECT("V"&amp;ROW()),Minimas!$C$3:$CD$12,AJ$4+1,FALSE)</f>
        <v>-97</v>
      </c>
      <c r="AK42" s="71">
        <f ca="1" t="shared" si="9"/>
        <v>4</v>
      </c>
      <c r="AM42" s="5" t="str">
        <f ca="1" t="shared" si="10"/>
        <v>IRG +</v>
      </c>
      <c r="AN42" s="5">
        <f ca="1" t="shared" si="11"/>
        <v>8</v>
      </c>
      <c r="AO42" s="86">
        <v>211.46613559121073</v>
      </c>
      <c r="AP42" s="10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</row>
    <row r="43" spans="2:123" ht="30" customHeight="1" thickBot="1">
      <c r="B43" s="62"/>
      <c r="C43" s="65" t="s">
        <v>273</v>
      </c>
      <c r="D43" s="94">
        <v>5</v>
      </c>
      <c r="E43" s="64" t="s">
        <v>374</v>
      </c>
      <c r="F43" s="42" t="s">
        <v>274</v>
      </c>
      <c r="G43" s="43" t="s">
        <v>275</v>
      </c>
      <c r="H43" s="59">
        <f ca="1" t="shared" si="6"/>
        <v>1997</v>
      </c>
      <c r="I43" s="61" t="s">
        <v>276</v>
      </c>
      <c r="J43" s="60" t="s">
        <v>398</v>
      </c>
      <c r="K43" s="44">
        <v>71.8</v>
      </c>
      <c r="L43" s="67">
        <v>86</v>
      </c>
      <c r="M43" s="67">
        <v>90</v>
      </c>
      <c r="N43" s="67">
        <v>-93</v>
      </c>
      <c r="O43" s="45">
        <v>90</v>
      </c>
      <c r="P43" s="67">
        <v>120</v>
      </c>
      <c r="Q43" s="67">
        <v>-125</v>
      </c>
      <c r="R43" s="67">
        <v>-125</v>
      </c>
      <c r="S43" s="45">
        <v>120</v>
      </c>
      <c r="T43" s="46">
        <v>210</v>
      </c>
      <c r="U43" s="68" t="str">
        <f ca="1" t="shared" si="7"/>
        <v>IRG + 0</v>
      </c>
      <c r="V4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3" s="69">
        <v>272.59681000650914</v>
      </c>
      <c r="X43" s="5">
        <f ca="1" t="shared" si="8"/>
        <v>22</v>
      </c>
      <c r="Y43" s="5">
        <f ca="1">MATCH(INDIRECT("X"&amp;ROW()),Minimas!$B$50:$B$56,-1)</f>
        <v>1</v>
      </c>
      <c r="Z43" s="5">
        <f ca="1">IF(INDIRECT("E"&amp;ROW())="H",MATCH(INDIRECT("K"&amp;ROW()),Minimas!$A$16:$A$29,1),MATCH(INDIRECT("K"&amp;ROW()),Minimas!$J$16:$J$27,1))</f>
        <v>8</v>
      </c>
      <c r="AA43" s="59">
        <v>35542</v>
      </c>
      <c r="AB43" s="70">
        <f ca="1">INDIRECT("T"&amp;ROW())-HLOOKUP(INDIRECT("V"&amp;ROW()),Minimas!$C$3:$CD$12,AB$4+1,FALSE)</f>
        <v>75</v>
      </c>
      <c r="AC43" s="70">
        <f ca="1">INDIRECT("T"&amp;ROW())-HLOOKUP(INDIRECT("V"&amp;ROW()),Minimas!$C$3:$CD$12,AC$4+1,FALSE)</f>
        <v>50</v>
      </c>
      <c r="AD43" s="70">
        <f ca="1">INDIRECT("T"&amp;ROW())-HLOOKUP(INDIRECT("V"&amp;ROW()),Minimas!$C$3:$CD$12,AD$4+1,FALSE)</f>
        <v>25</v>
      </c>
      <c r="AE43" s="70">
        <f ca="1">INDIRECT("T"&amp;ROW())-HLOOKUP(INDIRECT("V"&amp;ROW()),Minimas!$C$3:$CD$12,AE$4+1,FALSE)</f>
        <v>0</v>
      </c>
      <c r="AF43" s="70">
        <f ca="1">INDIRECT("T"&amp;ROW())-HLOOKUP(INDIRECT("V"&amp;ROW()),Minimas!$C$3:$CD$12,AF$4+1,FALSE)</f>
        <v>-30</v>
      </c>
      <c r="AG43" s="70">
        <f ca="1">INDIRECT("T"&amp;ROW())-HLOOKUP(INDIRECT("V"&amp;ROW()),Minimas!$C$3:$CD$12,AG$4+1,FALSE)</f>
        <v>-50</v>
      </c>
      <c r="AH43" s="70">
        <f ca="1">INDIRECT("T"&amp;ROW())-HLOOKUP(INDIRECT("V"&amp;ROW()),Minimas!$C$3:$CD$12,AH$4+1,FALSE)</f>
        <v>-70</v>
      </c>
      <c r="AI43" s="70">
        <f ca="1">INDIRECT("T"&amp;ROW())-HLOOKUP(INDIRECT("V"&amp;ROW()),Minimas!$C$3:$CD$12,AI$4+1,FALSE)</f>
        <v>-90</v>
      </c>
      <c r="AJ43" s="70">
        <f ca="1">INDIRECT("T"&amp;ROW())-HLOOKUP(INDIRECT("V"&amp;ROW()),Minimas!$C$3:$CD$12,AJ$4+1,FALSE)</f>
        <v>-105</v>
      </c>
      <c r="AK43" s="71">
        <f ca="1" t="shared" si="9"/>
        <v>4</v>
      </c>
      <c r="AM43" s="5" t="str">
        <f ca="1" t="shared" si="10"/>
        <v>IRG +</v>
      </c>
      <c r="AN43" s="5">
        <f ca="1" t="shared" si="11"/>
        <v>0</v>
      </c>
      <c r="AO43" s="86">
        <v>186.767808031874</v>
      </c>
      <c r="AP43" s="10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</row>
    <row r="44" spans="2:123" ht="30" customHeight="1" thickBot="1">
      <c r="B44" s="62"/>
      <c r="C44" s="65" t="s">
        <v>277</v>
      </c>
      <c r="D44" s="94">
        <v>6</v>
      </c>
      <c r="E44" s="64" t="s">
        <v>374</v>
      </c>
      <c r="F44" s="42" t="s">
        <v>278</v>
      </c>
      <c r="G44" s="43" t="s">
        <v>279</v>
      </c>
      <c r="H44" s="59">
        <f ca="1" t="shared" si="6"/>
        <v>1995</v>
      </c>
      <c r="I44" s="61" t="s">
        <v>202</v>
      </c>
      <c r="J44" s="60" t="s">
        <v>145</v>
      </c>
      <c r="K44" s="44">
        <v>72.7</v>
      </c>
      <c r="L44" s="67">
        <v>87</v>
      </c>
      <c r="M44" s="67">
        <v>92</v>
      </c>
      <c r="N44" s="67">
        <v>96</v>
      </c>
      <c r="O44" s="45">
        <v>96</v>
      </c>
      <c r="P44" s="67">
        <v>102</v>
      </c>
      <c r="Q44" s="67">
        <v>-109</v>
      </c>
      <c r="R44" s="67">
        <v>-114</v>
      </c>
      <c r="S44" s="45">
        <v>102</v>
      </c>
      <c r="T44" s="46">
        <v>198</v>
      </c>
      <c r="U44" s="68" t="str">
        <f ca="1" t="shared" si="7"/>
        <v>REG + 13</v>
      </c>
      <c r="V4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4" s="69">
        <v>255.1705227087214</v>
      </c>
      <c r="X44" s="5">
        <f ca="1" t="shared" si="8"/>
        <v>24</v>
      </c>
      <c r="Y44" s="5">
        <f ca="1">MATCH(INDIRECT("X"&amp;ROW()),Minimas!$B$50:$B$56,-1)</f>
        <v>1</v>
      </c>
      <c r="Z44" s="5">
        <f ca="1">IF(INDIRECT("E"&amp;ROW())="H",MATCH(INDIRECT("K"&amp;ROW()),Minimas!$A$16:$A$29,1),MATCH(INDIRECT("K"&amp;ROW()),Minimas!$J$16:$J$27,1))</f>
        <v>8</v>
      </c>
      <c r="AA44" s="59">
        <v>34719</v>
      </c>
      <c r="AB44" s="70">
        <f ca="1">INDIRECT("T"&amp;ROW())-HLOOKUP(INDIRECT("V"&amp;ROW()),Minimas!$C$3:$CD$12,AB$4+1,FALSE)</f>
        <v>63</v>
      </c>
      <c r="AC44" s="70">
        <f ca="1">INDIRECT("T"&amp;ROW())-HLOOKUP(INDIRECT("V"&amp;ROW()),Minimas!$C$3:$CD$12,AC$4+1,FALSE)</f>
        <v>38</v>
      </c>
      <c r="AD44" s="70">
        <f ca="1">INDIRECT("T"&amp;ROW())-HLOOKUP(INDIRECT("V"&amp;ROW()),Minimas!$C$3:$CD$12,AD$4+1,FALSE)</f>
        <v>13</v>
      </c>
      <c r="AE44" s="70">
        <f ca="1">INDIRECT("T"&amp;ROW())-HLOOKUP(INDIRECT("V"&amp;ROW()),Minimas!$C$3:$CD$12,AE$4+1,FALSE)</f>
        <v>-12</v>
      </c>
      <c r="AF44" s="70">
        <f ca="1">INDIRECT("T"&amp;ROW())-HLOOKUP(INDIRECT("V"&amp;ROW()),Minimas!$C$3:$CD$12,AF$4+1,FALSE)</f>
        <v>-42</v>
      </c>
      <c r="AG44" s="70">
        <f ca="1">INDIRECT("T"&amp;ROW())-HLOOKUP(INDIRECT("V"&amp;ROW()),Minimas!$C$3:$CD$12,AG$4+1,FALSE)</f>
        <v>-62</v>
      </c>
      <c r="AH44" s="70">
        <f ca="1">INDIRECT("T"&amp;ROW())-HLOOKUP(INDIRECT("V"&amp;ROW()),Minimas!$C$3:$CD$12,AH$4+1,FALSE)</f>
        <v>-82</v>
      </c>
      <c r="AI44" s="70">
        <f ca="1">INDIRECT("T"&amp;ROW())-HLOOKUP(INDIRECT("V"&amp;ROW()),Minimas!$C$3:$CD$12,AI$4+1,FALSE)</f>
        <v>-102</v>
      </c>
      <c r="AJ44" s="70">
        <f ca="1">INDIRECT("T"&amp;ROW())-HLOOKUP(INDIRECT("V"&amp;ROW()),Minimas!$C$3:$CD$12,AJ$4+1,FALSE)</f>
        <v>-117</v>
      </c>
      <c r="AK44" s="71">
        <f ca="1" t="shared" si="9"/>
        <v>3</v>
      </c>
      <c r="AM44" s="5" t="str">
        <f ca="1" t="shared" si="10"/>
        <v>REG +</v>
      </c>
      <c r="AN44" s="5">
        <f ca="1" t="shared" si="11"/>
        <v>13</v>
      </c>
      <c r="AO44" s="86">
        <v>153.60774873229897</v>
      </c>
      <c r="AP44" s="10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</row>
    <row r="45" spans="2:123" ht="30" customHeight="1" thickBot="1">
      <c r="B45" s="62"/>
      <c r="C45" s="65" t="s">
        <v>280</v>
      </c>
      <c r="D45" s="94">
        <v>7</v>
      </c>
      <c r="E45" s="64" t="s">
        <v>374</v>
      </c>
      <c r="F45" s="42" t="s">
        <v>281</v>
      </c>
      <c r="G45" s="43" t="s">
        <v>282</v>
      </c>
      <c r="H45" s="59">
        <f ca="1" t="shared" si="6"/>
        <v>1997</v>
      </c>
      <c r="I45" s="61" t="s">
        <v>170</v>
      </c>
      <c r="J45" s="60" t="s">
        <v>145</v>
      </c>
      <c r="K45" s="44">
        <v>71.8</v>
      </c>
      <c r="L45" s="67">
        <v>78</v>
      </c>
      <c r="M45" s="67">
        <v>82</v>
      </c>
      <c r="N45" s="67">
        <v>-86</v>
      </c>
      <c r="O45" s="45">
        <v>82</v>
      </c>
      <c r="P45" s="67">
        <v>98</v>
      </c>
      <c r="Q45" s="67">
        <v>102</v>
      </c>
      <c r="R45" s="67">
        <v>107</v>
      </c>
      <c r="S45" s="45">
        <v>107</v>
      </c>
      <c r="T45" s="46">
        <v>189</v>
      </c>
      <c r="U45" s="68" t="str">
        <f ca="1" t="shared" si="7"/>
        <v>REG + 4</v>
      </c>
      <c r="V4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5" s="69">
        <v>245.33712900585823</v>
      </c>
      <c r="X45" s="5">
        <f ca="1" t="shared" si="8"/>
        <v>22</v>
      </c>
      <c r="Y45" s="5">
        <f ca="1">MATCH(INDIRECT("X"&amp;ROW()),Minimas!$B$50:$B$56,-1)</f>
        <v>1</v>
      </c>
      <c r="Z45" s="5">
        <f ca="1">IF(INDIRECT("E"&amp;ROW())="H",MATCH(INDIRECT("K"&amp;ROW()),Minimas!$A$16:$A$29,1),MATCH(INDIRECT("K"&amp;ROW()),Minimas!$J$16:$J$27,1))</f>
        <v>8</v>
      </c>
      <c r="AA45" s="59">
        <v>35543</v>
      </c>
      <c r="AB45" s="70">
        <f ca="1">INDIRECT("T"&amp;ROW())-HLOOKUP(INDIRECT("V"&amp;ROW()),Minimas!$C$3:$CD$12,AB$4+1,FALSE)</f>
        <v>54</v>
      </c>
      <c r="AC45" s="70">
        <f ca="1">INDIRECT("T"&amp;ROW())-HLOOKUP(INDIRECT("V"&amp;ROW()),Minimas!$C$3:$CD$12,AC$4+1,FALSE)</f>
        <v>29</v>
      </c>
      <c r="AD45" s="70">
        <f ca="1">INDIRECT("T"&amp;ROW())-HLOOKUP(INDIRECT("V"&amp;ROW()),Minimas!$C$3:$CD$12,AD$4+1,FALSE)</f>
        <v>4</v>
      </c>
      <c r="AE45" s="70">
        <f ca="1">INDIRECT("T"&amp;ROW())-HLOOKUP(INDIRECT("V"&amp;ROW()),Minimas!$C$3:$CD$12,AE$4+1,FALSE)</f>
        <v>-21</v>
      </c>
      <c r="AF45" s="70">
        <f ca="1">INDIRECT("T"&amp;ROW())-HLOOKUP(INDIRECT("V"&amp;ROW()),Minimas!$C$3:$CD$12,AF$4+1,FALSE)</f>
        <v>-51</v>
      </c>
      <c r="AG45" s="70">
        <f ca="1">INDIRECT("T"&amp;ROW())-HLOOKUP(INDIRECT("V"&amp;ROW()),Minimas!$C$3:$CD$12,AG$4+1,FALSE)</f>
        <v>-71</v>
      </c>
      <c r="AH45" s="70">
        <f ca="1">INDIRECT("T"&amp;ROW())-HLOOKUP(INDIRECT("V"&amp;ROW()),Minimas!$C$3:$CD$12,AH$4+1,FALSE)</f>
        <v>-91</v>
      </c>
      <c r="AI45" s="70">
        <f ca="1">INDIRECT("T"&amp;ROW())-HLOOKUP(INDIRECT("V"&amp;ROW()),Minimas!$C$3:$CD$12,AI$4+1,FALSE)</f>
        <v>-111</v>
      </c>
      <c r="AJ45" s="70">
        <f ca="1">INDIRECT("T"&amp;ROW())-HLOOKUP(INDIRECT("V"&amp;ROW()),Minimas!$C$3:$CD$12,AJ$4+1,FALSE)</f>
        <v>-126</v>
      </c>
      <c r="AK45" s="71">
        <f ca="1" t="shared" si="9"/>
        <v>3</v>
      </c>
      <c r="AM45" s="5" t="str">
        <f ca="1" t="shared" si="10"/>
        <v>REG +</v>
      </c>
      <c r="AN45" s="5">
        <f ca="1" t="shared" si="11"/>
        <v>4</v>
      </c>
      <c r="AO45" s="86">
        <v>131.6130423521156</v>
      </c>
      <c r="AP45" s="10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</row>
    <row r="46" spans="2:123" ht="30" customHeight="1" thickBot="1">
      <c r="B46" s="62"/>
      <c r="C46" s="65" t="s">
        <v>283</v>
      </c>
      <c r="D46" s="94">
        <v>8</v>
      </c>
      <c r="E46" s="64" t="s">
        <v>374</v>
      </c>
      <c r="F46" s="42" t="s">
        <v>284</v>
      </c>
      <c r="G46" s="43" t="s">
        <v>285</v>
      </c>
      <c r="H46" s="59">
        <f ca="1" t="shared" si="6"/>
        <v>1999</v>
      </c>
      <c r="I46" s="61" t="s">
        <v>159</v>
      </c>
      <c r="J46" s="60" t="s">
        <v>145</v>
      </c>
      <c r="K46" s="44">
        <v>72</v>
      </c>
      <c r="L46" s="67">
        <v>74</v>
      </c>
      <c r="M46" s="67">
        <v>79</v>
      </c>
      <c r="N46" s="67">
        <v>-82</v>
      </c>
      <c r="O46" s="45">
        <v>79</v>
      </c>
      <c r="P46" s="67">
        <v>100</v>
      </c>
      <c r="Q46" s="67">
        <v>105</v>
      </c>
      <c r="R46" s="67">
        <v>-111</v>
      </c>
      <c r="S46" s="45">
        <v>105</v>
      </c>
      <c r="T46" s="46">
        <v>184</v>
      </c>
      <c r="U46" s="68" t="str">
        <f ca="1" t="shared" si="7"/>
        <v>IRG + 4</v>
      </c>
      <c r="V4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M73</v>
      </c>
      <c r="W46" s="69">
        <v>238.45979808537493</v>
      </c>
      <c r="X46" s="5">
        <f ca="1" t="shared" si="8"/>
        <v>20</v>
      </c>
      <c r="Y46" s="5">
        <f ca="1">MATCH(INDIRECT("X"&amp;ROW()),Minimas!$B$50:$B$56,-1)</f>
        <v>2</v>
      </c>
      <c r="Z46" s="5">
        <f ca="1">IF(INDIRECT("E"&amp;ROW())="H",MATCH(INDIRECT("K"&amp;ROW()),Minimas!$A$16:$A$29,1),MATCH(INDIRECT("K"&amp;ROW()),Minimas!$J$16:$J$27,1))</f>
        <v>8</v>
      </c>
      <c r="AA46" s="59">
        <v>36330</v>
      </c>
      <c r="AB46" s="70">
        <f ca="1">INDIRECT("T"&amp;ROW())-HLOOKUP(INDIRECT("V"&amp;ROW()),Minimas!$C$3:$CD$12,AB$4+1,FALSE)</f>
        <v>64</v>
      </c>
      <c r="AC46" s="70">
        <f ca="1">INDIRECT("T"&amp;ROW())-HLOOKUP(INDIRECT("V"&amp;ROW()),Minimas!$C$3:$CD$12,AC$4+1,FALSE)</f>
        <v>44</v>
      </c>
      <c r="AD46" s="70">
        <f ca="1">INDIRECT("T"&amp;ROW())-HLOOKUP(INDIRECT("V"&amp;ROW()),Minimas!$C$3:$CD$12,AD$4+1,FALSE)</f>
        <v>24</v>
      </c>
      <c r="AE46" s="70">
        <f ca="1">INDIRECT("T"&amp;ROW())-HLOOKUP(INDIRECT("V"&amp;ROW()),Minimas!$C$3:$CD$12,AE$4+1,FALSE)</f>
        <v>4</v>
      </c>
      <c r="AF46" s="70">
        <f ca="1">INDIRECT("T"&amp;ROW())-HLOOKUP(INDIRECT("V"&amp;ROW()),Minimas!$C$3:$CD$12,AF$4+1,FALSE)</f>
        <v>-16</v>
      </c>
      <c r="AG46" s="70">
        <f ca="1">INDIRECT("T"&amp;ROW())-HLOOKUP(INDIRECT("V"&amp;ROW()),Minimas!$C$3:$CD$12,AG$4+1,FALSE)</f>
        <v>-46</v>
      </c>
      <c r="AH46" s="70">
        <f ca="1">INDIRECT("T"&amp;ROW())-HLOOKUP(INDIRECT("V"&amp;ROW()),Minimas!$C$3:$CD$12,AH$4+1,FALSE)</f>
        <v>-66</v>
      </c>
      <c r="AI46" s="70">
        <f ca="1">INDIRECT("T"&amp;ROW())-HLOOKUP(INDIRECT("V"&amp;ROW()),Minimas!$C$3:$CD$12,AI$4+1,FALSE)</f>
        <v>-91</v>
      </c>
      <c r="AJ46" s="70">
        <f ca="1">INDIRECT("T"&amp;ROW())-HLOOKUP(INDIRECT("V"&amp;ROW()),Minimas!$C$3:$CD$12,AJ$4+1,FALSE)</f>
        <v>-131</v>
      </c>
      <c r="AK46" s="71">
        <f ca="1" t="shared" si="9"/>
        <v>4</v>
      </c>
      <c r="AM46" s="5" t="str">
        <f ca="1" t="shared" si="10"/>
        <v>IRG +</v>
      </c>
      <c r="AN46" s="5">
        <f ca="1" t="shared" si="11"/>
        <v>4</v>
      </c>
      <c r="AO46" s="86">
        <v>120.39777475613717</v>
      </c>
      <c r="AP46" s="10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2:123" ht="30" customHeight="1" thickBot="1">
      <c r="B47" s="62"/>
      <c r="C47" s="65" t="s">
        <v>286</v>
      </c>
      <c r="D47" s="94">
        <v>9</v>
      </c>
      <c r="E47" s="64" t="s">
        <v>374</v>
      </c>
      <c r="F47" s="42" t="s">
        <v>287</v>
      </c>
      <c r="G47" s="43" t="s">
        <v>288</v>
      </c>
      <c r="H47" s="59">
        <f ca="1" t="shared" si="6"/>
        <v>1993</v>
      </c>
      <c r="I47" s="61" t="s">
        <v>181</v>
      </c>
      <c r="J47" s="60" t="s">
        <v>145</v>
      </c>
      <c r="K47" s="44">
        <v>70.2</v>
      </c>
      <c r="L47" s="67">
        <v>65</v>
      </c>
      <c r="M47" s="67">
        <v>72</v>
      </c>
      <c r="N47" s="67">
        <v>-75</v>
      </c>
      <c r="O47" s="45">
        <v>72</v>
      </c>
      <c r="P47" s="67">
        <v>85</v>
      </c>
      <c r="Q47" s="67">
        <v>91</v>
      </c>
      <c r="R47" s="67">
        <v>-95</v>
      </c>
      <c r="S47" s="45">
        <v>91</v>
      </c>
      <c r="T47" s="46">
        <v>163</v>
      </c>
      <c r="U47" s="68" t="str">
        <f ca="1" t="shared" si="7"/>
        <v>DPT + 3</v>
      </c>
      <c r="V4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7" s="69">
        <v>214.42461924749819</v>
      </c>
      <c r="X47" s="5">
        <f ca="1" t="shared" si="8"/>
        <v>26</v>
      </c>
      <c r="Y47" s="5">
        <f ca="1">MATCH(INDIRECT("X"&amp;ROW()),Minimas!$B$50:$B$56,-1)</f>
        <v>1</v>
      </c>
      <c r="Z47" s="5">
        <f ca="1">IF(INDIRECT("E"&amp;ROW())="H",MATCH(INDIRECT("K"&amp;ROW()),Minimas!$A$16:$A$29,1),MATCH(INDIRECT("K"&amp;ROW()),Minimas!$J$16:$J$27,1))</f>
        <v>8</v>
      </c>
      <c r="AA47" s="59">
        <v>33974</v>
      </c>
      <c r="AB47" s="70">
        <f ca="1">INDIRECT("T"&amp;ROW())-HLOOKUP(INDIRECT("V"&amp;ROW()),Minimas!$C$3:$CD$12,AB$4+1,FALSE)</f>
        <v>28</v>
      </c>
      <c r="AC47" s="70">
        <f ca="1">INDIRECT("T"&amp;ROW())-HLOOKUP(INDIRECT("V"&amp;ROW()),Minimas!$C$3:$CD$12,AC$4+1,FALSE)</f>
        <v>3</v>
      </c>
      <c r="AD47" s="70">
        <f ca="1">INDIRECT("T"&amp;ROW())-HLOOKUP(INDIRECT("V"&amp;ROW()),Minimas!$C$3:$CD$12,AD$4+1,FALSE)</f>
        <v>-22</v>
      </c>
      <c r="AE47" s="70">
        <f ca="1">INDIRECT("T"&amp;ROW())-HLOOKUP(INDIRECT("V"&amp;ROW()),Minimas!$C$3:$CD$12,AE$4+1,FALSE)</f>
        <v>-47</v>
      </c>
      <c r="AF47" s="70">
        <f ca="1">INDIRECT("T"&amp;ROW())-HLOOKUP(INDIRECT("V"&amp;ROW()),Minimas!$C$3:$CD$12,AF$4+1,FALSE)</f>
        <v>-77</v>
      </c>
      <c r="AG47" s="70">
        <f ca="1">INDIRECT("T"&amp;ROW())-HLOOKUP(INDIRECT("V"&amp;ROW()),Minimas!$C$3:$CD$12,AG$4+1,FALSE)</f>
        <v>-97</v>
      </c>
      <c r="AH47" s="70">
        <f ca="1">INDIRECT("T"&amp;ROW())-HLOOKUP(INDIRECT("V"&amp;ROW()),Minimas!$C$3:$CD$12,AH$4+1,FALSE)</f>
        <v>-117</v>
      </c>
      <c r="AI47" s="70">
        <f ca="1">INDIRECT("T"&amp;ROW())-HLOOKUP(INDIRECT("V"&amp;ROW()),Minimas!$C$3:$CD$12,AI$4+1,FALSE)</f>
        <v>-137</v>
      </c>
      <c r="AJ47" s="70">
        <f ca="1">INDIRECT("T"&amp;ROW())-HLOOKUP(INDIRECT("V"&amp;ROW()),Minimas!$C$3:$CD$12,AJ$4+1,FALSE)</f>
        <v>-152</v>
      </c>
      <c r="AK47" s="71">
        <f ca="1" t="shared" si="9"/>
        <v>2</v>
      </c>
      <c r="AM47" s="5" t="str">
        <f ca="1" t="shared" si="10"/>
        <v>DPT +</v>
      </c>
      <c r="AN47" s="5">
        <f ca="1" t="shared" si="11"/>
        <v>3</v>
      </c>
      <c r="AO47" s="86">
        <v>80.49791993408314</v>
      </c>
      <c r="AP47" s="10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2:123" ht="30" customHeight="1" thickBot="1">
      <c r="B48" s="62"/>
      <c r="C48" s="65" t="s">
        <v>289</v>
      </c>
      <c r="D48" s="94">
        <v>10</v>
      </c>
      <c r="E48" s="64" t="s">
        <v>374</v>
      </c>
      <c r="F48" s="42" t="s">
        <v>290</v>
      </c>
      <c r="G48" s="43" t="s">
        <v>291</v>
      </c>
      <c r="H48" s="59">
        <f ca="1" t="shared" si="6"/>
        <v>1995</v>
      </c>
      <c r="I48" s="61" t="s">
        <v>181</v>
      </c>
      <c r="J48" s="60" t="s">
        <v>145</v>
      </c>
      <c r="K48" s="44">
        <v>72.7</v>
      </c>
      <c r="L48" s="67">
        <v>91</v>
      </c>
      <c r="M48" s="67">
        <v>96</v>
      </c>
      <c r="N48" s="67">
        <v>101</v>
      </c>
      <c r="O48" s="45">
        <v>101</v>
      </c>
      <c r="P48" s="67">
        <v>-118</v>
      </c>
      <c r="Q48" s="67">
        <v>-121</v>
      </c>
      <c r="R48" s="67">
        <v>-121</v>
      </c>
      <c r="S48" s="45">
        <v>0</v>
      </c>
      <c r="T48" s="46">
        <v>0</v>
      </c>
      <c r="U48" s="68" t="str">
        <f ca="1" t="shared" si="7"/>
        <v>DEB -135</v>
      </c>
      <c r="V4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8" s="69">
        <v>0</v>
      </c>
      <c r="X48" s="5">
        <f ca="1" t="shared" si="8"/>
        <v>24</v>
      </c>
      <c r="Y48" s="5">
        <f ca="1">MATCH(INDIRECT("X"&amp;ROW()),Minimas!$B$50:$B$56,-1)</f>
        <v>1</v>
      </c>
      <c r="Z48" s="5">
        <f ca="1">IF(INDIRECT("E"&amp;ROW())="H",MATCH(INDIRECT("K"&amp;ROW()),Minimas!$A$16:$A$29,1),MATCH(INDIRECT("K"&amp;ROW()),Minimas!$J$16:$J$27,1))</f>
        <v>8</v>
      </c>
      <c r="AA48" s="59">
        <v>34813</v>
      </c>
      <c r="AB48" s="70">
        <f ca="1">INDIRECT("T"&amp;ROW())-HLOOKUP(INDIRECT("V"&amp;ROW()),Minimas!$C$3:$CD$12,AB$4+1,FALSE)</f>
        <v>-135</v>
      </c>
      <c r="AC48" s="70">
        <f ca="1">INDIRECT("T"&amp;ROW())-HLOOKUP(INDIRECT("V"&amp;ROW()),Minimas!$C$3:$CD$12,AC$4+1,FALSE)</f>
        <v>-160</v>
      </c>
      <c r="AD48" s="70">
        <f ca="1">INDIRECT("T"&amp;ROW())-HLOOKUP(INDIRECT("V"&amp;ROW()),Minimas!$C$3:$CD$12,AD$4+1,FALSE)</f>
        <v>-185</v>
      </c>
      <c r="AE48" s="70">
        <f ca="1">INDIRECT("T"&amp;ROW())-HLOOKUP(INDIRECT("V"&amp;ROW()),Minimas!$C$3:$CD$12,AE$4+1,FALSE)</f>
        <v>-210</v>
      </c>
      <c r="AF48" s="70">
        <f ca="1">INDIRECT("T"&amp;ROW())-HLOOKUP(INDIRECT("V"&amp;ROW()),Minimas!$C$3:$CD$12,AF$4+1,FALSE)</f>
        <v>-240</v>
      </c>
      <c r="AG48" s="70">
        <f ca="1">INDIRECT("T"&amp;ROW())-HLOOKUP(INDIRECT("V"&amp;ROW()),Minimas!$C$3:$CD$12,AG$4+1,FALSE)</f>
        <v>-260</v>
      </c>
      <c r="AH48" s="70">
        <f ca="1">INDIRECT("T"&amp;ROW())-HLOOKUP(INDIRECT("V"&amp;ROW()),Minimas!$C$3:$CD$12,AH$4+1,FALSE)</f>
        <v>-280</v>
      </c>
      <c r="AI48" s="70">
        <f ca="1">INDIRECT("T"&amp;ROW())-HLOOKUP(INDIRECT("V"&amp;ROW()),Minimas!$C$3:$CD$12,AI$4+1,FALSE)</f>
        <v>-300</v>
      </c>
      <c r="AJ48" s="70">
        <f ca="1">INDIRECT("T"&amp;ROW())-HLOOKUP(INDIRECT("V"&amp;ROW()),Minimas!$C$3:$CD$12,AJ$4+1,FALSE)</f>
        <v>-315</v>
      </c>
      <c r="AK48" s="71">
        <f ca="1" t="shared" si="9"/>
        <v>1</v>
      </c>
      <c r="AM48" s="5" t="str">
        <f ca="1" t="shared" si="10"/>
        <v>DEB</v>
      </c>
      <c r="AN48" s="5">
        <f ca="1" t="shared" si="11"/>
        <v>-135</v>
      </c>
      <c r="AO48" s="86">
        <v>0</v>
      </c>
      <c r="AP48" s="10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</row>
    <row r="49" spans="2:123" ht="30" customHeight="1" thickBot="1">
      <c r="B49" s="62"/>
      <c r="C49" s="65" t="s">
        <v>292</v>
      </c>
      <c r="D49" s="94">
        <v>10</v>
      </c>
      <c r="E49" s="64" t="s">
        <v>374</v>
      </c>
      <c r="F49" s="42" t="s">
        <v>293</v>
      </c>
      <c r="G49" s="43" t="s">
        <v>294</v>
      </c>
      <c r="H49" s="59">
        <f ca="1" t="shared" si="6"/>
        <v>1997</v>
      </c>
      <c r="I49" s="61" t="s">
        <v>181</v>
      </c>
      <c r="J49" s="60" t="s">
        <v>145</v>
      </c>
      <c r="K49" s="44">
        <v>72.8</v>
      </c>
      <c r="L49" s="67">
        <v>-86</v>
      </c>
      <c r="M49" s="67">
        <v>-86</v>
      </c>
      <c r="N49" s="67">
        <v>-86</v>
      </c>
      <c r="O49" s="45">
        <v>0</v>
      </c>
      <c r="P49" s="67">
        <v>0</v>
      </c>
      <c r="Q49" s="67">
        <v>0</v>
      </c>
      <c r="R49" s="67">
        <v>0</v>
      </c>
      <c r="S49" s="45">
        <v>0</v>
      </c>
      <c r="T49" s="46">
        <v>0</v>
      </c>
      <c r="U49" s="68" t="str">
        <f ca="1" t="shared" si="7"/>
        <v>DEB -135</v>
      </c>
      <c r="V4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M73</v>
      </c>
      <c r="W49" s="69">
        <v>0</v>
      </c>
      <c r="X49" s="5">
        <f ca="1" t="shared" si="8"/>
        <v>22</v>
      </c>
      <c r="Y49" s="5">
        <f ca="1">MATCH(INDIRECT("X"&amp;ROW()),Minimas!$B$50:$B$56,-1)</f>
        <v>1</v>
      </c>
      <c r="Z49" s="5">
        <f ca="1">IF(INDIRECT("E"&amp;ROW())="H",MATCH(INDIRECT("K"&amp;ROW()),Minimas!$A$16:$A$29,1),MATCH(INDIRECT("K"&amp;ROW()),Minimas!$J$16:$J$27,1))</f>
        <v>8</v>
      </c>
      <c r="AA49" s="59">
        <v>35559</v>
      </c>
      <c r="AB49" s="70">
        <f ca="1">INDIRECT("T"&amp;ROW())-HLOOKUP(INDIRECT("V"&amp;ROW()),Minimas!$C$3:$CD$12,AB$4+1,FALSE)</f>
        <v>-135</v>
      </c>
      <c r="AC49" s="70">
        <f ca="1">INDIRECT("T"&amp;ROW())-HLOOKUP(INDIRECT("V"&amp;ROW()),Minimas!$C$3:$CD$12,AC$4+1,FALSE)</f>
        <v>-160</v>
      </c>
      <c r="AD49" s="70">
        <f ca="1">INDIRECT("T"&amp;ROW())-HLOOKUP(INDIRECT("V"&amp;ROW()),Minimas!$C$3:$CD$12,AD$4+1,FALSE)</f>
        <v>-185</v>
      </c>
      <c r="AE49" s="70">
        <f ca="1">INDIRECT("T"&amp;ROW())-HLOOKUP(INDIRECT("V"&amp;ROW()),Minimas!$C$3:$CD$12,AE$4+1,FALSE)</f>
        <v>-210</v>
      </c>
      <c r="AF49" s="70">
        <f ca="1">INDIRECT("T"&amp;ROW())-HLOOKUP(INDIRECT("V"&amp;ROW()),Minimas!$C$3:$CD$12,AF$4+1,FALSE)</f>
        <v>-240</v>
      </c>
      <c r="AG49" s="70">
        <f ca="1">INDIRECT("T"&amp;ROW())-HLOOKUP(INDIRECT("V"&amp;ROW()),Minimas!$C$3:$CD$12,AG$4+1,FALSE)</f>
        <v>-260</v>
      </c>
      <c r="AH49" s="70">
        <f ca="1">INDIRECT("T"&amp;ROW())-HLOOKUP(INDIRECT("V"&amp;ROW()),Minimas!$C$3:$CD$12,AH$4+1,FALSE)</f>
        <v>-280</v>
      </c>
      <c r="AI49" s="70">
        <f ca="1">INDIRECT("T"&amp;ROW())-HLOOKUP(INDIRECT("V"&amp;ROW()),Minimas!$C$3:$CD$12,AI$4+1,FALSE)</f>
        <v>-300</v>
      </c>
      <c r="AJ49" s="70">
        <f ca="1">INDIRECT("T"&amp;ROW())-HLOOKUP(INDIRECT("V"&amp;ROW()),Minimas!$C$3:$CD$12,AJ$4+1,FALSE)</f>
        <v>-315</v>
      </c>
      <c r="AK49" s="71">
        <f ca="1" t="shared" si="9"/>
        <v>1</v>
      </c>
      <c r="AM49" s="5" t="str">
        <f ca="1" t="shared" si="10"/>
        <v>DEB</v>
      </c>
      <c r="AN49" s="5">
        <f ca="1" t="shared" si="11"/>
        <v>-135</v>
      </c>
      <c r="AO49" s="86">
        <v>0</v>
      </c>
      <c r="AP49" s="10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</row>
    <row r="50" spans="2:123" ht="30" customHeight="1" thickBot="1">
      <c r="B50" s="62"/>
      <c r="C50" s="65" t="s">
        <v>295</v>
      </c>
      <c r="D50" s="63">
        <v>1</v>
      </c>
      <c r="E50" s="64" t="s">
        <v>374</v>
      </c>
      <c r="F50" s="42" t="s">
        <v>296</v>
      </c>
      <c r="G50" s="43" t="s">
        <v>272</v>
      </c>
      <c r="H50" s="59">
        <f ca="1" t="shared" si="6"/>
        <v>1994</v>
      </c>
      <c r="I50" s="61" t="s">
        <v>297</v>
      </c>
      <c r="J50" s="60" t="s">
        <v>145</v>
      </c>
      <c r="K50" s="44">
        <v>80.4</v>
      </c>
      <c r="L50" s="67">
        <v>110</v>
      </c>
      <c r="M50" s="67">
        <v>115</v>
      </c>
      <c r="N50" s="67">
        <v>120</v>
      </c>
      <c r="O50" s="45">
        <v>120</v>
      </c>
      <c r="P50" s="67">
        <v>140</v>
      </c>
      <c r="Q50" s="67">
        <v>150</v>
      </c>
      <c r="R50" s="67">
        <v>-161</v>
      </c>
      <c r="S50" s="45">
        <v>150</v>
      </c>
      <c r="T50" s="46">
        <v>270</v>
      </c>
      <c r="U50" s="68" t="str">
        <f ca="1" t="shared" si="7"/>
        <v>FED + 20</v>
      </c>
      <c r="V5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0" s="69">
        <v>329.4571033694855</v>
      </c>
      <c r="X50" s="5">
        <f ca="1" t="shared" si="8"/>
        <v>25</v>
      </c>
      <c r="Y50" s="5">
        <f ca="1">MATCH(INDIRECT("X"&amp;ROW()),Minimas!$B$50:$B$56,-1)</f>
        <v>1</v>
      </c>
      <c r="Z50" s="5">
        <f ca="1">IF(INDIRECT("E"&amp;ROW())="H",MATCH(INDIRECT("K"&amp;ROW()),Minimas!$A$16:$A$29,1),MATCH(INDIRECT("K"&amp;ROW()),Minimas!$J$16:$J$27,1))</f>
        <v>9</v>
      </c>
      <c r="AA50" s="59">
        <v>34611</v>
      </c>
      <c r="AB50" s="70">
        <f ca="1">INDIRECT("T"&amp;ROW())-HLOOKUP(INDIRECT("V"&amp;ROW()),Minimas!$C$3:$CD$12,AB$4+1,FALSE)</f>
        <v>125</v>
      </c>
      <c r="AC50" s="70">
        <f ca="1">INDIRECT("T"&amp;ROW())-HLOOKUP(INDIRECT("V"&amp;ROW()),Minimas!$C$3:$CD$12,AC$4+1,FALSE)</f>
        <v>100</v>
      </c>
      <c r="AD50" s="70">
        <f ca="1">INDIRECT("T"&amp;ROW())-HLOOKUP(INDIRECT("V"&amp;ROW()),Minimas!$C$3:$CD$12,AD$4+1,FALSE)</f>
        <v>75</v>
      </c>
      <c r="AE50" s="70">
        <f ca="1">INDIRECT("T"&amp;ROW())-HLOOKUP(INDIRECT("V"&amp;ROW()),Minimas!$C$3:$CD$12,AE$4+1,FALSE)</f>
        <v>50</v>
      </c>
      <c r="AF50" s="70">
        <f ca="1">INDIRECT("T"&amp;ROW())-HLOOKUP(INDIRECT("V"&amp;ROW()),Minimas!$C$3:$CD$12,AF$4+1,FALSE)</f>
        <v>20</v>
      </c>
      <c r="AG50" s="70">
        <f ca="1">INDIRECT("T"&amp;ROW())-HLOOKUP(INDIRECT("V"&amp;ROW()),Minimas!$C$3:$CD$12,AG$4+1,FALSE)</f>
        <v>-5</v>
      </c>
      <c r="AH50" s="70">
        <f ca="1">INDIRECT("T"&amp;ROW())-HLOOKUP(INDIRECT("V"&amp;ROW()),Minimas!$C$3:$CD$12,AH$4+1,FALSE)</f>
        <v>-25</v>
      </c>
      <c r="AI50" s="70">
        <f ca="1">INDIRECT("T"&amp;ROW())-HLOOKUP(INDIRECT("V"&amp;ROW()),Minimas!$C$3:$CD$12,AI$4+1,FALSE)</f>
        <v>-50</v>
      </c>
      <c r="AJ50" s="70">
        <f ca="1">INDIRECT("T"&amp;ROW())-HLOOKUP(INDIRECT("V"&amp;ROW()),Minimas!$C$3:$CD$12,AJ$4+1,FALSE)</f>
        <v>-65</v>
      </c>
      <c r="AK50" s="71">
        <f ca="1" t="shared" si="9"/>
        <v>5</v>
      </c>
      <c r="AM50" s="5" t="str">
        <f ca="1" t="shared" si="10"/>
        <v>FED +</v>
      </c>
      <c r="AN50" s="5">
        <f ca="1" t="shared" si="11"/>
        <v>20</v>
      </c>
      <c r="AO50" s="86">
        <v>357.48155712802543</v>
      </c>
      <c r="AP50" s="97" t="s">
        <v>394</v>
      </c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</row>
    <row r="51" spans="2:123" ht="30" customHeight="1" thickBot="1">
      <c r="B51" s="62"/>
      <c r="C51" s="65" t="s">
        <v>298</v>
      </c>
      <c r="D51" s="63">
        <v>2</v>
      </c>
      <c r="E51" s="64" t="s">
        <v>374</v>
      </c>
      <c r="F51" s="134" t="s">
        <v>299</v>
      </c>
      <c r="G51" s="135" t="s">
        <v>300</v>
      </c>
      <c r="H51" s="59">
        <f ca="1" t="shared" si="6"/>
        <v>1997</v>
      </c>
      <c r="I51" s="61" t="s">
        <v>250</v>
      </c>
      <c r="J51" s="60" t="s">
        <v>145</v>
      </c>
      <c r="K51" s="44">
        <v>79.5</v>
      </c>
      <c r="L51" s="67">
        <v>103</v>
      </c>
      <c r="M51" s="67">
        <v>110</v>
      </c>
      <c r="N51" s="67">
        <v>-116</v>
      </c>
      <c r="O51" s="45">
        <v>110</v>
      </c>
      <c r="P51" s="67">
        <v>135</v>
      </c>
      <c r="Q51" s="67">
        <v>-140</v>
      </c>
      <c r="R51" s="67">
        <v>-140</v>
      </c>
      <c r="S51" s="45">
        <v>135</v>
      </c>
      <c r="T51" s="46">
        <v>245</v>
      </c>
      <c r="U51" s="68" t="str">
        <f ca="1" t="shared" si="7"/>
        <v>IRG + 25</v>
      </c>
      <c r="V5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1" s="69">
        <v>300.685116809911</v>
      </c>
      <c r="X51" s="5">
        <f ca="1" t="shared" si="8"/>
        <v>22</v>
      </c>
      <c r="Y51" s="5">
        <f ca="1">MATCH(INDIRECT("X"&amp;ROW()),Minimas!$B$50:$B$56,-1)</f>
        <v>1</v>
      </c>
      <c r="Z51" s="5">
        <f ca="1">IF(INDIRECT("E"&amp;ROW())="H",MATCH(INDIRECT("K"&amp;ROW()),Minimas!$A$16:$A$29,1),MATCH(INDIRECT("K"&amp;ROW()),Minimas!$J$16:$J$27,1))</f>
        <v>9</v>
      </c>
      <c r="AA51" s="59">
        <v>35580</v>
      </c>
      <c r="AB51" s="70">
        <f ca="1">INDIRECT("T"&amp;ROW())-HLOOKUP(INDIRECT("V"&amp;ROW()),Minimas!$C$3:$CD$12,AB$4+1,FALSE)</f>
        <v>100</v>
      </c>
      <c r="AC51" s="70">
        <f ca="1">INDIRECT("T"&amp;ROW())-HLOOKUP(INDIRECT("V"&amp;ROW()),Minimas!$C$3:$CD$12,AC$4+1,FALSE)</f>
        <v>75</v>
      </c>
      <c r="AD51" s="70">
        <f ca="1">INDIRECT("T"&amp;ROW())-HLOOKUP(INDIRECT("V"&amp;ROW()),Minimas!$C$3:$CD$12,AD$4+1,FALSE)</f>
        <v>50</v>
      </c>
      <c r="AE51" s="70">
        <f ca="1">INDIRECT("T"&amp;ROW())-HLOOKUP(INDIRECT("V"&amp;ROW()),Minimas!$C$3:$CD$12,AE$4+1,FALSE)</f>
        <v>25</v>
      </c>
      <c r="AF51" s="70">
        <f ca="1">INDIRECT("T"&amp;ROW())-HLOOKUP(INDIRECT("V"&amp;ROW()),Minimas!$C$3:$CD$12,AF$4+1,FALSE)</f>
        <v>-5</v>
      </c>
      <c r="AG51" s="70">
        <f ca="1">INDIRECT("T"&amp;ROW())-HLOOKUP(INDIRECT("V"&amp;ROW()),Minimas!$C$3:$CD$12,AG$4+1,FALSE)</f>
        <v>-30</v>
      </c>
      <c r="AH51" s="70">
        <f ca="1">INDIRECT("T"&amp;ROW())-HLOOKUP(INDIRECT("V"&amp;ROW()),Minimas!$C$3:$CD$12,AH$4+1,FALSE)</f>
        <v>-50</v>
      </c>
      <c r="AI51" s="70">
        <f ca="1">INDIRECT("T"&amp;ROW())-HLOOKUP(INDIRECT("V"&amp;ROW()),Minimas!$C$3:$CD$12,AI$4+1,FALSE)</f>
        <v>-75</v>
      </c>
      <c r="AJ51" s="70">
        <f ca="1">INDIRECT("T"&amp;ROW())-HLOOKUP(INDIRECT("V"&amp;ROW()),Minimas!$C$3:$CD$12,AJ$4+1,FALSE)</f>
        <v>-90</v>
      </c>
      <c r="AK51" s="71">
        <f ca="1" t="shared" si="9"/>
        <v>4</v>
      </c>
      <c r="AM51" s="5" t="str">
        <f ca="1" t="shared" si="10"/>
        <v>IRG +</v>
      </c>
      <c r="AN51" s="5">
        <f ca="1" t="shared" si="11"/>
        <v>25</v>
      </c>
      <c r="AO51" s="86">
        <v>258.8665781128254</v>
      </c>
      <c r="AP51" s="97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</row>
    <row r="52" spans="2:123" ht="30" customHeight="1" thickBot="1">
      <c r="B52" s="62"/>
      <c r="C52" s="65" t="s">
        <v>301</v>
      </c>
      <c r="D52" s="63">
        <v>3</v>
      </c>
      <c r="E52" s="64" t="s">
        <v>374</v>
      </c>
      <c r="F52" s="42" t="s">
        <v>302</v>
      </c>
      <c r="G52" s="43" t="s">
        <v>303</v>
      </c>
      <c r="H52" s="59">
        <f ca="1" t="shared" si="6"/>
        <v>1992</v>
      </c>
      <c r="I52" s="61" t="s">
        <v>159</v>
      </c>
      <c r="J52" s="60" t="s">
        <v>145</v>
      </c>
      <c r="K52" s="44">
        <v>80.1</v>
      </c>
      <c r="L52" s="67">
        <v>-100</v>
      </c>
      <c r="M52" s="67">
        <v>-100</v>
      </c>
      <c r="N52" s="67">
        <v>100</v>
      </c>
      <c r="O52" s="45">
        <v>100</v>
      </c>
      <c r="P52" s="67">
        <v>120</v>
      </c>
      <c r="Q52" s="67">
        <v>125</v>
      </c>
      <c r="R52" s="67">
        <v>-130</v>
      </c>
      <c r="S52" s="45">
        <v>125</v>
      </c>
      <c r="T52" s="46">
        <v>225</v>
      </c>
      <c r="U52" s="68" t="str">
        <f ca="1" t="shared" si="7"/>
        <v>IRG + 5</v>
      </c>
      <c r="V5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2" s="69">
        <v>275.0726547320481</v>
      </c>
      <c r="X52" s="5">
        <f ca="1" t="shared" si="8"/>
        <v>27</v>
      </c>
      <c r="Y52" s="5">
        <f ca="1">MATCH(INDIRECT("X"&amp;ROW()),Minimas!$B$50:$B$56,-1)</f>
        <v>1</v>
      </c>
      <c r="Z52" s="5">
        <f ca="1">IF(INDIRECT("E"&amp;ROW())="H",MATCH(INDIRECT("K"&amp;ROW()),Minimas!$A$16:$A$29,1),MATCH(INDIRECT("K"&amp;ROW()),Minimas!$J$16:$J$27,1))</f>
        <v>9</v>
      </c>
      <c r="AA52" s="59">
        <v>33916</v>
      </c>
      <c r="AB52" s="70">
        <f ca="1">INDIRECT("T"&amp;ROW())-HLOOKUP(INDIRECT("V"&amp;ROW()),Minimas!$C$3:$CD$12,AB$4+1,FALSE)</f>
        <v>80</v>
      </c>
      <c r="AC52" s="70">
        <f ca="1">INDIRECT("T"&amp;ROW())-HLOOKUP(INDIRECT("V"&amp;ROW()),Minimas!$C$3:$CD$12,AC$4+1,FALSE)</f>
        <v>55</v>
      </c>
      <c r="AD52" s="70">
        <f ca="1">INDIRECT("T"&amp;ROW())-HLOOKUP(INDIRECT("V"&amp;ROW()),Minimas!$C$3:$CD$12,AD$4+1,FALSE)</f>
        <v>30</v>
      </c>
      <c r="AE52" s="70">
        <f ca="1">INDIRECT("T"&amp;ROW())-HLOOKUP(INDIRECT("V"&amp;ROW()),Minimas!$C$3:$CD$12,AE$4+1,FALSE)</f>
        <v>5</v>
      </c>
      <c r="AF52" s="70">
        <f ca="1">INDIRECT("T"&amp;ROW())-HLOOKUP(INDIRECT("V"&amp;ROW()),Minimas!$C$3:$CD$12,AF$4+1,FALSE)</f>
        <v>-25</v>
      </c>
      <c r="AG52" s="70">
        <f ca="1">INDIRECT("T"&amp;ROW())-HLOOKUP(INDIRECT("V"&amp;ROW()),Minimas!$C$3:$CD$12,AG$4+1,FALSE)</f>
        <v>-50</v>
      </c>
      <c r="AH52" s="70">
        <f ca="1">INDIRECT("T"&amp;ROW())-HLOOKUP(INDIRECT("V"&amp;ROW()),Minimas!$C$3:$CD$12,AH$4+1,FALSE)</f>
        <v>-70</v>
      </c>
      <c r="AI52" s="70">
        <f ca="1">INDIRECT("T"&amp;ROW())-HLOOKUP(INDIRECT("V"&amp;ROW()),Minimas!$C$3:$CD$12,AI$4+1,FALSE)</f>
        <v>-95</v>
      </c>
      <c r="AJ52" s="70">
        <f ca="1">INDIRECT("T"&amp;ROW())-HLOOKUP(INDIRECT("V"&amp;ROW()),Minimas!$C$3:$CD$12,AJ$4+1,FALSE)</f>
        <v>-110</v>
      </c>
      <c r="AK52" s="71">
        <f ca="1" t="shared" si="9"/>
        <v>4</v>
      </c>
      <c r="AM52" s="5" t="str">
        <f ca="1" t="shared" si="10"/>
        <v>IRG +</v>
      </c>
      <c r="AN52" s="5">
        <f ca="1" t="shared" si="11"/>
        <v>5</v>
      </c>
      <c r="AO52" s="86">
        <v>195.08291445267767</v>
      </c>
      <c r="AP52" s="97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2:123" ht="30" customHeight="1" thickBot="1">
      <c r="B53" s="62"/>
      <c r="C53" s="65" t="s">
        <v>304</v>
      </c>
      <c r="D53" s="63">
        <v>4</v>
      </c>
      <c r="E53" s="64" t="s">
        <v>374</v>
      </c>
      <c r="F53" s="42" t="s">
        <v>305</v>
      </c>
      <c r="G53" s="43" t="s">
        <v>306</v>
      </c>
      <c r="H53" s="59">
        <f ca="1" t="shared" si="6"/>
        <v>1996</v>
      </c>
      <c r="I53" s="61" t="s">
        <v>170</v>
      </c>
      <c r="J53" s="60" t="s">
        <v>145</v>
      </c>
      <c r="K53" s="44">
        <v>76.3</v>
      </c>
      <c r="L53" s="67">
        <v>88</v>
      </c>
      <c r="M53" s="67">
        <v>93</v>
      </c>
      <c r="N53" s="67">
        <v>97</v>
      </c>
      <c r="O53" s="45">
        <v>97</v>
      </c>
      <c r="P53" s="67">
        <v>112</v>
      </c>
      <c r="Q53" s="67">
        <v>-118</v>
      </c>
      <c r="R53" s="67">
        <v>118</v>
      </c>
      <c r="S53" s="45">
        <v>118</v>
      </c>
      <c r="T53" s="46">
        <v>215</v>
      </c>
      <c r="U53" s="68" t="str">
        <f ca="1" t="shared" si="7"/>
        <v>REG + 20</v>
      </c>
      <c r="V5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3" s="69">
        <v>269.6823132731399</v>
      </c>
      <c r="X53" s="5">
        <f ca="1" t="shared" si="8"/>
        <v>23</v>
      </c>
      <c r="Y53" s="5">
        <f ca="1">MATCH(INDIRECT("X"&amp;ROW()),Minimas!$B$50:$B$56,-1)</f>
        <v>1</v>
      </c>
      <c r="Z53" s="5">
        <f ca="1">IF(INDIRECT("E"&amp;ROW())="H",MATCH(INDIRECT("K"&amp;ROW()),Minimas!$A$16:$A$29,1),MATCH(INDIRECT("K"&amp;ROW()),Minimas!$J$16:$J$27,1))</f>
        <v>9</v>
      </c>
      <c r="AA53" s="59">
        <v>35162</v>
      </c>
      <c r="AB53" s="70">
        <f ca="1">INDIRECT("T"&amp;ROW())-HLOOKUP(INDIRECT("V"&amp;ROW()),Minimas!$C$3:$CD$12,AB$4+1,FALSE)</f>
        <v>70</v>
      </c>
      <c r="AC53" s="70">
        <f ca="1">INDIRECT("T"&amp;ROW())-HLOOKUP(INDIRECT("V"&amp;ROW()),Minimas!$C$3:$CD$12,AC$4+1,FALSE)</f>
        <v>45</v>
      </c>
      <c r="AD53" s="70">
        <f ca="1">INDIRECT("T"&amp;ROW())-HLOOKUP(INDIRECT("V"&amp;ROW()),Minimas!$C$3:$CD$12,AD$4+1,FALSE)</f>
        <v>20</v>
      </c>
      <c r="AE53" s="70">
        <f ca="1">INDIRECT("T"&amp;ROW())-HLOOKUP(INDIRECT("V"&amp;ROW()),Minimas!$C$3:$CD$12,AE$4+1,FALSE)</f>
        <v>-5</v>
      </c>
      <c r="AF53" s="70">
        <f ca="1">INDIRECT("T"&amp;ROW())-HLOOKUP(INDIRECT("V"&amp;ROW()),Minimas!$C$3:$CD$12,AF$4+1,FALSE)</f>
        <v>-35</v>
      </c>
      <c r="AG53" s="70">
        <f ca="1">INDIRECT("T"&amp;ROW())-HLOOKUP(INDIRECT("V"&amp;ROW()),Minimas!$C$3:$CD$12,AG$4+1,FALSE)</f>
        <v>-60</v>
      </c>
      <c r="AH53" s="70">
        <f ca="1">INDIRECT("T"&amp;ROW())-HLOOKUP(INDIRECT("V"&amp;ROW()),Minimas!$C$3:$CD$12,AH$4+1,FALSE)</f>
        <v>-80</v>
      </c>
      <c r="AI53" s="70">
        <f ca="1">INDIRECT("T"&amp;ROW())-HLOOKUP(INDIRECT("V"&amp;ROW()),Minimas!$C$3:$CD$12,AI$4+1,FALSE)</f>
        <v>-105</v>
      </c>
      <c r="AJ53" s="70">
        <f ca="1">INDIRECT("T"&amp;ROW())-HLOOKUP(INDIRECT("V"&amp;ROW()),Minimas!$C$3:$CD$12,AJ$4+1,FALSE)</f>
        <v>-120</v>
      </c>
      <c r="AK53" s="71">
        <f ca="1" t="shared" si="9"/>
        <v>3</v>
      </c>
      <c r="AM53" s="5" t="str">
        <f ca="1" t="shared" si="10"/>
        <v>REG +</v>
      </c>
      <c r="AN53" s="5">
        <f ca="1" t="shared" si="11"/>
        <v>20</v>
      </c>
      <c r="AO53" s="86">
        <v>167.7377810233194</v>
      </c>
      <c r="AP53" s="97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2:123" ht="30" customHeight="1" thickBot="1">
      <c r="B54" s="62"/>
      <c r="C54" s="65" t="s">
        <v>307</v>
      </c>
      <c r="D54" s="63">
        <v>5</v>
      </c>
      <c r="E54" s="64" t="s">
        <v>374</v>
      </c>
      <c r="F54" s="42" t="s">
        <v>308</v>
      </c>
      <c r="G54" s="43" t="s">
        <v>309</v>
      </c>
      <c r="H54" s="59">
        <f ca="1" t="shared" si="6"/>
        <v>1999</v>
      </c>
      <c r="I54" s="61" t="s">
        <v>159</v>
      </c>
      <c r="J54" s="60" t="s">
        <v>145</v>
      </c>
      <c r="K54" s="44">
        <v>78.8</v>
      </c>
      <c r="L54" s="67">
        <v>87</v>
      </c>
      <c r="M54" s="67">
        <v>-91</v>
      </c>
      <c r="N54" s="67">
        <v>-92</v>
      </c>
      <c r="O54" s="45">
        <v>87</v>
      </c>
      <c r="P54" s="67">
        <v>105</v>
      </c>
      <c r="Q54" s="67">
        <v>110</v>
      </c>
      <c r="R54" s="67">
        <v>114</v>
      </c>
      <c r="S54" s="45">
        <v>114</v>
      </c>
      <c r="T54" s="46">
        <v>201</v>
      </c>
      <c r="U54" s="68" t="str">
        <f ca="1" t="shared" si="7"/>
        <v>IRG + 11</v>
      </c>
      <c r="V5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M81</v>
      </c>
      <c r="W54" s="69">
        <v>247.8218774200129</v>
      </c>
      <c r="X54" s="5">
        <f ca="1" t="shared" si="8"/>
        <v>20</v>
      </c>
      <c r="Y54" s="5">
        <f ca="1">MATCH(INDIRECT("X"&amp;ROW()),Minimas!$B$50:$B$56,-1)</f>
        <v>2</v>
      </c>
      <c r="Z54" s="5">
        <f ca="1">IF(INDIRECT("E"&amp;ROW())="H",MATCH(INDIRECT("K"&amp;ROW()),Minimas!$A$16:$A$29,1),MATCH(INDIRECT("K"&amp;ROW()),Minimas!$J$16:$J$27,1))</f>
        <v>9</v>
      </c>
      <c r="AA54" s="59">
        <v>36363</v>
      </c>
      <c r="AB54" s="70">
        <f ca="1">INDIRECT("T"&amp;ROW())-HLOOKUP(INDIRECT("V"&amp;ROW()),Minimas!$C$3:$CD$12,AB$4+1,FALSE)</f>
        <v>71</v>
      </c>
      <c r="AC54" s="70">
        <f ca="1">INDIRECT("T"&amp;ROW())-HLOOKUP(INDIRECT("V"&amp;ROW()),Minimas!$C$3:$CD$12,AC$4+1,FALSE)</f>
        <v>51</v>
      </c>
      <c r="AD54" s="70">
        <f ca="1">INDIRECT("T"&amp;ROW())-HLOOKUP(INDIRECT("V"&amp;ROW()),Minimas!$C$3:$CD$12,AD$4+1,FALSE)</f>
        <v>31</v>
      </c>
      <c r="AE54" s="70">
        <f ca="1">INDIRECT("T"&amp;ROW())-HLOOKUP(INDIRECT("V"&amp;ROW()),Minimas!$C$3:$CD$12,AE$4+1,FALSE)</f>
        <v>11</v>
      </c>
      <c r="AF54" s="70">
        <f ca="1">INDIRECT("T"&amp;ROW())-HLOOKUP(INDIRECT("V"&amp;ROW()),Minimas!$C$3:$CD$12,AF$4+1,FALSE)</f>
        <v>-14</v>
      </c>
      <c r="AG54" s="70">
        <f ca="1">INDIRECT("T"&amp;ROW())-HLOOKUP(INDIRECT("V"&amp;ROW()),Minimas!$C$3:$CD$12,AG$4+1,FALSE)</f>
        <v>-44</v>
      </c>
      <c r="AH54" s="70">
        <f ca="1">INDIRECT("T"&amp;ROW())-HLOOKUP(INDIRECT("V"&amp;ROW()),Minimas!$C$3:$CD$12,AH$4+1,FALSE)</f>
        <v>-69</v>
      </c>
      <c r="AI54" s="70">
        <f ca="1">INDIRECT("T"&amp;ROW())-HLOOKUP(INDIRECT("V"&amp;ROW()),Minimas!$C$3:$CD$12,AI$4+1,FALSE)</f>
        <v>-94</v>
      </c>
      <c r="AJ54" s="70">
        <f ca="1">INDIRECT("T"&amp;ROW())-HLOOKUP(INDIRECT("V"&amp;ROW()),Minimas!$C$3:$CD$12,AJ$4+1,FALSE)</f>
        <v>-134</v>
      </c>
      <c r="AK54" s="71">
        <f ca="1" t="shared" si="9"/>
        <v>4</v>
      </c>
      <c r="AM54" s="5" t="str">
        <f ca="1" t="shared" si="10"/>
        <v>IRG +</v>
      </c>
      <c r="AN54" s="5">
        <f ca="1" t="shared" si="11"/>
        <v>11</v>
      </c>
      <c r="AO54" s="86">
        <v>134.11882349425002</v>
      </c>
      <c r="AP54" s="97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</row>
    <row r="55" spans="2:123" ht="30" customHeight="1" thickBot="1">
      <c r="B55" s="62"/>
      <c r="C55" s="65" t="s">
        <v>310</v>
      </c>
      <c r="D55" s="63">
        <v>6</v>
      </c>
      <c r="E55" s="64" t="s">
        <v>374</v>
      </c>
      <c r="F55" s="42" t="s">
        <v>311</v>
      </c>
      <c r="G55" s="43" t="s">
        <v>312</v>
      </c>
      <c r="H55" s="59">
        <f ca="1" t="shared" si="6"/>
        <v>1995</v>
      </c>
      <c r="I55" s="61" t="s">
        <v>313</v>
      </c>
      <c r="J55" s="60" t="s">
        <v>145</v>
      </c>
      <c r="K55" s="44">
        <v>75.8</v>
      </c>
      <c r="L55" s="67">
        <v>86</v>
      </c>
      <c r="M55" s="67">
        <v>90</v>
      </c>
      <c r="N55" s="67">
        <v>-92</v>
      </c>
      <c r="O55" s="45">
        <v>90</v>
      </c>
      <c r="P55" s="67">
        <v>105</v>
      </c>
      <c r="Q55" s="67">
        <v>110</v>
      </c>
      <c r="R55" s="67">
        <v>-113</v>
      </c>
      <c r="S55" s="45">
        <v>110</v>
      </c>
      <c r="T55" s="46">
        <v>200</v>
      </c>
      <c r="U55" s="68" t="str">
        <f ca="1" t="shared" si="7"/>
        <v>REG + 5</v>
      </c>
      <c r="V5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5" s="69">
        <v>251.76979136623837</v>
      </c>
      <c r="X55" s="5">
        <f ca="1" t="shared" si="8"/>
        <v>24</v>
      </c>
      <c r="Y55" s="5">
        <f ca="1">MATCH(INDIRECT("X"&amp;ROW()),Minimas!$B$50:$B$56,-1)</f>
        <v>1</v>
      </c>
      <c r="Z55" s="5">
        <f ca="1">IF(INDIRECT("E"&amp;ROW())="H",MATCH(INDIRECT("K"&amp;ROW()),Minimas!$A$16:$A$29,1),MATCH(INDIRECT("K"&amp;ROW()),Minimas!$J$16:$J$27,1))</f>
        <v>9</v>
      </c>
      <c r="AA55" s="59">
        <v>34944</v>
      </c>
      <c r="AB55" s="70">
        <f ca="1">INDIRECT("T"&amp;ROW())-HLOOKUP(INDIRECT("V"&amp;ROW()),Minimas!$C$3:$CD$12,AB$4+1,FALSE)</f>
        <v>55</v>
      </c>
      <c r="AC55" s="70">
        <f ca="1">INDIRECT("T"&amp;ROW())-HLOOKUP(INDIRECT("V"&amp;ROW()),Minimas!$C$3:$CD$12,AC$4+1,FALSE)</f>
        <v>30</v>
      </c>
      <c r="AD55" s="70">
        <f ca="1">INDIRECT("T"&amp;ROW())-HLOOKUP(INDIRECT("V"&amp;ROW()),Minimas!$C$3:$CD$12,AD$4+1,FALSE)</f>
        <v>5</v>
      </c>
      <c r="AE55" s="70">
        <f ca="1">INDIRECT("T"&amp;ROW())-HLOOKUP(INDIRECT("V"&amp;ROW()),Minimas!$C$3:$CD$12,AE$4+1,FALSE)</f>
        <v>-20</v>
      </c>
      <c r="AF55" s="70">
        <f ca="1">INDIRECT("T"&amp;ROW())-HLOOKUP(INDIRECT("V"&amp;ROW()),Minimas!$C$3:$CD$12,AF$4+1,FALSE)</f>
        <v>-50</v>
      </c>
      <c r="AG55" s="70">
        <f ca="1">INDIRECT("T"&amp;ROW())-HLOOKUP(INDIRECT("V"&amp;ROW()),Minimas!$C$3:$CD$12,AG$4+1,FALSE)</f>
        <v>-75</v>
      </c>
      <c r="AH55" s="70">
        <f ca="1">INDIRECT("T"&amp;ROW())-HLOOKUP(INDIRECT("V"&amp;ROW()),Minimas!$C$3:$CD$12,AH$4+1,FALSE)</f>
        <v>-95</v>
      </c>
      <c r="AI55" s="70">
        <f ca="1">INDIRECT("T"&amp;ROW())-HLOOKUP(INDIRECT("V"&amp;ROW()),Minimas!$C$3:$CD$12,AI$4+1,FALSE)</f>
        <v>-120</v>
      </c>
      <c r="AJ55" s="70">
        <f ca="1">INDIRECT("T"&amp;ROW())-HLOOKUP(INDIRECT("V"&amp;ROW()),Minimas!$C$3:$CD$12,AJ$4+1,FALSE)</f>
        <v>-135</v>
      </c>
      <c r="AK55" s="71">
        <f ca="1" t="shared" si="9"/>
        <v>3</v>
      </c>
      <c r="AM55" s="5" t="str">
        <f ca="1" t="shared" si="10"/>
        <v>REG +</v>
      </c>
      <c r="AN55" s="5">
        <f ca="1" t="shared" si="11"/>
        <v>5</v>
      </c>
      <c r="AO55" s="86">
        <v>131.91501576074893</v>
      </c>
      <c r="AP55" s="97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</row>
    <row r="56" spans="2:123" ht="30" customHeight="1" thickBot="1">
      <c r="B56" s="62"/>
      <c r="C56" s="65" t="s">
        <v>314</v>
      </c>
      <c r="D56" s="63">
        <v>7</v>
      </c>
      <c r="E56" s="64" t="s">
        <v>374</v>
      </c>
      <c r="F56" s="42" t="s">
        <v>315</v>
      </c>
      <c r="G56" s="43" t="s">
        <v>316</v>
      </c>
      <c r="H56" s="59">
        <f ca="1" t="shared" si="6"/>
        <v>1998</v>
      </c>
      <c r="I56" s="61" t="s">
        <v>218</v>
      </c>
      <c r="J56" s="60" t="s">
        <v>145</v>
      </c>
      <c r="K56" s="44">
        <v>78.3</v>
      </c>
      <c r="L56" s="67">
        <v>78</v>
      </c>
      <c r="M56" s="67">
        <v>83</v>
      </c>
      <c r="N56" s="67">
        <v>86</v>
      </c>
      <c r="O56" s="45">
        <v>86</v>
      </c>
      <c r="P56" s="67">
        <v>105</v>
      </c>
      <c r="Q56" s="67">
        <v>110</v>
      </c>
      <c r="R56" s="67">
        <v>-114</v>
      </c>
      <c r="S56" s="45">
        <v>110</v>
      </c>
      <c r="T56" s="46">
        <v>196</v>
      </c>
      <c r="U56" s="68" t="str">
        <f ca="1" t="shared" si="7"/>
        <v>REG + 1</v>
      </c>
      <c r="V5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6" s="69">
        <v>242.46621778468213</v>
      </c>
      <c r="X56" s="5">
        <f ca="1" t="shared" si="8"/>
        <v>21</v>
      </c>
      <c r="Y56" s="5">
        <f ca="1">MATCH(INDIRECT("X"&amp;ROW()),Minimas!$B$50:$B$56,-1)</f>
        <v>1</v>
      </c>
      <c r="Z56" s="5">
        <f ca="1">IF(INDIRECT("E"&amp;ROW())="H",MATCH(INDIRECT("K"&amp;ROW()),Minimas!$A$16:$A$29,1),MATCH(INDIRECT("K"&amp;ROW()),Minimas!$J$16:$J$27,1))</f>
        <v>9</v>
      </c>
      <c r="AA56" s="59">
        <v>35929</v>
      </c>
      <c r="AB56" s="70">
        <f ca="1">INDIRECT("T"&amp;ROW())-HLOOKUP(INDIRECT("V"&amp;ROW()),Minimas!$C$3:$CD$12,AB$4+1,FALSE)</f>
        <v>51</v>
      </c>
      <c r="AC56" s="70">
        <f ca="1">INDIRECT("T"&amp;ROW())-HLOOKUP(INDIRECT("V"&amp;ROW()),Minimas!$C$3:$CD$12,AC$4+1,FALSE)</f>
        <v>26</v>
      </c>
      <c r="AD56" s="70">
        <f ca="1">INDIRECT("T"&amp;ROW())-HLOOKUP(INDIRECT("V"&amp;ROW()),Minimas!$C$3:$CD$12,AD$4+1,FALSE)</f>
        <v>1</v>
      </c>
      <c r="AE56" s="70">
        <f ca="1">INDIRECT("T"&amp;ROW())-HLOOKUP(INDIRECT("V"&amp;ROW()),Minimas!$C$3:$CD$12,AE$4+1,FALSE)</f>
        <v>-24</v>
      </c>
      <c r="AF56" s="70">
        <f ca="1">INDIRECT("T"&amp;ROW())-HLOOKUP(INDIRECT("V"&amp;ROW()),Minimas!$C$3:$CD$12,AF$4+1,FALSE)</f>
        <v>-54</v>
      </c>
      <c r="AG56" s="70">
        <f ca="1">INDIRECT("T"&amp;ROW())-HLOOKUP(INDIRECT("V"&amp;ROW()),Minimas!$C$3:$CD$12,AG$4+1,FALSE)</f>
        <v>-79</v>
      </c>
      <c r="AH56" s="70">
        <f ca="1">INDIRECT("T"&amp;ROW())-HLOOKUP(INDIRECT("V"&amp;ROW()),Minimas!$C$3:$CD$12,AH$4+1,FALSE)</f>
        <v>-99</v>
      </c>
      <c r="AI56" s="70">
        <f ca="1">INDIRECT("T"&amp;ROW())-HLOOKUP(INDIRECT("V"&amp;ROW()),Minimas!$C$3:$CD$12,AI$4+1,FALSE)</f>
        <v>-124</v>
      </c>
      <c r="AJ56" s="70">
        <f ca="1">INDIRECT("T"&amp;ROW())-HLOOKUP(INDIRECT("V"&amp;ROW()),Minimas!$C$3:$CD$12,AJ$4+1,FALSE)</f>
        <v>-139</v>
      </c>
      <c r="AK56" s="71">
        <f ca="1" t="shared" si="9"/>
        <v>3</v>
      </c>
      <c r="AM56" s="5" t="str">
        <f ca="1" t="shared" si="10"/>
        <v>REG +</v>
      </c>
      <c r="AN56" s="5">
        <f ca="1" t="shared" si="11"/>
        <v>1</v>
      </c>
      <c r="AO56" s="86">
        <v>123.35248074670255</v>
      </c>
      <c r="AP56" s="97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</row>
    <row r="57" spans="2:123" ht="30" customHeight="1" thickBot="1">
      <c r="B57" s="62"/>
      <c r="C57" s="65" t="s">
        <v>317</v>
      </c>
      <c r="D57" s="63">
        <v>8</v>
      </c>
      <c r="E57" s="64" t="s">
        <v>374</v>
      </c>
      <c r="F57" s="42" t="s">
        <v>318</v>
      </c>
      <c r="G57" s="43" t="s">
        <v>319</v>
      </c>
      <c r="H57" s="59">
        <f ca="1" t="shared" si="6"/>
        <v>1999</v>
      </c>
      <c r="I57" s="61" t="s">
        <v>181</v>
      </c>
      <c r="J57" s="60" t="s">
        <v>145</v>
      </c>
      <c r="K57" s="44">
        <v>80</v>
      </c>
      <c r="L57" s="67">
        <v>77</v>
      </c>
      <c r="M57" s="67">
        <v>80</v>
      </c>
      <c r="N57" s="67">
        <v>85</v>
      </c>
      <c r="O57" s="45">
        <v>85</v>
      </c>
      <c r="P57" s="67">
        <v>105</v>
      </c>
      <c r="Q57" s="67">
        <v>110</v>
      </c>
      <c r="R57" s="67">
        <v>-115</v>
      </c>
      <c r="S57" s="45">
        <v>110</v>
      </c>
      <c r="T57" s="46">
        <v>195</v>
      </c>
      <c r="U57" s="68" t="str">
        <f ca="1" t="shared" si="7"/>
        <v>IRG + 5</v>
      </c>
      <c r="V5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M81</v>
      </c>
      <c r="W57" s="69">
        <v>238.54904536221986</v>
      </c>
      <c r="X57" s="5">
        <f ca="1" t="shared" si="8"/>
        <v>20</v>
      </c>
      <c r="Y57" s="5">
        <f ca="1">MATCH(INDIRECT("X"&amp;ROW()),Minimas!$B$50:$B$56,-1)</f>
        <v>2</v>
      </c>
      <c r="Z57" s="5">
        <f ca="1">IF(INDIRECT("E"&amp;ROW())="H",MATCH(INDIRECT("K"&amp;ROW()),Minimas!$A$16:$A$29,1),MATCH(INDIRECT("K"&amp;ROW()),Minimas!$J$16:$J$27,1))</f>
        <v>9</v>
      </c>
      <c r="AA57" s="59">
        <v>36275</v>
      </c>
      <c r="AB57" s="70">
        <f ca="1">INDIRECT("T"&amp;ROW())-HLOOKUP(INDIRECT("V"&amp;ROW()),Minimas!$C$3:$CD$12,AB$4+1,FALSE)</f>
        <v>65</v>
      </c>
      <c r="AC57" s="70">
        <f ca="1">INDIRECT("T"&amp;ROW())-HLOOKUP(INDIRECT("V"&amp;ROW()),Minimas!$C$3:$CD$12,AC$4+1,FALSE)</f>
        <v>45</v>
      </c>
      <c r="AD57" s="70">
        <f ca="1">INDIRECT("T"&amp;ROW())-HLOOKUP(INDIRECT("V"&amp;ROW()),Minimas!$C$3:$CD$12,AD$4+1,FALSE)</f>
        <v>25</v>
      </c>
      <c r="AE57" s="70">
        <f ca="1">INDIRECT("T"&amp;ROW())-HLOOKUP(INDIRECT("V"&amp;ROW()),Minimas!$C$3:$CD$12,AE$4+1,FALSE)</f>
        <v>5</v>
      </c>
      <c r="AF57" s="70">
        <f ca="1">INDIRECT("T"&amp;ROW())-HLOOKUP(INDIRECT("V"&amp;ROW()),Minimas!$C$3:$CD$12,AF$4+1,FALSE)</f>
        <v>-20</v>
      </c>
      <c r="AG57" s="70">
        <f ca="1">INDIRECT("T"&amp;ROW())-HLOOKUP(INDIRECT("V"&amp;ROW()),Minimas!$C$3:$CD$12,AG$4+1,FALSE)</f>
        <v>-50</v>
      </c>
      <c r="AH57" s="70">
        <f ca="1">INDIRECT("T"&amp;ROW())-HLOOKUP(INDIRECT("V"&amp;ROW()),Minimas!$C$3:$CD$12,AH$4+1,FALSE)</f>
        <v>-75</v>
      </c>
      <c r="AI57" s="70">
        <f ca="1">INDIRECT("T"&amp;ROW())-HLOOKUP(INDIRECT("V"&amp;ROW()),Minimas!$C$3:$CD$12,AI$4+1,FALSE)</f>
        <v>-100</v>
      </c>
      <c r="AJ57" s="70">
        <f ca="1">INDIRECT("T"&amp;ROW())-HLOOKUP(INDIRECT("V"&amp;ROW()),Minimas!$C$3:$CD$12,AJ$4+1,FALSE)</f>
        <v>-140</v>
      </c>
      <c r="AK57" s="71">
        <f ca="1" t="shared" si="9"/>
        <v>4</v>
      </c>
      <c r="AM57" s="5" t="str">
        <f ca="1" t="shared" si="10"/>
        <v>IRG +</v>
      </c>
      <c r="AN57" s="5">
        <f ca="1" t="shared" si="11"/>
        <v>5</v>
      </c>
      <c r="AO57" s="86">
        <v>121.27418303042113</v>
      </c>
      <c r="AP57" s="97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</row>
    <row r="58" spans="2:123" ht="30" customHeight="1" thickBot="1">
      <c r="B58" s="62"/>
      <c r="C58" s="65" t="s">
        <v>320</v>
      </c>
      <c r="D58" s="63">
        <v>9</v>
      </c>
      <c r="E58" s="64" t="s">
        <v>374</v>
      </c>
      <c r="F58" s="42" t="s">
        <v>321</v>
      </c>
      <c r="G58" s="43" t="s">
        <v>322</v>
      </c>
      <c r="H58" s="59">
        <f ca="1" t="shared" si="6"/>
        <v>1996</v>
      </c>
      <c r="I58" s="61" t="s">
        <v>224</v>
      </c>
      <c r="J58" s="60" t="s">
        <v>145</v>
      </c>
      <c r="K58" s="44">
        <v>77.1</v>
      </c>
      <c r="L58" s="67">
        <v>75</v>
      </c>
      <c r="M58" s="67">
        <v>80</v>
      </c>
      <c r="N58" s="67">
        <v>83</v>
      </c>
      <c r="O58" s="45">
        <v>83</v>
      </c>
      <c r="P58" s="67">
        <v>105</v>
      </c>
      <c r="Q58" s="67">
        <v>-111</v>
      </c>
      <c r="R58" s="67">
        <v>-111</v>
      </c>
      <c r="S58" s="45">
        <v>105</v>
      </c>
      <c r="T58" s="46">
        <v>188</v>
      </c>
      <c r="U58" s="68" t="str">
        <f ca="1" t="shared" si="7"/>
        <v>DPT + 18</v>
      </c>
      <c r="V5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8" s="69">
        <v>234.48914990788276</v>
      </c>
      <c r="X58" s="5">
        <f ca="1" t="shared" si="8"/>
        <v>23</v>
      </c>
      <c r="Y58" s="5">
        <f ca="1">MATCH(INDIRECT("X"&amp;ROW()),Minimas!$B$50:$B$56,-1)</f>
        <v>1</v>
      </c>
      <c r="Z58" s="5">
        <f ca="1">IF(INDIRECT("E"&amp;ROW())="H",MATCH(INDIRECT("K"&amp;ROW()),Minimas!$A$16:$A$29,1),MATCH(INDIRECT("K"&amp;ROW()),Minimas!$J$16:$J$27,1))</f>
        <v>9</v>
      </c>
      <c r="AA58" s="59">
        <v>35151</v>
      </c>
      <c r="AB58" s="70">
        <f ca="1">INDIRECT("T"&amp;ROW())-HLOOKUP(INDIRECT("V"&amp;ROW()),Minimas!$C$3:$CD$12,AB$4+1,FALSE)</f>
        <v>43</v>
      </c>
      <c r="AC58" s="70">
        <f ca="1">INDIRECT("T"&amp;ROW())-HLOOKUP(INDIRECT("V"&amp;ROW()),Minimas!$C$3:$CD$12,AC$4+1,FALSE)</f>
        <v>18</v>
      </c>
      <c r="AD58" s="70">
        <f ca="1">INDIRECT("T"&amp;ROW())-HLOOKUP(INDIRECT("V"&amp;ROW()),Minimas!$C$3:$CD$12,AD$4+1,FALSE)</f>
        <v>-7</v>
      </c>
      <c r="AE58" s="70">
        <f ca="1">INDIRECT("T"&amp;ROW())-HLOOKUP(INDIRECT("V"&amp;ROW()),Minimas!$C$3:$CD$12,AE$4+1,FALSE)</f>
        <v>-32</v>
      </c>
      <c r="AF58" s="70">
        <f ca="1">INDIRECT("T"&amp;ROW())-HLOOKUP(INDIRECT("V"&amp;ROW()),Minimas!$C$3:$CD$12,AF$4+1,FALSE)</f>
        <v>-62</v>
      </c>
      <c r="AG58" s="70">
        <f ca="1">INDIRECT("T"&amp;ROW())-HLOOKUP(INDIRECT("V"&amp;ROW()),Minimas!$C$3:$CD$12,AG$4+1,FALSE)</f>
        <v>-87</v>
      </c>
      <c r="AH58" s="70">
        <f ca="1">INDIRECT("T"&amp;ROW())-HLOOKUP(INDIRECT("V"&amp;ROW()),Minimas!$C$3:$CD$12,AH$4+1,FALSE)</f>
        <v>-107</v>
      </c>
      <c r="AI58" s="70">
        <f ca="1">INDIRECT("T"&amp;ROW())-HLOOKUP(INDIRECT("V"&amp;ROW()),Minimas!$C$3:$CD$12,AI$4+1,FALSE)</f>
        <v>-132</v>
      </c>
      <c r="AJ58" s="70">
        <f ca="1">INDIRECT("T"&amp;ROW())-HLOOKUP(INDIRECT("V"&amp;ROW()),Minimas!$C$3:$CD$12,AJ$4+1,FALSE)</f>
        <v>-147</v>
      </c>
      <c r="AK58" s="71">
        <f ca="1" t="shared" si="9"/>
        <v>2</v>
      </c>
      <c r="AM58" s="5" t="str">
        <f ca="1" t="shared" si="10"/>
        <v>DPT +</v>
      </c>
      <c r="AN58" s="5">
        <f ca="1" t="shared" si="11"/>
        <v>18</v>
      </c>
      <c r="AO58" s="86">
        <v>107.40559258986531</v>
      </c>
      <c r="AP58" s="97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2:123" ht="30" customHeight="1" thickBot="1">
      <c r="B59" s="62"/>
      <c r="C59" s="65" t="s">
        <v>323</v>
      </c>
      <c r="D59" s="63">
        <v>10</v>
      </c>
      <c r="E59" s="64" t="s">
        <v>374</v>
      </c>
      <c r="F59" s="42" t="s">
        <v>324</v>
      </c>
      <c r="G59" s="43" t="s">
        <v>325</v>
      </c>
      <c r="H59" s="59">
        <f ca="1" t="shared" si="6"/>
        <v>1996</v>
      </c>
      <c r="I59" s="61" t="s">
        <v>181</v>
      </c>
      <c r="J59" s="60" t="s">
        <v>145</v>
      </c>
      <c r="K59" s="44">
        <v>76.5</v>
      </c>
      <c r="L59" s="67">
        <v>-80</v>
      </c>
      <c r="M59" s="67">
        <v>-87</v>
      </c>
      <c r="N59" s="67">
        <v>87</v>
      </c>
      <c r="O59" s="45">
        <v>87</v>
      </c>
      <c r="P59" s="67">
        <v>-100</v>
      </c>
      <c r="Q59" s="67">
        <v>100</v>
      </c>
      <c r="R59" s="67">
        <v>-111</v>
      </c>
      <c r="S59" s="45">
        <v>100</v>
      </c>
      <c r="T59" s="46">
        <v>187</v>
      </c>
      <c r="U59" s="68" t="str">
        <f ca="1" t="shared" si="7"/>
        <v>DPT + 17</v>
      </c>
      <c r="V5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59" s="69">
        <v>234.22758269245347</v>
      </c>
      <c r="X59" s="5">
        <f ca="1" t="shared" si="8"/>
        <v>23</v>
      </c>
      <c r="Y59" s="5">
        <f ca="1">MATCH(INDIRECT("X"&amp;ROW()),Minimas!$B$50:$B$56,-1)</f>
        <v>1</v>
      </c>
      <c r="Z59" s="5">
        <f ca="1">IF(INDIRECT("E"&amp;ROW())="H",MATCH(INDIRECT("K"&amp;ROW()),Minimas!$A$16:$A$29,1),MATCH(INDIRECT("K"&amp;ROW()),Minimas!$J$16:$J$27,1))</f>
        <v>9</v>
      </c>
      <c r="AA59" s="59">
        <v>35376</v>
      </c>
      <c r="AB59" s="70">
        <f ca="1">INDIRECT("T"&amp;ROW())-HLOOKUP(INDIRECT("V"&amp;ROW()),Minimas!$C$3:$CD$12,AB$4+1,FALSE)</f>
        <v>42</v>
      </c>
      <c r="AC59" s="70">
        <f ca="1">INDIRECT("T"&amp;ROW())-HLOOKUP(INDIRECT("V"&amp;ROW()),Minimas!$C$3:$CD$12,AC$4+1,FALSE)</f>
        <v>17</v>
      </c>
      <c r="AD59" s="70">
        <f ca="1">INDIRECT("T"&amp;ROW())-HLOOKUP(INDIRECT("V"&amp;ROW()),Minimas!$C$3:$CD$12,AD$4+1,FALSE)</f>
        <v>-8</v>
      </c>
      <c r="AE59" s="70">
        <f ca="1">INDIRECT("T"&amp;ROW())-HLOOKUP(INDIRECT("V"&amp;ROW()),Minimas!$C$3:$CD$12,AE$4+1,FALSE)</f>
        <v>-33</v>
      </c>
      <c r="AF59" s="70">
        <f ca="1">INDIRECT("T"&amp;ROW())-HLOOKUP(INDIRECT("V"&amp;ROW()),Minimas!$C$3:$CD$12,AF$4+1,FALSE)</f>
        <v>-63</v>
      </c>
      <c r="AG59" s="70">
        <f ca="1">INDIRECT("T"&amp;ROW())-HLOOKUP(INDIRECT("V"&amp;ROW()),Minimas!$C$3:$CD$12,AG$4+1,FALSE)</f>
        <v>-88</v>
      </c>
      <c r="AH59" s="70">
        <f ca="1">INDIRECT("T"&amp;ROW())-HLOOKUP(INDIRECT("V"&amp;ROW()),Minimas!$C$3:$CD$12,AH$4+1,FALSE)</f>
        <v>-108</v>
      </c>
      <c r="AI59" s="70">
        <f ca="1">INDIRECT("T"&amp;ROW())-HLOOKUP(INDIRECT("V"&amp;ROW()),Minimas!$C$3:$CD$12,AI$4+1,FALSE)</f>
        <v>-133</v>
      </c>
      <c r="AJ59" s="70">
        <f ca="1">INDIRECT("T"&amp;ROW())-HLOOKUP(INDIRECT("V"&amp;ROW()),Minimas!$C$3:$CD$12,AJ$4+1,FALSE)</f>
        <v>-148</v>
      </c>
      <c r="AK59" s="71">
        <f ca="1" t="shared" si="9"/>
        <v>2</v>
      </c>
      <c r="AM59" s="5" t="str">
        <f ca="1" t="shared" si="10"/>
        <v>DPT +</v>
      </c>
      <c r="AN59" s="5">
        <f ca="1" t="shared" si="11"/>
        <v>17</v>
      </c>
      <c r="AO59" s="86">
        <v>105.51944633858236</v>
      </c>
      <c r="AP59" s="97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2:123" ht="30" customHeight="1" thickBot="1">
      <c r="B60" s="62"/>
      <c r="C60" s="65" t="s">
        <v>326</v>
      </c>
      <c r="D60" s="63">
        <v>11</v>
      </c>
      <c r="E60" s="64" t="s">
        <v>374</v>
      </c>
      <c r="F60" s="42" t="s">
        <v>327</v>
      </c>
      <c r="G60" s="43" t="s">
        <v>328</v>
      </c>
      <c r="H60" s="59">
        <f ca="1" t="shared" si="6"/>
        <v>1999</v>
      </c>
      <c r="I60" s="61" t="s">
        <v>329</v>
      </c>
      <c r="J60" s="60" t="s">
        <v>145</v>
      </c>
      <c r="K60" s="44">
        <v>79.2</v>
      </c>
      <c r="L60" s="67">
        <v>77</v>
      </c>
      <c r="M60" s="67">
        <v>81</v>
      </c>
      <c r="N60" s="67">
        <v>-83</v>
      </c>
      <c r="O60" s="45">
        <v>81</v>
      </c>
      <c r="P60" s="67">
        <v>98</v>
      </c>
      <c r="Q60" s="67">
        <v>102</v>
      </c>
      <c r="R60" s="67">
        <v>105</v>
      </c>
      <c r="S60" s="45">
        <v>105</v>
      </c>
      <c r="T60" s="46">
        <v>186</v>
      </c>
      <c r="U60" s="68" t="str">
        <f ca="1" t="shared" si="7"/>
        <v>REG + 16</v>
      </c>
      <c r="V6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M81</v>
      </c>
      <c r="W60" s="69">
        <v>228.7231311368068</v>
      </c>
      <c r="X60" s="5">
        <f ca="1" t="shared" si="8"/>
        <v>20</v>
      </c>
      <c r="Y60" s="5">
        <f ca="1">MATCH(INDIRECT("X"&amp;ROW()),Minimas!$B$50:$B$56,-1)</f>
        <v>2</v>
      </c>
      <c r="Z60" s="5">
        <f ca="1">IF(INDIRECT("E"&amp;ROW())="H",MATCH(INDIRECT("K"&amp;ROW()),Minimas!$A$16:$A$29,1),MATCH(INDIRECT("K"&amp;ROW()),Minimas!$J$16:$J$27,1))</f>
        <v>9</v>
      </c>
      <c r="AA60" s="59">
        <v>36517</v>
      </c>
      <c r="AB60" s="70">
        <f ca="1">INDIRECT("T"&amp;ROW())-HLOOKUP(INDIRECT("V"&amp;ROW()),Minimas!$C$3:$CD$12,AB$4+1,FALSE)</f>
        <v>56</v>
      </c>
      <c r="AC60" s="70">
        <f ca="1">INDIRECT("T"&amp;ROW())-HLOOKUP(INDIRECT("V"&amp;ROW()),Minimas!$C$3:$CD$12,AC$4+1,FALSE)</f>
        <v>36</v>
      </c>
      <c r="AD60" s="70">
        <f ca="1">INDIRECT("T"&amp;ROW())-HLOOKUP(INDIRECT("V"&amp;ROW()),Minimas!$C$3:$CD$12,AD$4+1,FALSE)</f>
        <v>16</v>
      </c>
      <c r="AE60" s="70">
        <f ca="1">INDIRECT("T"&amp;ROW())-HLOOKUP(INDIRECT("V"&amp;ROW()),Minimas!$C$3:$CD$12,AE$4+1,FALSE)</f>
        <v>-4</v>
      </c>
      <c r="AF60" s="70">
        <f ca="1">INDIRECT("T"&amp;ROW())-HLOOKUP(INDIRECT("V"&amp;ROW()),Minimas!$C$3:$CD$12,AF$4+1,FALSE)</f>
        <v>-29</v>
      </c>
      <c r="AG60" s="70">
        <f ca="1">INDIRECT("T"&amp;ROW())-HLOOKUP(INDIRECT("V"&amp;ROW()),Minimas!$C$3:$CD$12,AG$4+1,FALSE)</f>
        <v>-59</v>
      </c>
      <c r="AH60" s="70">
        <f ca="1">INDIRECT("T"&amp;ROW())-HLOOKUP(INDIRECT("V"&amp;ROW()),Minimas!$C$3:$CD$12,AH$4+1,FALSE)</f>
        <v>-84</v>
      </c>
      <c r="AI60" s="70">
        <f ca="1">INDIRECT("T"&amp;ROW())-HLOOKUP(INDIRECT("V"&amp;ROW()),Minimas!$C$3:$CD$12,AI$4+1,FALSE)</f>
        <v>-109</v>
      </c>
      <c r="AJ60" s="70">
        <f ca="1">INDIRECT("T"&amp;ROW())-HLOOKUP(INDIRECT("V"&amp;ROW()),Minimas!$C$3:$CD$12,AJ$4+1,FALSE)</f>
        <v>-149</v>
      </c>
      <c r="AK60" s="71">
        <f ca="1" t="shared" si="9"/>
        <v>3</v>
      </c>
      <c r="AM60" s="5" t="str">
        <f ca="1" t="shared" si="10"/>
        <v>REG +</v>
      </c>
      <c r="AN60" s="5">
        <f ca="1" t="shared" si="11"/>
        <v>16</v>
      </c>
      <c r="AO60" s="86">
        <v>103.65657503561721</v>
      </c>
      <c r="AP60" s="97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</row>
    <row r="61" spans="2:123" ht="30" customHeight="1" thickBot="1">
      <c r="B61" s="62"/>
      <c r="C61" s="65" t="s">
        <v>330</v>
      </c>
      <c r="D61" s="63">
        <v>12</v>
      </c>
      <c r="E61" s="64" t="s">
        <v>374</v>
      </c>
      <c r="F61" s="42" t="s">
        <v>331</v>
      </c>
      <c r="G61" s="43" t="s">
        <v>332</v>
      </c>
      <c r="H61" s="59">
        <f ca="1" t="shared" si="6"/>
        <v>1997</v>
      </c>
      <c r="I61" s="61" t="s">
        <v>159</v>
      </c>
      <c r="J61" s="60" t="s">
        <v>145</v>
      </c>
      <c r="K61" s="44">
        <v>76.5</v>
      </c>
      <c r="L61" s="67">
        <v>-77</v>
      </c>
      <c r="M61" s="67">
        <v>77</v>
      </c>
      <c r="N61" s="67">
        <v>-80</v>
      </c>
      <c r="O61" s="45">
        <v>77</v>
      </c>
      <c r="P61" s="67">
        <v>95</v>
      </c>
      <c r="Q61" s="67">
        <v>100</v>
      </c>
      <c r="R61" s="67">
        <v>-105</v>
      </c>
      <c r="S61" s="45">
        <v>100</v>
      </c>
      <c r="T61" s="46">
        <v>177</v>
      </c>
      <c r="U61" s="68" t="str">
        <f ca="1" t="shared" si="7"/>
        <v>DPT + 7</v>
      </c>
      <c r="V6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M81</v>
      </c>
      <c r="W61" s="69">
        <v>221.70204351103885</v>
      </c>
      <c r="X61" s="5">
        <f ca="1" t="shared" si="8"/>
        <v>22</v>
      </c>
      <c r="Y61" s="5">
        <f ca="1">MATCH(INDIRECT("X"&amp;ROW()),Minimas!$B$50:$B$56,-1)</f>
        <v>1</v>
      </c>
      <c r="Z61" s="5">
        <f ca="1">IF(INDIRECT("E"&amp;ROW())="H",MATCH(INDIRECT("K"&amp;ROW()),Minimas!$A$16:$A$29,1),MATCH(INDIRECT("K"&amp;ROW()),Minimas!$J$16:$J$27,1))</f>
        <v>9</v>
      </c>
      <c r="AA61" s="59">
        <v>35510</v>
      </c>
      <c r="AB61" s="70">
        <f ca="1">INDIRECT("T"&amp;ROW())-HLOOKUP(INDIRECT("V"&amp;ROW()),Minimas!$C$3:$CD$12,AB$4+1,FALSE)</f>
        <v>32</v>
      </c>
      <c r="AC61" s="70">
        <f ca="1">INDIRECT("T"&amp;ROW())-HLOOKUP(INDIRECT("V"&amp;ROW()),Minimas!$C$3:$CD$12,AC$4+1,FALSE)</f>
        <v>7</v>
      </c>
      <c r="AD61" s="70">
        <f ca="1">INDIRECT("T"&amp;ROW())-HLOOKUP(INDIRECT("V"&amp;ROW()),Minimas!$C$3:$CD$12,AD$4+1,FALSE)</f>
        <v>-18</v>
      </c>
      <c r="AE61" s="70">
        <f ca="1">INDIRECT("T"&amp;ROW())-HLOOKUP(INDIRECT("V"&amp;ROW()),Minimas!$C$3:$CD$12,AE$4+1,FALSE)</f>
        <v>-43</v>
      </c>
      <c r="AF61" s="70">
        <f ca="1">INDIRECT("T"&amp;ROW())-HLOOKUP(INDIRECT("V"&amp;ROW()),Minimas!$C$3:$CD$12,AF$4+1,FALSE)</f>
        <v>-73</v>
      </c>
      <c r="AG61" s="70">
        <f ca="1">INDIRECT("T"&amp;ROW())-HLOOKUP(INDIRECT("V"&amp;ROW()),Minimas!$C$3:$CD$12,AG$4+1,FALSE)</f>
        <v>-98</v>
      </c>
      <c r="AH61" s="70">
        <f ca="1">INDIRECT("T"&amp;ROW())-HLOOKUP(INDIRECT("V"&amp;ROW()),Minimas!$C$3:$CD$12,AH$4+1,FALSE)</f>
        <v>-118</v>
      </c>
      <c r="AI61" s="70">
        <f ca="1">INDIRECT("T"&amp;ROW())-HLOOKUP(INDIRECT("V"&amp;ROW()),Minimas!$C$3:$CD$12,AI$4+1,FALSE)</f>
        <v>-143</v>
      </c>
      <c r="AJ61" s="70">
        <f ca="1">INDIRECT("T"&amp;ROW())-HLOOKUP(INDIRECT("V"&amp;ROW()),Minimas!$C$3:$CD$12,AJ$4+1,FALSE)</f>
        <v>-158</v>
      </c>
      <c r="AK61" s="71">
        <f ca="1" t="shared" si="9"/>
        <v>2</v>
      </c>
      <c r="AM61" s="5" t="str">
        <f ca="1" t="shared" si="10"/>
        <v>DPT +</v>
      </c>
      <c r="AN61" s="5">
        <f ca="1" t="shared" si="11"/>
        <v>7</v>
      </c>
      <c r="AO61" s="86">
        <v>87.91107565481545</v>
      </c>
      <c r="AP61" s="97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</row>
    <row r="62" spans="2:123" ht="30" customHeight="1" thickBot="1">
      <c r="B62" s="62"/>
      <c r="C62" s="65" t="s">
        <v>333</v>
      </c>
      <c r="D62" s="95">
        <v>1</v>
      </c>
      <c r="E62" s="64" t="s">
        <v>374</v>
      </c>
      <c r="F62" s="42" t="s">
        <v>334</v>
      </c>
      <c r="G62" s="43" t="s">
        <v>335</v>
      </c>
      <c r="H62" s="59">
        <f ca="1" t="shared" si="6"/>
        <v>1999</v>
      </c>
      <c r="I62" s="61" t="s">
        <v>195</v>
      </c>
      <c r="J62" s="60" t="s">
        <v>145</v>
      </c>
      <c r="K62" s="44">
        <v>83.7</v>
      </c>
      <c r="L62" s="67">
        <v>108</v>
      </c>
      <c r="M62" s="67">
        <v>-113</v>
      </c>
      <c r="N62" s="67">
        <v>-115</v>
      </c>
      <c r="O62" s="45">
        <v>108</v>
      </c>
      <c r="P62" s="67">
        <v>135</v>
      </c>
      <c r="Q62" s="67">
        <v>-145</v>
      </c>
      <c r="R62" s="67">
        <v>0</v>
      </c>
      <c r="S62" s="45">
        <v>135</v>
      </c>
      <c r="T62" s="46">
        <v>243</v>
      </c>
      <c r="U62" s="68" t="str">
        <f ca="1" t="shared" si="7"/>
        <v>FED + 18</v>
      </c>
      <c r="V6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U20 M89</v>
      </c>
      <c r="W62" s="69">
        <v>290.64546985331526</v>
      </c>
      <c r="X62" s="5">
        <f ca="1" t="shared" si="8"/>
        <v>20</v>
      </c>
      <c r="Y62" s="5">
        <f ca="1">MATCH(INDIRECT("X"&amp;ROW()),Minimas!$B$50:$B$56,-1)</f>
        <v>2</v>
      </c>
      <c r="Z62" s="5">
        <f ca="1">IF(INDIRECT("E"&amp;ROW())="H",MATCH(INDIRECT("K"&amp;ROW()),Minimas!$A$16:$A$29,1),MATCH(INDIRECT("K"&amp;ROW()),Minimas!$J$16:$J$27,1))</f>
        <v>10</v>
      </c>
      <c r="AA62" s="59">
        <v>36449</v>
      </c>
      <c r="AB62" s="70">
        <f ca="1">INDIRECT("T"&amp;ROW())-HLOOKUP(INDIRECT("V"&amp;ROW()),Minimas!$C$3:$CD$12,AB$4+1,FALSE)</f>
        <v>108</v>
      </c>
      <c r="AC62" s="70">
        <f ca="1">INDIRECT("T"&amp;ROW())-HLOOKUP(INDIRECT("V"&amp;ROW()),Minimas!$C$3:$CD$12,AC$4+1,FALSE)</f>
        <v>83</v>
      </c>
      <c r="AD62" s="70">
        <f ca="1">INDIRECT("T"&amp;ROW())-HLOOKUP(INDIRECT("V"&amp;ROW()),Minimas!$C$3:$CD$12,AD$4+1,FALSE)</f>
        <v>63</v>
      </c>
      <c r="AE62" s="70">
        <f ca="1">INDIRECT("T"&amp;ROW())-HLOOKUP(INDIRECT("V"&amp;ROW()),Minimas!$C$3:$CD$12,AE$4+1,FALSE)</f>
        <v>43</v>
      </c>
      <c r="AF62" s="70">
        <f ca="1">INDIRECT("T"&amp;ROW())-HLOOKUP(INDIRECT("V"&amp;ROW()),Minimas!$C$3:$CD$12,AF$4+1,FALSE)</f>
        <v>18</v>
      </c>
      <c r="AG62" s="70">
        <f ca="1">INDIRECT("T"&amp;ROW())-HLOOKUP(INDIRECT("V"&amp;ROW()),Minimas!$C$3:$CD$12,AG$4+1,FALSE)</f>
        <v>-12</v>
      </c>
      <c r="AH62" s="70">
        <f ca="1">INDIRECT("T"&amp;ROW())-HLOOKUP(INDIRECT("V"&amp;ROW()),Minimas!$C$3:$CD$12,AH$4+1,FALSE)</f>
        <v>-42</v>
      </c>
      <c r="AI62" s="70">
        <f ca="1">INDIRECT("T"&amp;ROW())-HLOOKUP(INDIRECT("V"&amp;ROW()),Minimas!$C$3:$CD$12,AI$4+1,FALSE)</f>
        <v>-67</v>
      </c>
      <c r="AJ62" s="70">
        <f ca="1">INDIRECT("T"&amp;ROW())-HLOOKUP(INDIRECT("V"&amp;ROW()),Minimas!$C$3:$CD$12,AJ$4+1,FALSE)</f>
        <v>-117</v>
      </c>
      <c r="AK62" s="71">
        <f ca="1" t="shared" si="9"/>
        <v>5</v>
      </c>
      <c r="AM62" s="5" t="str">
        <f ca="1" t="shared" si="10"/>
        <v>FED +</v>
      </c>
      <c r="AN62" s="5">
        <f ca="1" t="shared" si="11"/>
        <v>18</v>
      </c>
      <c r="AO62" s="86">
        <v>213.11928351455725</v>
      </c>
      <c r="AP62" s="98" t="s">
        <v>395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2:123" ht="30" customHeight="1" thickBot="1">
      <c r="B63" s="62"/>
      <c r="C63" s="65" t="s">
        <v>336</v>
      </c>
      <c r="D63" s="95">
        <v>2</v>
      </c>
      <c r="E63" s="64" t="s">
        <v>374</v>
      </c>
      <c r="F63" s="42" t="s">
        <v>337</v>
      </c>
      <c r="G63" s="43" t="s">
        <v>338</v>
      </c>
      <c r="H63" s="59">
        <f ca="1" t="shared" si="6"/>
        <v>1997</v>
      </c>
      <c r="I63" s="61" t="s">
        <v>202</v>
      </c>
      <c r="J63" s="60" t="s">
        <v>145</v>
      </c>
      <c r="K63" s="44">
        <v>88.2</v>
      </c>
      <c r="L63" s="67">
        <v>100</v>
      </c>
      <c r="M63" s="67">
        <v>105</v>
      </c>
      <c r="N63" s="67">
        <v>-110</v>
      </c>
      <c r="O63" s="45">
        <v>105</v>
      </c>
      <c r="P63" s="67">
        <v>125</v>
      </c>
      <c r="Q63" s="67">
        <v>-130</v>
      </c>
      <c r="R63" s="67">
        <v>-132</v>
      </c>
      <c r="S63" s="45">
        <v>125</v>
      </c>
      <c r="T63" s="46">
        <v>230</v>
      </c>
      <c r="U63" s="68" t="str">
        <f ca="1" t="shared" si="7"/>
        <v>IRG + 0</v>
      </c>
      <c r="V6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3" s="69">
        <v>268.4573526139845</v>
      </c>
      <c r="X63" s="5">
        <f ca="1" t="shared" si="8"/>
        <v>22</v>
      </c>
      <c r="Y63" s="5">
        <f ca="1">MATCH(INDIRECT("X"&amp;ROW()),Minimas!$B$50:$B$56,-1)</f>
        <v>1</v>
      </c>
      <c r="Z63" s="5">
        <f ca="1">IF(INDIRECT("E"&amp;ROW())="H",MATCH(INDIRECT("K"&amp;ROW()),Minimas!$A$16:$A$29,1),MATCH(INDIRECT("K"&amp;ROW()),Minimas!$J$16:$J$27,1))</f>
        <v>10</v>
      </c>
      <c r="AA63" s="59">
        <v>35517</v>
      </c>
      <c r="AB63" s="70">
        <f ca="1">INDIRECT("T"&amp;ROW())-HLOOKUP(INDIRECT("V"&amp;ROW()),Minimas!$C$3:$CD$12,AB$4+1,FALSE)</f>
        <v>80</v>
      </c>
      <c r="AC63" s="70">
        <f ca="1">INDIRECT("T"&amp;ROW())-HLOOKUP(INDIRECT("V"&amp;ROW()),Minimas!$C$3:$CD$12,AC$4+1,FALSE)</f>
        <v>55</v>
      </c>
      <c r="AD63" s="70">
        <f ca="1">INDIRECT("T"&amp;ROW())-HLOOKUP(INDIRECT("V"&amp;ROW()),Minimas!$C$3:$CD$12,AD$4+1,FALSE)</f>
        <v>30</v>
      </c>
      <c r="AE63" s="70">
        <f ca="1">INDIRECT("T"&amp;ROW())-HLOOKUP(INDIRECT("V"&amp;ROW()),Minimas!$C$3:$CD$12,AE$4+1,FALSE)</f>
        <v>0</v>
      </c>
      <c r="AF63" s="70">
        <f ca="1">INDIRECT("T"&amp;ROW())-HLOOKUP(INDIRECT("V"&amp;ROW()),Minimas!$C$3:$CD$12,AF$4+1,FALSE)</f>
        <v>-30</v>
      </c>
      <c r="AG63" s="70">
        <f ca="1">INDIRECT("T"&amp;ROW())-HLOOKUP(INDIRECT("V"&amp;ROW()),Minimas!$C$3:$CD$12,AG$4+1,FALSE)</f>
        <v>-57</v>
      </c>
      <c r="AH63" s="70">
        <f ca="1">INDIRECT("T"&amp;ROW())-HLOOKUP(INDIRECT("V"&amp;ROW()),Minimas!$C$3:$CD$12,AH$4+1,FALSE)</f>
        <v>-80</v>
      </c>
      <c r="AI63" s="70">
        <f ca="1">INDIRECT("T"&amp;ROW())-HLOOKUP(INDIRECT("V"&amp;ROW()),Minimas!$C$3:$CD$12,AI$4+1,FALSE)</f>
        <v>-100</v>
      </c>
      <c r="AJ63" s="70">
        <f ca="1">INDIRECT("T"&amp;ROW())-HLOOKUP(INDIRECT("V"&amp;ROW()),Minimas!$C$3:$CD$12,AJ$4+1,FALSE)</f>
        <v>-130</v>
      </c>
      <c r="AK63" s="71">
        <f ca="1" t="shared" si="9"/>
        <v>4</v>
      </c>
      <c r="AM63" s="5" t="str">
        <f ca="1" t="shared" si="10"/>
        <v>IRG +</v>
      </c>
      <c r="AN63" s="5">
        <f ca="1" t="shared" si="11"/>
        <v>0</v>
      </c>
      <c r="AO63" s="86">
        <v>177.54166760105687</v>
      </c>
      <c r="AP63" s="98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</row>
    <row r="64" spans="2:123" ht="30" customHeight="1" thickBot="1">
      <c r="B64" s="62"/>
      <c r="C64" s="65" t="s">
        <v>339</v>
      </c>
      <c r="D64" s="95">
        <v>3</v>
      </c>
      <c r="E64" s="64" t="s">
        <v>374</v>
      </c>
      <c r="F64" s="42" t="s">
        <v>340</v>
      </c>
      <c r="G64" s="43" t="s">
        <v>341</v>
      </c>
      <c r="H64" s="59">
        <f ca="1" t="shared" si="6"/>
        <v>1996</v>
      </c>
      <c r="I64" s="61" t="s">
        <v>170</v>
      </c>
      <c r="J64" s="60" t="s">
        <v>145</v>
      </c>
      <c r="K64" s="44">
        <v>85.2</v>
      </c>
      <c r="L64" s="67">
        <v>95</v>
      </c>
      <c r="M64" s="67">
        <v>100</v>
      </c>
      <c r="N64" s="67">
        <v>-104</v>
      </c>
      <c r="O64" s="45">
        <v>100</v>
      </c>
      <c r="P64" s="67">
        <v>-115</v>
      </c>
      <c r="Q64" s="67">
        <v>115</v>
      </c>
      <c r="R64" s="67">
        <v>119</v>
      </c>
      <c r="S64" s="45">
        <v>119</v>
      </c>
      <c r="T64" s="46">
        <v>219</v>
      </c>
      <c r="U64" s="68" t="str">
        <f ca="1" t="shared" si="7"/>
        <v>REG + 19</v>
      </c>
      <c r="V64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4" s="69">
        <v>259.726059724846</v>
      </c>
      <c r="X64" s="5">
        <f ca="1" t="shared" si="8"/>
        <v>23</v>
      </c>
      <c r="Y64" s="5">
        <f ca="1">MATCH(INDIRECT("X"&amp;ROW()),Minimas!$B$50:$B$56,-1)</f>
        <v>1</v>
      </c>
      <c r="Z64" s="5">
        <f ca="1">IF(INDIRECT("E"&amp;ROW())="H",MATCH(INDIRECT("K"&amp;ROW()),Minimas!$A$16:$A$29,1),MATCH(INDIRECT("K"&amp;ROW()),Minimas!$J$16:$J$27,1))</f>
        <v>10</v>
      </c>
      <c r="AA64" s="59">
        <v>35075</v>
      </c>
      <c r="AB64" s="70">
        <f ca="1">INDIRECT("T"&amp;ROW())-HLOOKUP(INDIRECT("V"&amp;ROW()),Minimas!$C$3:$CD$12,AB$4+1,FALSE)</f>
        <v>69</v>
      </c>
      <c r="AC64" s="70">
        <f ca="1">INDIRECT("T"&amp;ROW())-HLOOKUP(INDIRECT("V"&amp;ROW()),Minimas!$C$3:$CD$12,AC$4+1,FALSE)</f>
        <v>44</v>
      </c>
      <c r="AD64" s="70">
        <f ca="1">INDIRECT("T"&amp;ROW())-HLOOKUP(INDIRECT("V"&amp;ROW()),Minimas!$C$3:$CD$12,AD$4+1,FALSE)</f>
        <v>19</v>
      </c>
      <c r="AE64" s="70">
        <f ca="1">INDIRECT("T"&amp;ROW())-HLOOKUP(INDIRECT("V"&amp;ROW()),Minimas!$C$3:$CD$12,AE$4+1,FALSE)</f>
        <v>-11</v>
      </c>
      <c r="AF64" s="70">
        <f ca="1">INDIRECT("T"&amp;ROW())-HLOOKUP(INDIRECT("V"&amp;ROW()),Minimas!$C$3:$CD$12,AF$4+1,FALSE)</f>
        <v>-41</v>
      </c>
      <c r="AG64" s="70">
        <f ca="1">INDIRECT("T"&amp;ROW())-HLOOKUP(INDIRECT("V"&amp;ROW()),Minimas!$C$3:$CD$12,AG$4+1,FALSE)</f>
        <v>-68</v>
      </c>
      <c r="AH64" s="70">
        <f ca="1">INDIRECT("T"&amp;ROW())-HLOOKUP(INDIRECT("V"&amp;ROW()),Minimas!$C$3:$CD$12,AH$4+1,FALSE)</f>
        <v>-91</v>
      </c>
      <c r="AI64" s="70">
        <f ca="1">INDIRECT("T"&amp;ROW())-HLOOKUP(INDIRECT("V"&amp;ROW()),Minimas!$C$3:$CD$12,AI$4+1,FALSE)</f>
        <v>-111</v>
      </c>
      <c r="AJ64" s="70">
        <f ca="1">INDIRECT("T"&amp;ROW())-HLOOKUP(INDIRECT("V"&amp;ROW()),Minimas!$C$3:$CD$12,AJ$4+1,FALSE)</f>
        <v>-141</v>
      </c>
      <c r="AK64" s="71">
        <f ca="1" t="shared" si="9"/>
        <v>3</v>
      </c>
      <c r="AM64" s="5" t="str">
        <f ca="1" t="shared" si="10"/>
        <v>REG +</v>
      </c>
      <c r="AN64" s="5">
        <f ca="1" t="shared" si="11"/>
        <v>19</v>
      </c>
      <c r="AO64" s="86">
        <v>150.86805916957653</v>
      </c>
      <c r="AP64" s="98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</row>
    <row r="65" spans="2:123" ht="30" customHeight="1" thickBot="1">
      <c r="B65" s="62"/>
      <c r="C65" s="65" t="s">
        <v>342</v>
      </c>
      <c r="D65" s="95">
        <v>4</v>
      </c>
      <c r="E65" s="64" t="s">
        <v>374</v>
      </c>
      <c r="F65" s="42" t="s">
        <v>343</v>
      </c>
      <c r="G65" s="43" t="s">
        <v>344</v>
      </c>
      <c r="H65" s="59">
        <f ca="1" t="shared" si="6"/>
        <v>1994</v>
      </c>
      <c r="I65" s="61" t="s">
        <v>345</v>
      </c>
      <c r="J65" s="60" t="s">
        <v>145</v>
      </c>
      <c r="K65" s="44">
        <v>82.5</v>
      </c>
      <c r="L65" s="67">
        <v>-96</v>
      </c>
      <c r="M65" s="67">
        <v>96</v>
      </c>
      <c r="N65" s="67">
        <v>-100</v>
      </c>
      <c r="O65" s="45">
        <v>96</v>
      </c>
      <c r="P65" s="67">
        <v>115</v>
      </c>
      <c r="Q65" s="67">
        <v>-120</v>
      </c>
      <c r="R65" s="67">
        <v>122</v>
      </c>
      <c r="S65" s="45">
        <v>122</v>
      </c>
      <c r="T65" s="46">
        <v>218</v>
      </c>
      <c r="U65" s="68" t="str">
        <f ca="1" t="shared" si="7"/>
        <v>REG + 18</v>
      </c>
      <c r="V65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5" s="69">
        <v>262.5888652854795</v>
      </c>
      <c r="X65" s="5">
        <f ca="1" t="shared" si="8"/>
        <v>25</v>
      </c>
      <c r="Y65" s="5">
        <f ca="1">MATCH(INDIRECT("X"&amp;ROW()),Minimas!$B$50:$B$56,-1)</f>
        <v>1</v>
      </c>
      <c r="Z65" s="5">
        <f ca="1">IF(INDIRECT("E"&amp;ROW())="H",MATCH(INDIRECT("K"&amp;ROW()),Minimas!$A$16:$A$29,1),MATCH(INDIRECT("K"&amp;ROW()),Minimas!$J$16:$J$27,1))</f>
        <v>10</v>
      </c>
      <c r="AA65" s="59">
        <v>34355</v>
      </c>
      <c r="AB65" s="70">
        <f ca="1">INDIRECT("T"&amp;ROW())-HLOOKUP(INDIRECT("V"&amp;ROW()),Minimas!$C$3:$CD$12,AB$4+1,FALSE)</f>
        <v>68</v>
      </c>
      <c r="AC65" s="70">
        <f ca="1">INDIRECT("T"&amp;ROW())-HLOOKUP(INDIRECT("V"&amp;ROW()),Minimas!$C$3:$CD$12,AC$4+1,FALSE)</f>
        <v>43</v>
      </c>
      <c r="AD65" s="70">
        <f ca="1">INDIRECT("T"&amp;ROW())-HLOOKUP(INDIRECT("V"&amp;ROW()),Minimas!$C$3:$CD$12,AD$4+1,FALSE)</f>
        <v>18</v>
      </c>
      <c r="AE65" s="70">
        <f ca="1">INDIRECT("T"&amp;ROW())-HLOOKUP(INDIRECT("V"&amp;ROW()),Minimas!$C$3:$CD$12,AE$4+1,FALSE)</f>
        <v>-12</v>
      </c>
      <c r="AF65" s="70">
        <f ca="1">INDIRECT("T"&amp;ROW())-HLOOKUP(INDIRECT("V"&amp;ROW()),Minimas!$C$3:$CD$12,AF$4+1,FALSE)</f>
        <v>-42</v>
      </c>
      <c r="AG65" s="70">
        <f ca="1">INDIRECT("T"&amp;ROW())-HLOOKUP(INDIRECT("V"&amp;ROW()),Minimas!$C$3:$CD$12,AG$4+1,FALSE)</f>
        <v>-69</v>
      </c>
      <c r="AH65" s="70">
        <f ca="1">INDIRECT("T"&amp;ROW())-HLOOKUP(INDIRECT("V"&amp;ROW()),Minimas!$C$3:$CD$12,AH$4+1,FALSE)</f>
        <v>-92</v>
      </c>
      <c r="AI65" s="70">
        <f ca="1">INDIRECT("T"&amp;ROW())-HLOOKUP(INDIRECT("V"&amp;ROW()),Minimas!$C$3:$CD$12,AI$4+1,FALSE)</f>
        <v>-112</v>
      </c>
      <c r="AJ65" s="70">
        <f ca="1">INDIRECT("T"&amp;ROW())-HLOOKUP(INDIRECT("V"&amp;ROW()),Minimas!$C$3:$CD$12,AJ$4+1,FALSE)</f>
        <v>-142</v>
      </c>
      <c r="AK65" s="71">
        <f ca="1" t="shared" si="9"/>
        <v>3</v>
      </c>
      <c r="AM65" s="5" t="str">
        <f ca="1" t="shared" si="10"/>
        <v>REG +</v>
      </c>
      <c r="AN65" s="5">
        <f ca="1" t="shared" si="11"/>
        <v>18</v>
      </c>
      <c r="AO65" s="86">
        <v>148.59170589199175</v>
      </c>
      <c r="AP65" s="98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</row>
    <row r="66" spans="2:123" ht="30" customHeight="1" thickBot="1">
      <c r="B66" s="62"/>
      <c r="C66" s="65" t="s">
        <v>346</v>
      </c>
      <c r="D66" s="95">
        <v>5</v>
      </c>
      <c r="E66" s="64" t="s">
        <v>374</v>
      </c>
      <c r="F66" s="42" t="s">
        <v>347</v>
      </c>
      <c r="G66" s="43" t="s">
        <v>348</v>
      </c>
      <c r="H66" s="59">
        <f ca="1" t="shared" si="6"/>
        <v>1997</v>
      </c>
      <c r="I66" s="61" t="s">
        <v>349</v>
      </c>
      <c r="J66" s="60" t="s">
        <v>145</v>
      </c>
      <c r="K66" s="44">
        <v>88</v>
      </c>
      <c r="L66" s="67">
        <v>-90</v>
      </c>
      <c r="M66" s="67">
        <v>90</v>
      </c>
      <c r="N66" s="67">
        <v>95</v>
      </c>
      <c r="O66" s="45">
        <v>95</v>
      </c>
      <c r="P66" s="67">
        <v>113</v>
      </c>
      <c r="Q66" s="67">
        <v>-116</v>
      </c>
      <c r="R66" s="67">
        <v>119</v>
      </c>
      <c r="S66" s="45">
        <v>119</v>
      </c>
      <c r="T66" s="46">
        <v>214</v>
      </c>
      <c r="U66" s="68" t="str">
        <f ca="1" t="shared" si="7"/>
        <v>REG + 14</v>
      </c>
      <c r="V66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6" s="69">
        <v>250.03744101713667</v>
      </c>
      <c r="X66" s="5">
        <f ca="1" t="shared" si="8"/>
        <v>22</v>
      </c>
      <c r="Y66" s="5">
        <f ca="1">MATCH(INDIRECT("X"&amp;ROW()),Minimas!$B$50:$B$56,-1)</f>
        <v>1</v>
      </c>
      <c r="Z66" s="5">
        <f ca="1">IF(INDIRECT("E"&amp;ROW())="H",MATCH(INDIRECT("K"&amp;ROW()),Minimas!$A$16:$A$29,1),MATCH(INDIRECT("K"&amp;ROW()),Minimas!$J$16:$J$27,1))</f>
        <v>10</v>
      </c>
      <c r="AA66" s="59">
        <v>35698</v>
      </c>
      <c r="AB66" s="70">
        <f ca="1">INDIRECT("T"&amp;ROW())-HLOOKUP(INDIRECT("V"&amp;ROW()),Minimas!$C$3:$CD$12,AB$4+1,FALSE)</f>
        <v>64</v>
      </c>
      <c r="AC66" s="70">
        <f ca="1">INDIRECT("T"&amp;ROW())-HLOOKUP(INDIRECT("V"&amp;ROW()),Minimas!$C$3:$CD$12,AC$4+1,FALSE)</f>
        <v>39</v>
      </c>
      <c r="AD66" s="70">
        <f ca="1">INDIRECT("T"&amp;ROW())-HLOOKUP(INDIRECT("V"&amp;ROW()),Minimas!$C$3:$CD$12,AD$4+1,FALSE)</f>
        <v>14</v>
      </c>
      <c r="AE66" s="70">
        <f ca="1">INDIRECT("T"&amp;ROW())-HLOOKUP(INDIRECT("V"&amp;ROW()),Minimas!$C$3:$CD$12,AE$4+1,FALSE)</f>
        <v>-16</v>
      </c>
      <c r="AF66" s="70">
        <f ca="1">INDIRECT("T"&amp;ROW())-HLOOKUP(INDIRECT("V"&amp;ROW()),Minimas!$C$3:$CD$12,AF$4+1,FALSE)</f>
        <v>-46</v>
      </c>
      <c r="AG66" s="70">
        <f ca="1">INDIRECT("T"&amp;ROW())-HLOOKUP(INDIRECT("V"&amp;ROW()),Minimas!$C$3:$CD$12,AG$4+1,FALSE)</f>
        <v>-73</v>
      </c>
      <c r="AH66" s="70">
        <f ca="1">INDIRECT("T"&amp;ROW())-HLOOKUP(INDIRECT("V"&amp;ROW()),Minimas!$C$3:$CD$12,AH$4+1,FALSE)</f>
        <v>-96</v>
      </c>
      <c r="AI66" s="70">
        <f ca="1">INDIRECT("T"&amp;ROW())-HLOOKUP(INDIRECT("V"&amp;ROW()),Minimas!$C$3:$CD$12,AI$4+1,FALSE)</f>
        <v>-116</v>
      </c>
      <c r="AJ66" s="70">
        <f ca="1">INDIRECT("T"&amp;ROW())-HLOOKUP(INDIRECT("V"&amp;ROW()),Minimas!$C$3:$CD$12,AJ$4+1,FALSE)</f>
        <v>-146</v>
      </c>
      <c r="AK66" s="71">
        <f ca="1" t="shared" si="9"/>
        <v>3</v>
      </c>
      <c r="AM66" s="5" t="str">
        <f ca="1" t="shared" si="10"/>
        <v>REG +</v>
      </c>
      <c r="AN66" s="5">
        <f ca="1" t="shared" si="11"/>
        <v>14</v>
      </c>
      <c r="AO66" s="86">
        <v>139.72600120394404</v>
      </c>
      <c r="AP66" s="98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</row>
    <row r="67" spans="2:123" ht="30" customHeight="1" thickBot="1">
      <c r="B67" s="62"/>
      <c r="C67" s="65" t="s">
        <v>350</v>
      </c>
      <c r="D67" s="95">
        <v>6</v>
      </c>
      <c r="E67" s="64" t="s">
        <v>374</v>
      </c>
      <c r="F67" s="42" t="s">
        <v>351</v>
      </c>
      <c r="G67" s="43" t="s">
        <v>352</v>
      </c>
      <c r="H67" s="59">
        <f ca="1" t="shared" si="6"/>
        <v>1998</v>
      </c>
      <c r="I67" s="61" t="s">
        <v>353</v>
      </c>
      <c r="J67" s="60" t="s">
        <v>145</v>
      </c>
      <c r="K67" s="44">
        <v>82.2</v>
      </c>
      <c r="L67" s="67">
        <v>79</v>
      </c>
      <c r="M67" s="67">
        <v>85</v>
      </c>
      <c r="N67" s="67">
        <v>88</v>
      </c>
      <c r="O67" s="45">
        <v>88</v>
      </c>
      <c r="P67" s="67">
        <v>108</v>
      </c>
      <c r="Q67" s="67">
        <v>112</v>
      </c>
      <c r="R67" s="67">
        <v>-115</v>
      </c>
      <c r="S67" s="45">
        <v>112</v>
      </c>
      <c r="T67" s="46">
        <v>200</v>
      </c>
      <c r="U67" s="68" t="str">
        <f ca="1" t="shared" si="7"/>
        <v>REG + 0</v>
      </c>
      <c r="V67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7" s="69">
        <v>241.341353650691</v>
      </c>
      <c r="X67" s="5">
        <f ca="1" t="shared" si="8"/>
        <v>21</v>
      </c>
      <c r="Y67" s="5">
        <f ca="1">MATCH(INDIRECT("X"&amp;ROW()),Minimas!$B$50:$B$56,-1)</f>
        <v>1</v>
      </c>
      <c r="Z67" s="5">
        <f ca="1">IF(INDIRECT("E"&amp;ROW())="H",MATCH(INDIRECT("K"&amp;ROW()),Minimas!$A$16:$A$29,1),MATCH(INDIRECT("K"&amp;ROW()),Minimas!$J$16:$J$27,1))</f>
        <v>10</v>
      </c>
      <c r="AA67" s="59">
        <v>35892</v>
      </c>
      <c r="AB67" s="70">
        <f ca="1">INDIRECT("T"&amp;ROW())-HLOOKUP(INDIRECT("V"&amp;ROW()),Minimas!$C$3:$CD$12,AB$4+1,FALSE)</f>
        <v>50</v>
      </c>
      <c r="AC67" s="70">
        <f ca="1">INDIRECT("T"&amp;ROW())-HLOOKUP(INDIRECT("V"&amp;ROW()),Minimas!$C$3:$CD$12,AC$4+1,FALSE)</f>
        <v>25</v>
      </c>
      <c r="AD67" s="70">
        <f ca="1">INDIRECT("T"&amp;ROW())-HLOOKUP(INDIRECT("V"&amp;ROW()),Minimas!$C$3:$CD$12,AD$4+1,FALSE)</f>
        <v>0</v>
      </c>
      <c r="AE67" s="70">
        <f ca="1">INDIRECT("T"&amp;ROW())-HLOOKUP(INDIRECT("V"&amp;ROW()),Minimas!$C$3:$CD$12,AE$4+1,FALSE)</f>
        <v>-30</v>
      </c>
      <c r="AF67" s="70">
        <f ca="1">INDIRECT("T"&amp;ROW())-HLOOKUP(INDIRECT("V"&amp;ROW()),Minimas!$C$3:$CD$12,AF$4+1,FALSE)</f>
        <v>-60</v>
      </c>
      <c r="AG67" s="70">
        <f ca="1">INDIRECT("T"&amp;ROW())-HLOOKUP(INDIRECT("V"&amp;ROW()),Minimas!$C$3:$CD$12,AG$4+1,FALSE)</f>
        <v>-87</v>
      </c>
      <c r="AH67" s="70">
        <f ca="1">INDIRECT("T"&amp;ROW())-HLOOKUP(INDIRECT("V"&amp;ROW()),Minimas!$C$3:$CD$12,AH$4+1,FALSE)</f>
        <v>-110</v>
      </c>
      <c r="AI67" s="70">
        <f ca="1">INDIRECT("T"&amp;ROW())-HLOOKUP(INDIRECT("V"&amp;ROW()),Minimas!$C$3:$CD$12,AI$4+1,FALSE)</f>
        <v>-130</v>
      </c>
      <c r="AJ67" s="70">
        <f ca="1">INDIRECT("T"&amp;ROW())-HLOOKUP(INDIRECT("V"&amp;ROW()),Minimas!$C$3:$CD$12,AJ$4+1,FALSE)</f>
        <v>-160</v>
      </c>
      <c r="AK67" s="71">
        <f ca="1" t="shared" si="9"/>
        <v>3</v>
      </c>
      <c r="AM67" s="5" t="str">
        <f ca="1" t="shared" si="10"/>
        <v>REG +</v>
      </c>
      <c r="AN67" s="5">
        <f ca="1" t="shared" si="11"/>
        <v>0</v>
      </c>
      <c r="AO67" s="86">
        <v>111.60057535303771</v>
      </c>
      <c r="AP67" s="98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</row>
    <row r="68" spans="2:123" ht="30" customHeight="1" thickBot="1">
      <c r="B68" s="62"/>
      <c r="C68" s="65" t="s">
        <v>354</v>
      </c>
      <c r="D68" s="95">
        <v>7</v>
      </c>
      <c r="E68" s="64" t="s">
        <v>374</v>
      </c>
      <c r="F68" s="42" t="s">
        <v>355</v>
      </c>
      <c r="G68" s="43" t="s">
        <v>356</v>
      </c>
      <c r="H68" s="59">
        <f ca="1" t="shared" si="6"/>
        <v>1996</v>
      </c>
      <c r="I68" s="61" t="s">
        <v>202</v>
      </c>
      <c r="J68" s="60" t="s">
        <v>145</v>
      </c>
      <c r="K68" s="44">
        <v>82.7</v>
      </c>
      <c r="L68" s="67">
        <v>78</v>
      </c>
      <c r="M68" s="67">
        <v>83</v>
      </c>
      <c r="N68" s="67">
        <v>-86</v>
      </c>
      <c r="O68" s="45">
        <v>83</v>
      </c>
      <c r="P68" s="67">
        <v>100</v>
      </c>
      <c r="Q68" s="67">
        <v>105</v>
      </c>
      <c r="R68" s="67">
        <v>110</v>
      </c>
      <c r="S68" s="45">
        <v>110</v>
      </c>
      <c r="T68" s="46">
        <v>193</v>
      </c>
      <c r="U68" s="68" t="str">
        <f ca="1" t="shared" si="7"/>
        <v>DPT + 18</v>
      </c>
      <c r="V68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8" s="69">
        <v>232.19854389567217</v>
      </c>
      <c r="X68" s="5">
        <f ca="1" t="shared" si="8"/>
        <v>23</v>
      </c>
      <c r="Y68" s="5">
        <f ca="1">MATCH(INDIRECT("X"&amp;ROW()),Minimas!$B$50:$B$56,-1)</f>
        <v>1</v>
      </c>
      <c r="Z68" s="5">
        <f ca="1">IF(INDIRECT("E"&amp;ROW())="H",MATCH(INDIRECT("K"&amp;ROW()),Minimas!$A$16:$A$29,1),MATCH(INDIRECT("K"&amp;ROW()),Minimas!$J$16:$J$27,1))</f>
        <v>10</v>
      </c>
      <c r="AA68" s="59">
        <v>35095</v>
      </c>
      <c r="AB68" s="70">
        <f ca="1">INDIRECT("T"&amp;ROW())-HLOOKUP(INDIRECT("V"&amp;ROW()),Minimas!$C$3:$CD$12,AB$4+1,FALSE)</f>
        <v>43</v>
      </c>
      <c r="AC68" s="70">
        <f ca="1">INDIRECT("T"&amp;ROW())-HLOOKUP(INDIRECT("V"&amp;ROW()),Minimas!$C$3:$CD$12,AC$4+1,FALSE)</f>
        <v>18</v>
      </c>
      <c r="AD68" s="70">
        <f ca="1">INDIRECT("T"&amp;ROW())-HLOOKUP(INDIRECT("V"&amp;ROW()),Minimas!$C$3:$CD$12,AD$4+1,FALSE)</f>
        <v>-7</v>
      </c>
      <c r="AE68" s="70">
        <f ca="1">INDIRECT("T"&amp;ROW())-HLOOKUP(INDIRECT("V"&amp;ROW()),Minimas!$C$3:$CD$12,AE$4+1,FALSE)</f>
        <v>-37</v>
      </c>
      <c r="AF68" s="70">
        <f ca="1">INDIRECT("T"&amp;ROW())-HLOOKUP(INDIRECT("V"&amp;ROW()),Minimas!$C$3:$CD$12,AF$4+1,FALSE)</f>
        <v>-67</v>
      </c>
      <c r="AG68" s="70">
        <f ca="1">INDIRECT("T"&amp;ROW())-HLOOKUP(INDIRECT("V"&amp;ROW()),Minimas!$C$3:$CD$12,AG$4+1,FALSE)</f>
        <v>-94</v>
      </c>
      <c r="AH68" s="70">
        <f ca="1">INDIRECT("T"&amp;ROW())-HLOOKUP(INDIRECT("V"&amp;ROW()),Minimas!$C$3:$CD$12,AH$4+1,FALSE)</f>
        <v>-117</v>
      </c>
      <c r="AI68" s="70">
        <f ca="1">INDIRECT("T"&amp;ROW())-HLOOKUP(INDIRECT("V"&amp;ROW()),Minimas!$C$3:$CD$12,AI$4+1,FALSE)</f>
        <v>-137</v>
      </c>
      <c r="AJ68" s="70">
        <f ca="1">INDIRECT("T"&amp;ROW())-HLOOKUP(INDIRECT("V"&amp;ROW()),Minimas!$C$3:$CD$12,AJ$4+1,FALSE)</f>
        <v>-167</v>
      </c>
      <c r="AK68" s="71">
        <f ca="1" t="shared" si="9"/>
        <v>2</v>
      </c>
      <c r="AM68" s="5" t="str">
        <f ca="1" t="shared" si="10"/>
        <v>DPT +</v>
      </c>
      <c r="AN68" s="5">
        <f ca="1" t="shared" si="11"/>
        <v>18</v>
      </c>
      <c r="AO68" s="86">
        <v>99.14419276647908</v>
      </c>
      <c r="AP68" s="98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</row>
    <row r="69" spans="2:123" ht="30" customHeight="1" thickBot="1">
      <c r="B69" s="62"/>
      <c r="C69" s="65" t="s">
        <v>357</v>
      </c>
      <c r="D69" s="95">
        <v>8</v>
      </c>
      <c r="E69" s="64" t="s">
        <v>374</v>
      </c>
      <c r="F69" s="42" t="s">
        <v>358</v>
      </c>
      <c r="G69" s="43" t="s">
        <v>359</v>
      </c>
      <c r="H69" s="59">
        <f ca="1" t="shared" si="6"/>
        <v>1997</v>
      </c>
      <c r="I69" s="61" t="s">
        <v>181</v>
      </c>
      <c r="J69" s="60" t="s">
        <v>145</v>
      </c>
      <c r="K69" s="44">
        <v>85.4</v>
      </c>
      <c r="L69" s="67">
        <v>73</v>
      </c>
      <c r="M69" s="67">
        <v>78</v>
      </c>
      <c r="N69" s="67">
        <v>85</v>
      </c>
      <c r="O69" s="45">
        <v>85</v>
      </c>
      <c r="P69" s="67">
        <v>-98</v>
      </c>
      <c r="Q69" s="67">
        <v>100</v>
      </c>
      <c r="R69" s="67">
        <v>-105</v>
      </c>
      <c r="S69" s="45">
        <v>100</v>
      </c>
      <c r="T69" s="46">
        <v>185</v>
      </c>
      <c r="U69" s="68" t="str">
        <f ca="1" t="shared" si="7"/>
        <v>DPT + 10</v>
      </c>
      <c r="V69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M89</v>
      </c>
      <c r="W69" s="69">
        <v>219.1610068237524</v>
      </c>
      <c r="X69" s="5">
        <f ca="1" t="shared" si="8"/>
        <v>22</v>
      </c>
      <c r="Y69" s="5">
        <f ca="1">MATCH(INDIRECT("X"&amp;ROW()),Minimas!$B$50:$B$56,-1)</f>
        <v>1</v>
      </c>
      <c r="Z69" s="5">
        <f ca="1">IF(INDIRECT("E"&amp;ROW())="H",MATCH(INDIRECT("K"&amp;ROW()),Minimas!$A$16:$A$29,1),MATCH(INDIRECT("K"&amp;ROW()),Minimas!$J$16:$J$27,1))</f>
        <v>10</v>
      </c>
      <c r="AA69" s="59">
        <v>35631</v>
      </c>
      <c r="AB69" s="70">
        <f ca="1">INDIRECT("T"&amp;ROW())-HLOOKUP(INDIRECT("V"&amp;ROW()),Minimas!$C$3:$CD$12,AB$4+1,FALSE)</f>
        <v>35</v>
      </c>
      <c r="AC69" s="70">
        <f ca="1">INDIRECT("T"&amp;ROW())-HLOOKUP(INDIRECT("V"&amp;ROW()),Minimas!$C$3:$CD$12,AC$4+1,FALSE)</f>
        <v>10</v>
      </c>
      <c r="AD69" s="70">
        <f ca="1">INDIRECT("T"&amp;ROW())-HLOOKUP(INDIRECT("V"&amp;ROW()),Minimas!$C$3:$CD$12,AD$4+1,FALSE)</f>
        <v>-15</v>
      </c>
      <c r="AE69" s="70">
        <f ca="1">INDIRECT("T"&amp;ROW())-HLOOKUP(INDIRECT("V"&amp;ROW()),Minimas!$C$3:$CD$12,AE$4+1,FALSE)</f>
        <v>-45</v>
      </c>
      <c r="AF69" s="70">
        <f ca="1">INDIRECT("T"&amp;ROW())-HLOOKUP(INDIRECT("V"&amp;ROW()),Minimas!$C$3:$CD$12,AF$4+1,FALSE)</f>
        <v>-75</v>
      </c>
      <c r="AG69" s="70">
        <f ca="1">INDIRECT("T"&amp;ROW())-HLOOKUP(INDIRECT("V"&amp;ROW()),Minimas!$C$3:$CD$12,AG$4+1,FALSE)</f>
        <v>-102</v>
      </c>
      <c r="AH69" s="70">
        <f ca="1">INDIRECT("T"&amp;ROW())-HLOOKUP(INDIRECT("V"&amp;ROW()),Minimas!$C$3:$CD$12,AH$4+1,FALSE)</f>
        <v>-125</v>
      </c>
      <c r="AI69" s="70">
        <f ca="1">INDIRECT("T"&amp;ROW())-HLOOKUP(INDIRECT("V"&amp;ROW()),Minimas!$C$3:$CD$12,AI$4+1,FALSE)</f>
        <v>-145</v>
      </c>
      <c r="AJ69" s="70">
        <f ca="1">INDIRECT("T"&amp;ROW())-HLOOKUP(INDIRECT("V"&amp;ROW()),Minimas!$C$3:$CD$12,AJ$4+1,FALSE)</f>
        <v>-175</v>
      </c>
      <c r="AK69" s="71">
        <f ca="1" t="shared" si="9"/>
        <v>2</v>
      </c>
      <c r="AM69" s="5" t="str">
        <f ca="1" t="shared" si="10"/>
        <v>DPT +</v>
      </c>
      <c r="AN69" s="5">
        <f ca="1" t="shared" si="11"/>
        <v>10</v>
      </c>
      <c r="AO69" s="86">
        <v>86.13738921053736</v>
      </c>
      <c r="AP69" s="98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</row>
    <row r="70" spans="2:123" ht="30" customHeight="1" thickBot="1">
      <c r="B70" s="62"/>
      <c r="C70" s="65" t="s">
        <v>360</v>
      </c>
      <c r="D70" s="96">
        <v>1</v>
      </c>
      <c r="E70" s="64" t="s">
        <v>374</v>
      </c>
      <c r="F70" s="42" t="s">
        <v>361</v>
      </c>
      <c r="G70" s="43" t="s">
        <v>362</v>
      </c>
      <c r="H70" s="59">
        <f ca="1" t="shared" si="6"/>
        <v>1992</v>
      </c>
      <c r="I70" s="61" t="s">
        <v>181</v>
      </c>
      <c r="J70" s="60" t="s">
        <v>145</v>
      </c>
      <c r="K70" s="44">
        <v>95.3</v>
      </c>
      <c r="L70" s="67">
        <v>-100</v>
      </c>
      <c r="M70" s="67">
        <v>100</v>
      </c>
      <c r="N70" s="67">
        <v>107</v>
      </c>
      <c r="O70" s="45">
        <v>107</v>
      </c>
      <c r="P70" s="67">
        <v>-125</v>
      </c>
      <c r="Q70" s="67">
        <v>126</v>
      </c>
      <c r="R70" s="67">
        <v>131</v>
      </c>
      <c r="S70" s="45">
        <v>131</v>
      </c>
      <c r="T70" s="46">
        <v>238</v>
      </c>
      <c r="U70" s="68" t="str">
        <f ca="1" t="shared" si="7"/>
        <v>IRG + 3</v>
      </c>
      <c r="V70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M96</v>
      </c>
      <c r="W70" s="69">
        <v>268.82127401804695</v>
      </c>
      <c r="X70" s="5">
        <f ca="1" t="shared" si="8"/>
        <v>27</v>
      </c>
      <c r="Y70" s="5">
        <f ca="1">MATCH(INDIRECT("X"&amp;ROW()),Minimas!$B$50:$B$56,-1)</f>
        <v>1</v>
      </c>
      <c r="Z70" s="5">
        <f ca="1">IF(INDIRECT("E"&amp;ROW())="H",MATCH(INDIRECT("K"&amp;ROW()),Minimas!$A$16:$A$29,1),MATCH(INDIRECT("K"&amp;ROW()),Minimas!$J$16:$J$27,1))</f>
        <v>11</v>
      </c>
      <c r="AA70" s="59">
        <v>33646</v>
      </c>
      <c r="AB70" s="70">
        <f ca="1">INDIRECT("T"&amp;ROW())-HLOOKUP(INDIRECT("V"&amp;ROW()),Minimas!$C$3:$CD$12,AB$4+1,FALSE)</f>
        <v>83</v>
      </c>
      <c r="AC70" s="70">
        <f ca="1">INDIRECT("T"&amp;ROW())-HLOOKUP(INDIRECT("V"&amp;ROW()),Minimas!$C$3:$CD$12,AC$4+1,FALSE)</f>
        <v>58</v>
      </c>
      <c r="AD70" s="70">
        <f ca="1">INDIRECT("T"&amp;ROW())-HLOOKUP(INDIRECT("V"&amp;ROW()),Minimas!$C$3:$CD$12,AD$4+1,FALSE)</f>
        <v>33</v>
      </c>
      <c r="AE70" s="70">
        <f ca="1">INDIRECT("T"&amp;ROW())-HLOOKUP(INDIRECT("V"&amp;ROW()),Minimas!$C$3:$CD$12,AE$4+1,FALSE)</f>
        <v>3</v>
      </c>
      <c r="AF70" s="70">
        <f ca="1">INDIRECT("T"&amp;ROW())-HLOOKUP(INDIRECT("V"&amp;ROW()),Minimas!$C$3:$CD$12,AF$4+1,FALSE)</f>
        <v>-27</v>
      </c>
      <c r="AG70" s="70">
        <f ca="1">INDIRECT("T"&amp;ROW())-HLOOKUP(INDIRECT("V"&amp;ROW()),Minimas!$C$3:$CD$12,AG$4+1,FALSE)</f>
        <v>-57</v>
      </c>
      <c r="AH70" s="70">
        <f ca="1">INDIRECT("T"&amp;ROW())-HLOOKUP(INDIRECT("V"&amp;ROW()),Minimas!$C$3:$CD$12,AH$4+1,FALSE)</f>
        <v>-82</v>
      </c>
      <c r="AI70" s="70">
        <f ca="1">INDIRECT("T"&amp;ROW())-HLOOKUP(INDIRECT("V"&amp;ROW()),Minimas!$C$3:$CD$12,AI$4+1,FALSE)</f>
        <v>-102</v>
      </c>
      <c r="AJ70" s="70">
        <f ca="1">INDIRECT("T"&amp;ROW())-HLOOKUP(INDIRECT("V"&amp;ROW()),Minimas!$C$3:$CD$12,AJ$4+1,FALSE)</f>
        <v>-122</v>
      </c>
      <c r="AK70" s="71">
        <f ca="1" t="shared" si="9"/>
        <v>4</v>
      </c>
      <c r="AM70" s="5" t="str">
        <f ca="1" t="shared" si="10"/>
        <v>IRG +</v>
      </c>
      <c r="AN70" s="5">
        <f ca="1" t="shared" si="11"/>
        <v>3</v>
      </c>
      <c r="AO70" s="86">
        <v>176.7499651454887</v>
      </c>
      <c r="AP70" s="99" t="s">
        <v>396</v>
      </c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</row>
    <row r="71" spans="2:123" ht="30" customHeight="1" thickBot="1">
      <c r="B71" s="62"/>
      <c r="C71" s="65" t="s">
        <v>363</v>
      </c>
      <c r="D71" s="96">
        <v>2</v>
      </c>
      <c r="E71" s="64" t="s">
        <v>374</v>
      </c>
      <c r="F71" s="42" t="s">
        <v>364</v>
      </c>
      <c r="G71" s="43" t="s">
        <v>365</v>
      </c>
      <c r="H71" s="59">
        <f ca="1" t="shared" si="6"/>
        <v>1998</v>
      </c>
      <c r="I71" s="61" t="s">
        <v>366</v>
      </c>
      <c r="J71" s="60" t="s">
        <v>145</v>
      </c>
      <c r="K71" s="44">
        <v>95.8</v>
      </c>
      <c r="L71" s="67">
        <v>-100</v>
      </c>
      <c r="M71" s="67">
        <v>102</v>
      </c>
      <c r="N71" s="67">
        <v>108</v>
      </c>
      <c r="O71" s="45">
        <v>108</v>
      </c>
      <c r="P71" s="67">
        <v>122</v>
      </c>
      <c r="Q71" s="67">
        <v>126</v>
      </c>
      <c r="R71" s="67">
        <v>-131</v>
      </c>
      <c r="S71" s="45">
        <v>126</v>
      </c>
      <c r="T71" s="46">
        <v>234</v>
      </c>
      <c r="U71" s="68" t="str">
        <f ca="1" t="shared" si="7"/>
        <v>REG + 29</v>
      </c>
      <c r="V71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M96</v>
      </c>
      <c r="W71" s="69">
        <v>263.754584459698</v>
      </c>
      <c r="X71" s="5">
        <f ca="1" t="shared" si="8"/>
        <v>21</v>
      </c>
      <c r="Y71" s="5">
        <f ca="1">MATCH(INDIRECT("X"&amp;ROW()),Minimas!$B$50:$B$56,-1)</f>
        <v>1</v>
      </c>
      <c r="Z71" s="5">
        <f ca="1">IF(INDIRECT("E"&amp;ROW())="H",MATCH(INDIRECT("K"&amp;ROW()),Minimas!$A$16:$A$29,1),MATCH(INDIRECT("K"&amp;ROW()),Minimas!$J$16:$J$27,1))</f>
        <v>11</v>
      </c>
      <c r="AA71" s="59">
        <v>35938</v>
      </c>
      <c r="AB71" s="70">
        <f ca="1">INDIRECT("T"&amp;ROW())-HLOOKUP(INDIRECT("V"&amp;ROW()),Minimas!$C$3:$CD$12,AB$4+1,FALSE)</f>
        <v>79</v>
      </c>
      <c r="AC71" s="70">
        <f ca="1">INDIRECT("T"&amp;ROW())-HLOOKUP(INDIRECT("V"&amp;ROW()),Minimas!$C$3:$CD$12,AC$4+1,FALSE)</f>
        <v>54</v>
      </c>
      <c r="AD71" s="70">
        <f ca="1">INDIRECT("T"&amp;ROW())-HLOOKUP(INDIRECT("V"&amp;ROW()),Minimas!$C$3:$CD$12,AD$4+1,FALSE)</f>
        <v>29</v>
      </c>
      <c r="AE71" s="70">
        <f ca="1">INDIRECT("T"&amp;ROW())-HLOOKUP(INDIRECT("V"&amp;ROW()),Minimas!$C$3:$CD$12,AE$4+1,FALSE)</f>
        <v>-1</v>
      </c>
      <c r="AF71" s="70">
        <f ca="1">INDIRECT("T"&amp;ROW())-HLOOKUP(INDIRECT("V"&amp;ROW()),Minimas!$C$3:$CD$12,AF$4+1,FALSE)</f>
        <v>-31</v>
      </c>
      <c r="AG71" s="70">
        <f ca="1">INDIRECT("T"&amp;ROW())-HLOOKUP(INDIRECT("V"&amp;ROW()),Minimas!$C$3:$CD$12,AG$4+1,FALSE)</f>
        <v>-61</v>
      </c>
      <c r="AH71" s="70">
        <f ca="1">INDIRECT("T"&amp;ROW())-HLOOKUP(INDIRECT("V"&amp;ROW()),Minimas!$C$3:$CD$12,AH$4+1,FALSE)</f>
        <v>-86</v>
      </c>
      <c r="AI71" s="70">
        <f ca="1">INDIRECT("T"&amp;ROW())-HLOOKUP(INDIRECT("V"&amp;ROW()),Minimas!$C$3:$CD$12,AI$4+1,FALSE)</f>
        <v>-106</v>
      </c>
      <c r="AJ71" s="70">
        <f ca="1">INDIRECT("T"&amp;ROW())-HLOOKUP(INDIRECT("V"&amp;ROW()),Minimas!$C$3:$CD$12,AJ$4+1,FALSE)</f>
        <v>-126</v>
      </c>
      <c r="AK71" s="71">
        <f ca="1" t="shared" si="9"/>
        <v>3</v>
      </c>
      <c r="AM71" s="5" t="str">
        <f ca="1" t="shared" si="10"/>
        <v>REG +</v>
      </c>
      <c r="AN71" s="5">
        <f ca="1" t="shared" si="11"/>
        <v>29</v>
      </c>
      <c r="AO71" s="86">
        <v>167.07300851504243</v>
      </c>
      <c r="AP71" s="99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</row>
    <row r="72" spans="2:123" ht="30" customHeight="1" thickBot="1">
      <c r="B72" s="62"/>
      <c r="C72" s="65" t="s">
        <v>367</v>
      </c>
      <c r="D72" s="96">
        <v>3</v>
      </c>
      <c r="E72" s="64" t="s">
        <v>374</v>
      </c>
      <c r="F72" s="42" t="s">
        <v>368</v>
      </c>
      <c r="G72" s="43" t="s">
        <v>369</v>
      </c>
      <c r="H72" s="59">
        <f ca="1" t="shared" si="6"/>
        <v>1997</v>
      </c>
      <c r="I72" s="61" t="s">
        <v>170</v>
      </c>
      <c r="J72" s="60" t="s">
        <v>145</v>
      </c>
      <c r="K72" s="44">
        <v>95</v>
      </c>
      <c r="L72" s="67">
        <v>98</v>
      </c>
      <c r="M72" s="67">
        <v>103</v>
      </c>
      <c r="N72" s="67">
        <v>107</v>
      </c>
      <c r="O72" s="45">
        <v>107</v>
      </c>
      <c r="P72" s="67">
        <v>117</v>
      </c>
      <c r="Q72" s="67">
        <v>-121</v>
      </c>
      <c r="R72" s="67">
        <v>-125</v>
      </c>
      <c r="S72" s="45">
        <v>117</v>
      </c>
      <c r="T72" s="46">
        <v>224</v>
      </c>
      <c r="U72" s="68" t="str">
        <f ca="1" t="shared" si="7"/>
        <v>REG + 19</v>
      </c>
      <c r="V72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M96</v>
      </c>
      <c r="W72" s="69">
        <v>253.32743904285292</v>
      </c>
      <c r="X72" s="5">
        <f ca="1" t="shared" si="8"/>
        <v>22</v>
      </c>
      <c r="Y72" s="5">
        <f ca="1">MATCH(INDIRECT("X"&amp;ROW()),Minimas!$B$50:$B$56,-1)</f>
        <v>1</v>
      </c>
      <c r="Z72" s="5">
        <f ca="1">IF(INDIRECT("E"&amp;ROW())="H",MATCH(INDIRECT("K"&amp;ROW()),Minimas!$A$16:$A$29,1),MATCH(INDIRECT("K"&amp;ROW()),Minimas!$J$16:$J$27,1))</f>
        <v>11</v>
      </c>
      <c r="AA72" s="59">
        <v>35629</v>
      </c>
      <c r="AB72" s="70">
        <f ca="1">INDIRECT("T"&amp;ROW())-HLOOKUP(INDIRECT("V"&amp;ROW()),Minimas!$C$3:$CD$12,AB$4+1,FALSE)</f>
        <v>69</v>
      </c>
      <c r="AC72" s="70">
        <f ca="1">INDIRECT("T"&amp;ROW())-HLOOKUP(INDIRECT("V"&amp;ROW()),Minimas!$C$3:$CD$12,AC$4+1,FALSE)</f>
        <v>44</v>
      </c>
      <c r="AD72" s="70">
        <f ca="1">INDIRECT("T"&amp;ROW())-HLOOKUP(INDIRECT("V"&amp;ROW()),Minimas!$C$3:$CD$12,AD$4+1,FALSE)</f>
        <v>19</v>
      </c>
      <c r="AE72" s="70">
        <f ca="1">INDIRECT("T"&amp;ROW())-HLOOKUP(INDIRECT("V"&amp;ROW()),Minimas!$C$3:$CD$12,AE$4+1,FALSE)</f>
        <v>-11</v>
      </c>
      <c r="AF72" s="70">
        <f ca="1">INDIRECT("T"&amp;ROW())-HLOOKUP(INDIRECT("V"&amp;ROW()),Minimas!$C$3:$CD$12,AF$4+1,FALSE)</f>
        <v>-41</v>
      </c>
      <c r="AG72" s="70">
        <f ca="1">INDIRECT("T"&amp;ROW())-HLOOKUP(INDIRECT("V"&amp;ROW()),Minimas!$C$3:$CD$12,AG$4+1,FALSE)</f>
        <v>-71</v>
      </c>
      <c r="AH72" s="70">
        <f ca="1">INDIRECT("T"&amp;ROW())-HLOOKUP(INDIRECT("V"&amp;ROW()),Minimas!$C$3:$CD$12,AH$4+1,FALSE)</f>
        <v>-96</v>
      </c>
      <c r="AI72" s="70">
        <f ca="1">INDIRECT("T"&amp;ROW())-HLOOKUP(INDIRECT("V"&amp;ROW()),Minimas!$C$3:$CD$12,AI$4+1,FALSE)</f>
        <v>-116</v>
      </c>
      <c r="AJ72" s="70">
        <f ca="1">INDIRECT("T"&amp;ROW())-HLOOKUP(INDIRECT("V"&amp;ROW()),Minimas!$C$3:$CD$12,AJ$4+1,FALSE)</f>
        <v>-136</v>
      </c>
      <c r="AK72" s="71">
        <f ca="1" t="shared" si="9"/>
        <v>3</v>
      </c>
      <c r="AM72" s="5" t="str">
        <f ca="1" t="shared" si="10"/>
        <v>REG +</v>
      </c>
      <c r="AN72" s="5">
        <f ca="1" t="shared" si="11"/>
        <v>19</v>
      </c>
      <c r="AO72" s="86">
        <v>144.50953233879378</v>
      </c>
      <c r="AP72" s="99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</row>
    <row r="73" spans="2:123" ht="30" customHeight="1" thickBot="1">
      <c r="B73" s="62"/>
      <c r="C73" s="65" t="s">
        <v>370</v>
      </c>
      <c r="D73" s="96">
        <v>4</v>
      </c>
      <c r="E73" s="64" t="s">
        <v>374</v>
      </c>
      <c r="F73" s="42" t="s">
        <v>371</v>
      </c>
      <c r="G73" s="43" t="s">
        <v>372</v>
      </c>
      <c r="H73" s="59">
        <f ca="1" t="shared" si="6"/>
        <v>1994</v>
      </c>
      <c r="I73" s="61" t="s">
        <v>224</v>
      </c>
      <c r="J73" s="60" t="s">
        <v>145</v>
      </c>
      <c r="K73" s="44">
        <v>106.9</v>
      </c>
      <c r="L73" s="67">
        <v>-110</v>
      </c>
      <c r="M73" s="67">
        <v>-110</v>
      </c>
      <c r="N73" s="67">
        <v>-115</v>
      </c>
      <c r="O73" s="45">
        <v>0</v>
      </c>
      <c r="P73" s="67">
        <v>0</v>
      </c>
      <c r="Q73" s="67">
        <v>0</v>
      </c>
      <c r="R73" s="67">
        <v>0</v>
      </c>
      <c r="S73" s="45">
        <v>0</v>
      </c>
      <c r="T73" s="46">
        <v>0</v>
      </c>
      <c r="U73" s="68" t="str">
        <f ca="1" t="shared" si="7"/>
        <v>DEB -165</v>
      </c>
      <c r="V73" s="68" t="str">
        <f ca="1">IF(INDIRECT("E"&amp;ROW())="H",INDEX(Minimas!$B$16:$H$29,INDIRECT("Z"&amp;ROW()),MATCH(INDIRECT("X"&amp;ROW()),Minimas!$B$50:$B$56,-1)),INDEX(Minimas!$K$16:$R$27,INDIRECT("Z"&amp;ROW()),MATCH(INDIRECT("X"&amp;ROW()),Minimas!$B$50:$B$56,-1)))</f>
        <v>SE M109</v>
      </c>
      <c r="W73" s="69">
        <v>0</v>
      </c>
      <c r="X73" s="5">
        <f ca="1" t="shared" si="8"/>
        <v>25</v>
      </c>
      <c r="Y73" s="5">
        <f ca="1">MATCH(INDIRECT("X"&amp;ROW()),Minimas!$B$50:$B$56,-1)</f>
        <v>1</v>
      </c>
      <c r="Z73" s="5">
        <f ca="1">IF(INDIRECT("E"&amp;ROW())="H",MATCH(INDIRECT("K"&amp;ROW()),Minimas!$A$16:$A$29,1),MATCH(INDIRECT("K"&amp;ROW()),Minimas!$J$16:$J$27,1))</f>
        <v>13</v>
      </c>
      <c r="AA73" s="59">
        <v>34448</v>
      </c>
      <c r="AB73" s="70">
        <f ca="1">INDIRECT("T"&amp;ROW())-HLOOKUP(INDIRECT("V"&amp;ROW()),Minimas!$C$3:$CD$12,AB$4+1,FALSE)</f>
        <v>-165</v>
      </c>
      <c r="AC73" s="70">
        <f ca="1">INDIRECT("T"&amp;ROW())-HLOOKUP(INDIRECT("V"&amp;ROW()),Minimas!$C$3:$CD$12,AC$4+1,FALSE)</f>
        <v>-190</v>
      </c>
      <c r="AD73" s="70">
        <f ca="1">INDIRECT("T"&amp;ROW())-HLOOKUP(INDIRECT("V"&amp;ROW()),Minimas!$C$3:$CD$12,AD$4+1,FALSE)</f>
        <v>-215</v>
      </c>
      <c r="AE73" s="70">
        <f ca="1">INDIRECT("T"&amp;ROW())-HLOOKUP(INDIRECT("V"&amp;ROW()),Minimas!$C$3:$CD$12,AE$4+1,FALSE)</f>
        <v>-245</v>
      </c>
      <c r="AF73" s="70">
        <f ca="1">INDIRECT("T"&amp;ROW())-HLOOKUP(INDIRECT("V"&amp;ROW()),Minimas!$C$3:$CD$12,AF$4+1,FALSE)</f>
        <v>-275</v>
      </c>
      <c r="AG73" s="70">
        <f ca="1">INDIRECT("T"&amp;ROW())-HLOOKUP(INDIRECT("V"&amp;ROW()),Minimas!$C$3:$CD$12,AG$4+1,FALSE)</f>
        <v>-310</v>
      </c>
      <c r="AH73" s="70">
        <f ca="1">INDIRECT("T"&amp;ROW())-HLOOKUP(INDIRECT("V"&amp;ROW()),Minimas!$C$3:$CD$12,AH$4+1,FALSE)</f>
        <v>-335</v>
      </c>
      <c r="AI73" s="70">
        <f ca="1">INDIRECT("T"&amp;ROW())-HLOOKUP(INDIRECT("V"&amp;ROW()),Minimas!$C$3:$CD$12,AI$4+1,FALSE)</f>
        <v>-360</v>
      </c>
      <c r="AJ73" s="70">
        <f ca="1">INDIRECT("T"&amp;ROW())-HLOOKUP(INDIRECT("V"&amp;ROW()),Minimas!$C$3:$CD$12,AJ$4+1,FALSE)</f>
        <v>-380</v>
      </c>
      <c r="AK73" s="71">
        <f ca="1" t="shared" si="9"/>
        <v>1</v>
      </c>
      <c r="AM73" s="5" t="str">
        <f ca="1" t="shared" si="10"/>
        <v>DEB</v>
      </c>
      <c r="AN73" s="5">
        <f ca="1" t="shared" si="11"/>
        <v>-165</v>
      </c>
      <c r="AO73" s="86">
        <v>0</v>
      </c>
      <c r="AP73" s="99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</row>
    <row r="74" spans="1:23" ht="39" customHeight="1">
      <c r="A74" s="7"/>
      <c r="B74" s="108" t="s">
        <v>16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10"/>
      <c r="N74" s="10"/>
      <c r="O74" s="49"/>
      <c r="P74" s="50" t="s">
        <v>17</v>
      </c>
      <c r="Q74" s="117"/>
      <c r="R74" s="117"/>
      <c r="S74" s="117"/>
      <c r="T74" s="117"/>
      <c r="U74" s="117"/>
      <c r="V74" s="117"/>
      <c r="W74" s="118"/>
    </row>
    <row r="75" spans="1:23" ht="39" customHeight="1">
      <c r="A75" s="7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3"/>
      <c r="N75" s="10"/>
      <c r="O75" s="51"/>
      <c r="P75" s="52" t="s">
        <v>18</v>
      </c>
      <c r="Q75" s="106"/>
      <c r="R75" s="106"/>
      <c r="S75" s="106"/>
      <c r="T75" s="106"/>
      <c r="U75" s="106"/>
      <c r="V75" s="106"/>
      <c r="W75" s="107"/>
    </row>
    <row r="76" spans="1:24" ht="39" customHeight="1">
      <c r="A76" s="7"/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3"/>
      <c r="O76" s="51"/>
      <c r="P76" s="52" t="s">
        <v>19</v>
      </c>
      <c r="Q76" s="106"/>
      <c r="R76" s="106"/>
      <c r="S76" s="106"/>
      <c r="T76" s="106"/>
      <c r="U76" s="106"/>
      <c r="V76" s="106"/>
      <c r="W76" s="107"/>
      <c r="X76" s="10"/>
    </row>
    <row r="77" spans="1:24" ht="39" customHeight="1">
      <c r="A77" s="7"/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3"/>
      <c r="O77" s="51"/>
      <c r="P77" s="52" t="s">
        <v>20</v>
      </c>
      <c r="Q77" s="106"/>
      <c r="R77" s="106"/>
      <c r="S77" s="106"/>
      <c r="T77" s="106"/>
      <c r="U77" s="106"/>
      <c r="V77" s="106"/>
      <c r="W77" s="107"/>
      <c r="X77" s="10"/>
    </row>
    <row r="78" spans="2:24" ht="39" customHeight="1"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3"/>
      <c r="O78" s="51"/>
      <c r="P78" s="52" t="s">
        <v>21</v>
      </c>
      <c r="Q78" s="106"/>
      <c r="R78" s="106"/>
      <c r="S78" s="106"/>
      <c r="T78" s="106"/>
      <c r="U78" s="106"/>
      <c r="V78" s="106"/>
      <c r="W78" s="107"/>
      <c r="X78" s="10"/>
    </row>
    <row r="79" spans="2:23" ht="39" customHeight="1"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3"/>
      <c r="M79" s="10"/>
      <c r="N79" s="10"/>
      <c r="O79" s="51"/>
      <c r="P79" s="52" t="s">
        <v>22</v>
      </c>
      <c r="Q79" s="106"/>
      <c r="R79" s="106"/>
      <c r="S79" s="106"/>
      <c r="T79" s="106"/>
      <c r="U79" s="106"/>
      <c r="V79" s="106"/>
      <c r="W79" s="107"/>
    </row>
    <row r="80" spans="2:23" ht="39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3"/>
      <c r="M80" s="10"/>
      <c r="N80" s="10"/>
      <c r="O80" s="51"/>
      <c r="P80" s="52" t="s">
        <v>23</v>
      </c>
      <c r="Q80" s="106"/>
      <c r="R80" s="106"/>
      <c r="S80" s="106"/>
      <c r="T80" s="106"/>
      <c r="U80" s="106"/>
      <c r="V80" s="106"/>
      <c r="W80" s="107"/>
    </row>
    <row r="81" spans="2:23" ht="39" customHeight="1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6"/>
      <c r="M81" s="10"/>
      <c r="N81" s="10"/>
      <c r="O81" s="53"/>
      <c r="P81" s="54" t="s">
        <v>24</v>
      </c>
      <c r="Q81" s="119"/>
      <c r="R81" s="119"/>
      <c r="S81" s="119"/>
      <c r="T81" s="119"/>
      <c r="U81" s="119"/>
      <c r="V81" s="119"/>
      <c r="W81" s="120"/>
    </row>
    <row r="82" spans="16:24" ht="9.75" customHeight="1">
      <c r="P82" s="7"/>
      <c r="X82" s="10"/>
    </row>
    <row r="83" ht="12" customHeight="1">
      <c r="O83" s="1"/>
    </row>
    <row r="84" ht="9.75" customHeight="1"/>
    <row r="85" ht="12" customHeight="1"/>
    <row r="86" ht="12" customHeight="1"/>
  </sheetData>
  <sheetProtection/>
  <mergeCells count="33">
    <mergeCell ref="N2:S2"/>
    <mergeCell ref="D2:K2"/>
    <mergeCell ref="D3:K3"/>
    <mergeCell ref="V2:W2"/>
    <mergeCell ref="N3:S3"/>
    <mergeCell ref="V3:W3"/>
    <mergeCell ref="F5:G5"/>
    <mergeCell ref="Q80:T80"/>
    <mergeCell ref="Q81:T81"/>
    <mergeCell ref="Q74:T74"/>
    <mergeCell ref="Q77:T77"/>
    <mergeCell ref="Q75:T75"/>
    <mergeCell ref="Q76:T76"/>
    <mergeCell ref="Q78:T78"/>
    <mergeCell ref="U77:W77"/>
    <mergeCell ref="U78:W78"/>
    <mergeCell ref="B74:L81"/>
    <mergeCell ref="U74:W74"/>
    <mergeCell ref="U75:W75"/>
    <mergeCell ref="U76:W76"/>
    <mergeCell ref="U81:W81"/>
    <mergeCell ref="U79:W79"/>
    <mergeCell ref="U80:W80"/>
    <mergeCell ref="Q79:T79"/>
    <mergeCell ref="AP50:AP61"/>
    <mergeCell ref="AP62:AP69"/>
    <mergeCell ref="AP70:AP73"/>
    <mergeCell ref="AP7:AP15"/>
    <mergeCell ref="AP16:AP24"/>
    <mergeCell ref="AP26:AP30"/>
    <mergeCell ref="AP32:AP34"/>
    <mergeCell ref="AP35:AP38"/>
    <mergeCell ref="AP39:AP49"/>
  </mergeCells>
  <conditionalFormatting sqref="L6:N73">
    <cfRule type="cellIs" priority="3" dxfId="1" operator="lessThan" stopIfTrue="1">
      <formula>1</formula>
    </cfRule>
    <cfRule type="cellIs" priority="4" dxfId="0" operator="greaterThan" stopIfTrue="1">
      <formula>0</formula>
    </cfRule>
  </conditionalFormatting>
  <conditionalFormatting sqref="P6:R73">
    <cfRule type="cellIs" priority="1" dxfId="1" operator="lessThan" stopIfTrue="1">
      <formula>1</formula>
    </cfRule>
    <cfRule type="cellIs" priority="2" dxfId="0" operator="greaterThan" stopIfTrue="1">
      <formula>0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180" verticalDpi="18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55" zoomScaleNormal="55" zoomScalePageLayoutView="0" workbookViewId="0" topLeftCell="A1">
      <selection activeCell="C2" sqref="C2:J2"/>
    </sheetView>
  </sheetViews>
  <sheetFormatPr defaultColWidth="11.421875" defaultRowHeight="12.75"/>
  <cols>
    <col min="1" max="1" width="26.7109375" style="0" bestFit="1" customWidth="1"/>
    <col min="2" max="2" width="16.8515625" style="0" bestFit="1" customWidth="1"/>
    <col min="3" max="3" width="3.00390625" style="0" customWidth="1"/>
    <col min="5" max="5" width="22.57421875" style="0" bestFit="1" customWidth="1"/>
    <col min="6" max="6" width="14.8515625" style="0" bestFit="1" customWidth="1"/>
    <col min="8" max="8" width="38.140625" style="0" bestFit="1" customWidth="1"/>
  </cols>
  <sheetData>
    <row r="1" spans="1:22" ht="20.25">
      <c r="A1" s="9"/>
      <c r="B1" s="26"/>
      <c r="C1" s="123" t="s">
        <v>130</v>
      </c>
      <c r="D1" s="122"/>
      <c r="E1" s="122"/>
      <c r="F1" s="122"/>
      <c r="G1" s="122"/>
      <c r="H1" s="122"/>
      <c r="I1" s="122"/>
      <c r="J1" s="122"/>
      <c r="K1" s="27"/>
      <c r="L1" s="28"/>
      <c r="M1" s="122" t="s">
        <v>6</v>
      </c>
      <c r="N1" s="122"/>
      <c r="O1" s="122"/>
      <c r="P1" s="122"/>
      <c r="Q1" s="122"/>
      <c r="R1" s="122"/>
      <c r="S1" s="28"/>
      <c r="T1" s="28"/>
      <c r="U1" s="122" t="s">
        <v>15</v>
      </c>
      <c r="V1" s="126"/>
    </row>
    <row r="2" spans="1:22" ht="18.75" thickBot="1">
      <c r="A2" s="9"/>
      <c r="B2" s="26"/>
      <c r="C2" s="124" t="s">
        <v>149</v>
      </c>
      <c r="D2" s="125"/>
      <c r="E2" s="125"/>
      <c r="F2" s="125"/>
      <c r="G2" s="125"/>
      <c r="H2" s="125"/>
      <c r="I2" s="125"/>
      <c r="J2" s="125"/>
      <c r="K2" s="29"/>
      <c r="L2" s="29"/>
      <c r="M2" s="125" t="s">
        <v>150</v>
      </c>
      <c r="N2" s="125"/>
      <c r="O2" s="125"/>
      <c r="P2" s="125"/>
      <c r="Q2" s="125"/>
      <c r="R2" s="125"/>
      <c r="S2" s="29"/>
      <c r="T2" s="29"/>
      <c r="U2" s="127">
        <v>43560.00067129629</v>
      </c>
      <c r="V2" s="128"/>
    </row>
    <row r="3" spans="1:22" ht="26.25" customHeight="1" thickBot="1">
      <c r="A3" s="13"/>
      <c r="B3" s="7"/>
      <c r="C3" s="132" t="s">
        <v>148</v>
      </c>
      <c r="D3" s="132"/>
      <c r="E3" s="132"/>
      <c r="F3" s="132"/>
      <c r="G3" s="132"/>
      <c r="H3" s="132"/>
      <c r="I3" s="132"/>
      <c r="J3" s="132"/>
      <c r="K3" s="19"/>
      <c r="L3" s="19"/>
      <c r="M3" s="19"/>
      <c r="N3" s="20"/>
      <c r="O3" s="19"/>
      <c r="P3" s="19"/>
      <c r="Q3" s="19"/>
      <c r="R3" s="20"/>
      <c r="S3" s="20"/>
      <c r="T3" s="21"/>
      <c r="U3" s="15"/>
      <c r="V3" s="15"/>
    </row>
    <row r="4" spans="1:24" ht="13.5" thickBot="1">
      <c r="A4" s="30" t="s">
        <v>375</v>
      </c>
      <c r="B4" s="31" t="s">
        <v>10</v>
      </c>
      <c r="C4" s="31" t="s">
        <v>7</v>
      </c>
      <c r="D4" s="31" t="s">
        <v>47</v>
      </c>
      <c r="E4" s="121" t="s">
        <v>0</v>
      </c>
      <c r="F4" s="121"/>
      <c r="G4" s="31" t="s">
        <v>12</v>
      </c>
      <c r="H4" s="31" t="s">
        <v>11</v>
      </c>
      <c r="I4" s="32" t="s">
        <v>5</v>
      </c>
      <c r="J4" s="33" t="s">
        <v>1</v>
      </c>
      <c r="K4" s="34">
        <v>1</v>
      </c>
      <c r="L4" s="35">
        <v>2</v>
      </c>
      <c r="M4" s="35">
        <v>3</v>
      </c>
      <c r="N4" s="36" t="s">
        <v>13</v>
      </c>
      <c r="O4" s="34">
        <v>1</v>
      </c>
      <c r="P4" s="35">
        <v>2</v>
      </c>
      <c r="Q4" s="35">
        <v>3</v>
      </c>
      <c r="R4" s="36" t="s">
        <v>14</v>
      </c>
      <c r="S4" s="38" t="s">
        <v>2</v>
      </c>
      <c r="T4" s="39" t="s">
        <v>3</v>
      </c>
      <c r="U4" s="39" t="s">
        <v>8</v>
      </c>
      <c r="V4" s="40" t="s">
        <v>4</v>
      </c>
      <c r="W4" s="39" t="s">
        <v>146</v>
      </c>
      <c r="X4" s="40" t="s">
        <v>147</v>
      </c>
    </row>
    <row r="5" spans="1:24" ht="23.25" thickBot="1">
      <c r="A5" s="129" t="s">
        <v>376</v>
      </c>
      <c r="B5" s="65" t="s">
        <v>222</v>
      </c>
      <c r="C5" s="63"/>
      <c r="D5" s="64" t="str">
        <f ca="1">INDEX(INDIVIDUEL!$B$1:$Z$1000,MATCH(INDIRECT("B"&amp;ROW()),INDIVIDUEL!$C$1:$C$1000,0),4)</f>
        <v>F</v>
      </c>
      <c r="E5" s="42" t="str">
        <f ca="1">INDEX(INDIVIDUEL!$B$1:$Z$1000,MATCH(INDIRECT("B"&amp;ROW()),INDIVIDUEL!$C$1:$C$1000,0),5)</f>
        <v>BUZER</v>
      </c>
      <c r="F5" s="43" t="str">
        <f ca="1">INDEX(INDIVIDUEL!$B$1:$Z$1000,MATCH(INDIRECT("B"&amp;ROW()),INDIVIDUEL!$C$1:$C$1000,0),6)</f>
        <v>ELODIE</v>
      </c>
      <c r="G5" s="59">
        <f ca="1">INDEX(INDIVIDUEL!$B$1:$Z$1000,MATCH(INDIRECT("B"&amp;ROW()),INDIVIDUEL!$C$1:$C$1000,0),7)</f>
        <v>1989</v>
      </c>
      <c r="H5" s="61" t="str">
        <f ca="1">INDEX(INDIVIDUEL!$B$1:$Z$1000,MATCH(INDIRECT("B"&amp;ROW()),INDIVIDUEL!$C$1:$C$1000,0),8)</f>
        <v>A.S.Université Franche-Comté</v>
      </c>
      <c r="I5" s="60" t="str">
        <f ca="1">INDEX(INDIVIDUEL!$B$1:$Z$1000,MATCH(INDIRECT("B"&amp;ROW()),INDIVIDUEL!$C$1:$C$1000,0),9)</f>
        <v>FRA</v>
      </c>
      <c r="J5" s="44">
        <f ca="1">INDEX(INDIVIDUEL!$B$1:$Z$1000,MATCH(INDIRECT("B"&amp;ROW()),INDIVIDUEL!$C$1:$C$1000,0),10)</f>
        <v>70</v>
      </c>
      <c r="K5" s="67">
        <f ca="1">INDEX(INDIVIDUEL!$B$1:$Z$1000,MATCH(INDIRECT("B"&amp;ROW()),INDIVIDUEL!$C$1:$C$1000,0),11)</f>
        <v>-68</v>
      </c>
      <c r="L5" s="67">
        <f ca="1">INDEX(INDIVIDUEL!$B$1:$Z$1000,MATCH(INDIRECT("B"&amp;ROW()),INDIVIDUEL!$C$1:$C$1000,0),12)</f>
        <v>-68</v>
      </c>
      <c r="M5" s="67">
        <f ca="1">INDEX(INDIVIDUEL!$B$1:$Z$1000,MATCH(INDIRECT("B"&amp;ROW()),INDIVIDUEL!$C$1:$C$1000,0),13)</f>
        <v>68</v>
      </c>
      <c r="N5" s="45">
        <f ca="1">INDEX(INDIVIDUEL!$B$1:$Z$1000,MATCH(INDIRECT("B"&amp;ROW()),INDIVIDUEL!$C$1:$C$1000,0),14)</f>
        <v>68</v>
      </c>
      <c r="O5" s="67">
        <f ca="1">INDEX(INDIVIDUEL!$B$1:$Z$1000,MATCH(INDIRECT("B"&amp;ROW()),INDIVIDUEL!$C$1:$C$1000,0),15)</f>
        <v>71</v>
      </c>
      <c r="P5" s="67">
        <f ca="1">INDEX(INDIVIDUEL!$B$1:$Z$1000,MATCH(INDIRECT("B"&amp;ROW()),INDIVIDUEL!$C$1:$C$1000,0),16)</f>
        <v>78</v>
      </c>
      <c r="Q5" s="67">
        <f ca="1">INDEX(INDIVIDUEL!$B$1:$Z$1000,MATCH(INDIRECT("B"&amp;ROW()),INDIVIDUEL!$C$1:$C$1000,0),17)</f>
        <v>-81</v>
      </c>
      <c r="R5" s="45">
        <f ca="1">INDEX(INDIVIDUEL!$B$1:$Z$1000,MATCH(INDIRECT("B"&amp;ROW()),INDIVIDUEL!$C$1:$C$1000,0),18)</f>
        <v>78</v>
      </c>
      <c r="S5" s="46">
        <f ca="1">INDEX(INDIVIDUEL!$B$1:$Z$1000,MATCH(INDIRECT("B"&amp;ROW()),INDIVIDUEL!$C$1:$C$1000,0),19)</f>
        <v>146</v>
      </c>
      <c r="T5" s="68" t="str">
        <f ca="1">INDEX(INDIVIDUEL!$B$1:$Z$1000,MATCH(INDIRECT("B"&amp;ROW()),INDIVIDUEL!$C$1:$C$1000,0),20)</f>
        <v>FED + 4</v>
      </c>
      <c r="U5" s="68" t="str">
        <f ca="1">INDEX(INDIVIDUEL!$B$1:$Z$1000,MATCH(INDIRECT("B"&amp;ROW()),INDIVIDUEL!$C$1:$C$1000,0),21)</f>
        <v>SE F71</v>
      </c>
      <c r="V5" s="69">
        <f ca="1">INDEX(INDIVIDUEL!$B$1:$Z$1000,MATCH(INDIRECT("B"&amp;ROW()),INDIVIDUEL!$C$1:$C$1000,0),22)</f>
        <v>180.1766970220029</v>
      </c>
      <c r="W5" s="129">
        <f ca="1">_xlfn.IFERROR(SUM(INDIRECT("V"&amp;ROW()):INDIRECT("V"&amp;ROW()+2)),"")</f>
        <v>753.8036172630277</v>
      </c>
      <c r="X5" s="129">
        <f>_xlfn.IFERROR(RANK(W5,W:W,0),"")</f>
        <v>1</v>
      </c>
    </row>
    <row r="6" spans="1:24" ht="23.25" thickBot="1">
      <c r="A6" s="130"/>
      <c r="B6" s="65" t="s">
        <v>333</v>
      </c>
      <c r="C6" s="63"/>
      <c r="D6" s="64" t="str">
        <f ca="1">INDEX(INDIVIDUEL!$B$1:$Z$1000,MATCH(INDIRECT("B"&amp;ROW()),INDIVIDUEL!$C$1:$C$1000,0),4)</f>
        <v>H</v>
      </c>
      <c r="E6" s="42" t="str">
        <f ca="1">INDEX(INDIVIDUEL!$B$1:$Z$1000,MATCH(INDIRECT("B"&amp;ROW()),INDIVIDUEL!$C$1:$C$1000,0),5)</f>
        <v>SPERKA</v>
      </c>
      <c r="F6" s="43" t="str">
        <f ca="1">INDEX(INDIVIDUEL!$B$1:$Z$1000,MATCH(INDIRECT("B"&amp;ROW()),INDIVIDUEL!$C$1:$C$1000,0),6)</f>
        <v>SACHA</v>
      </c>
      <c r="G6" s="59">
        <f ca="1">INDEX(INDIVIDUEL!$B$1:$Z$1000,MATCH(INDIRECT("B"&amp;ROW()),INDIVIDUEL!$C$1:$C$1000,0),7)</f>
        <v>1999</v>
      </c>
      <c r="H6" s="61" t="str">
        <f ca="1">INDEX(INDIVIDUEL!$B$1:$Z$1000,MATCH(INDIRECT("B"&amp;ROW()),INDIVIDUEL!$C$1:$C$1000,0),8)</f>
        <v>A.S. Université Franche-Comté</v>
      </c>
      <c r="I6" s="60" t="str">
        <f ca="1">INDEX(INDIVIDUEL!$B$1:$Z$1000,MATCH(INDIRECT("B"&amp;ROW()),INDIVIDUEL!$C$1:$C$1000,0),9)</f>
        <v>FRA</v>
      </c>
      <c r="J6" s="44">
        <f ca="1">INDEX(INDIVIDUEL!$B$1:$Z$1000,MATCH(INDIRECT("B"&amp;ROW()),INDIVIDUEL!$C$1:$C$1000,0),10)</f>
        <v>83.7</v>
      </c>
      <c r="K6" s="67">
        <f ca="1">INDEX(INDIVIDUEL!$B$1:$Z$1000,MATCH(INDIRECT("B"&amp;ROW()),INDIVIDUEL!$C$1:$C$1000,0),11)</f>
        <v>108</v>
      </c>
      <c r="L6" s="67">
        <f ca="1">INDEX(INDIVIDUEL!$B$1:$Z$1000,MATCH(INDIRECT("B"&amp;ROW()),INDIVIDUEL!$C$1:$C$1000,0),12)</f>
        <v>-113</v>
      </c>
      <c r="M6" s="67">
        <f ca="1">INDEX(INDIVIDUEL!$B$1:$Z$1000,MATCH(INDIRECT("B"&amp;ROW()),INDIVIDUEL!$C$1:$C$1000,0),13)</f>
        <v>-115</v>
      </c>
      <c r="N6" s="45">
        <f ca="1">INDEX(INDIVIDUEL!$B$1:$Z$1000,MATCH(INDIRECT("B"&amp;ROW()),INDIVIDUEL!$C$1:$C$1000,0),14)</f>
        <v>108</v>
      </c>
      <c r="O6" s="67">
        <f ca="1">INDEX(INDIVIDUEL!$B$1:$Z$1000,MATCH(INDIRECT("B"&amp;ROW()),INDIVIDUEL!$C$1:$C$1000,0),15)</f>
        <v>135</v>
      </c>
      <c r="P6" s="67">
        <f ca="1">INDEX(INDIVIDUEL!$B$1:$Z$1000,MATCH(INDIRECT("B"&amp;ROW()),INDIVIDUEL!$C$1:$C$1000,0),16)</f>
        <v>-145</v>
      </c>
      <c r="Q6" s="67">
        <f ca="1">INDEX(INDIVIDUEL!$B$1:$Z$1000,MATCH(INDIRECT("B"&amp;ROW()),INDIVIDUEL!$C$1:$C$1000,0),17)</f>
        <v>0</v>
      </c>
      <c r="R6" s="45">
        <f ca="1">INDEX(INDIVIDUEL!$B$1:$Z$1000,MATCH(INDIRECT("B"&amp;ROW()),INDIVIDUEL!$C$1:$C$1000,0),18)</f>
        <v>135</v>
      </c>
      <c r="S6" s="46">
        <f ca="1">INDEX(INDIVIDUEL!$B$1:$Z$1000,MATCH(INDIRECT("B"&amp;ROW()),INDIVIDUEL!$C$1:$C$1000,0),19)</f>
        <v>243</v>
      </c>
      <c r="T6" s="68" t="str">
        <f ca="1">INDEX(INDIVIDUEL!$B$1:$Z$1000,MATCH(INDIRECT("B"&amp;ROW()),INDIVIDUEL!$C$1:$C$1000,0),20)</f>
        <v>FED + 18</v>
      </c>
      <c r="U6" s="68" t="str">
        <f ca="1">INDEX(INDIVIDUEL!$B$1:$Z$1000,MATCH(INDIRECT("B"&amp;ROW()),INDIVIDUEL!$C$1:$C$1000,0),21)</f>
        <v>U20 M89</v>
      </c>
      <c r="V6" s="69">
        <f ca="1">INDEX(INDIVIDUEL!$B$1:$Z$1000,MATCH(INDIRECT("B"&amp;ROW()),INDIVIDUEL!$C$1:$C$1000,0),22)</f>
        <v>290.64546985331526</v>
      </c>
      <c r="W6" s="130"/>
      <c r="X6" s="130"/>
    </row>
    <row r="7" spans="1:24" ht="23.25" thickBot="1">
      <c r="A7" s="131"/>
      <c r="B7" s="65" t="s">
        <v>270</v>
      </c>
      <c r="C7" s="63"/>
      <c r="D7" s="64" t="str">
        <f ca="1">INDEX(INDIVIDUEL!$B$1:$Z$1000,MATCH(INDIRECT("B"&amp;ROW()),INDIVIDUEL!$C$1:$C$1000,0),4)</f>
        <v>H</v>
      </c>
      <c r="E7" s="42" t="str">
        <f ca="1">INDEX(INDIVIDUEL!$B$1:$Z$1000,MATCH(INDIRECT("B"&amp;ROW()),INDIVIDUEL!$C$1:$C$1000,0),5)</f>
        <v>COUE</v>
      </c>
      <c r="F7" s="43" t="str">
        <f ca="1">INDEX(INDIVIDUEL!$B$1:$Z$1000,MATCH(INDIRECT("B"&amp;ROW()),INDIVIDUEL!$C$1:$C$1000,0),6)</f>
        <v>BASTIEN</v>
      </c>
      <c r="G7" s="59">
        <f ca="1">INDEX(INDIVIDUEL!$B$1:$Z$1000,MATCH(INDIRECT("B"&amp;ROW()),INDIVIDUEL!$C$1:$C$1000,0),7)</f>
        <v>1998</v>
      </c>
      <c r="H7" s="61" t="str">
        <f ca="1">INDEX(INDIVIDUEL!$B$1:$Z$1000,MATCH(INDIRECT("B"&amp;ROW()),INDIVIDUEL!$C$1:$C$1000,0),8)</f>
        <v>A.S. Université Franche-Comté</v>
      </c>
      <c r="I7" s="60" t="str">
        <f ca="1">INDEX(INDIVIDUEL!$B$1:$Z$1000,MATCH(INDIRECT("B"&amp;ROW()),INDIVIDUEL!$C$1:$C$1000,0),9)</f>
        <v>FRA</v>
      </c>
      <c r="J7" s="44">
        <f ca="1">INDEX(INDIVIDUEL!$B$1:$Z$1000,MATCH(INDIRECT("B"&amp;ROW()),INDIVIDUEL!$C$1:$C$1000,0),10)</f>
        <v>71.8</v>
      </c>
      <c r="K7" s="67">
        <f ca="1">INDEX(INDIVIDUEL!$B$1:$Z$1000,MATCH(INDIRECT("B"&amp;ROW()),INDIVIDUEL!$C$1:$C$1000,0),11)</f>
        <v>95</v>
      </c>
      <c r="L7" s="67">
        <f ca="1">INDEX(INDIVIDUEL!$B$1:$Z$1000,MATCH(INDIRECT("B"&amp;ROW()),INDIVIDUEL!$C$1:$C$1000,0),12)</f>
        <v>101</v>
      </c>
      <c r="M7" s="67">
        <f ca="1">INDEX(INDIVIDUEL!$B$1:$Z$1000,MATCH(INDIRECT("B"&amp;ROW()),INDIVIDUEL!$C$1:$C$1000,0),13)</f>
        <v>-105</v>
      </c>
      <c r="N7" s="45">
        <f ca="1">INDEX(INDIVIDUEL!$B$1:$Z$1000,MATCH(INDIRECT("B"&amp;ROW()),INDIVIDUEL!$C$1:$C$1000,0),14)</f>
        <v>101</v>
      </c>
      <c r="O7" s="67">
        <f ca="1">INDEX(INDIVIDUEL!$B$1:$Z$1000,MATCH(INDIRECT("B"&amp;ROW()),INDIVIDUEL!$C$1:$C$1000,0),15)</f>
        <v>117</v>
      </c>
      <c r="P7" s="67">
        <f ca="1">INDEX(INDIVIDUEL!$B$1:$Z$1000,MATCH(INDIRECT("B"&amp;ROW()),INDIVIDUEL!$C$1:$C$1000,0),16)</f>
        <v>-121</v>
      </c>
      <c r="Q7" s="67">
        <f ca="1">INDEX(INDIVIDUEL!$B$1:$Z$1000,MATCH(INDIRECT("B"&amp;ROW()),INDIVIDUEL!$C$1:$C$1000,0),17)</f>
        <v>-122</v>
      </c>
      <c r="R7" s="45">
        <f ca="1">INDEX(INDIVIDUEL!$B$1:$Z$1000,MATCH(INDIRECT("B"&amp;ROW()),INDIVIDUEL!$C$1:$C$1000,0),18)</f>
        <v>117</v>
      </c>
      <c r="S7" s="46">
        <f ca="1">INDEX(INDIVIDUEL!$B$1:$Z$1000,MATCH(INDIRECT("B"&amp;ROW()),INDIVIDUEL!$C$1:$C$1000,0),19)</f>
        <v>218</v>
      </c>
      <c r="T7" s="68" t="str">
        <f ca="1">INDEX(INDIVIDUEL!$B$1:$Z$1000,MATCH(INDIRECT("B"&amp;ROW()),INDIVIDUEL!$C$1:$C$1000,0),20)</f>
        <v>IRG + 8</v>
      </c>
      <c r="U7" s="68" t="str">
        <f ca="1">INDEX(INDIVIDUEL!$B$1:$Z$1000,MATCH(INDIRECT("B"&amp;ROW()),INDIVIDUEL!$C$1:$C$1000,0),21)</f>
        <v>SE M73</v>
      </c>
      <c r="V7" s="69">
        <f ca="1">INDEX(INDIVIDUEL!$B$1:$Z$1000,MATCH(INDIRECT("B"&amp;ROW()),INDIVIDUEL!$C$1:$C$1000,0),22)</f>
        <v>282.9814503877095</v>
      </c>
      <c r="W7" s="131"/>
      <c r="X7" s="131"/>
    </row>
    <row r="8" spans="1:24" ht="23.25" thickBot="1">
      <c r="A8" s="129" t="s">
        <v>377</v>
      </c>
      <c r="B8" s="65" t="s">
        <v>192</v>
      </c>
      <c r="C8" s="63"/>
      <c r="D8" s="64" t="str">
        <f ca="1">INDEX(INDIVIDUEL!$B$1:$Z$1000,MATCH(INDIRECT("B"&amp;ROW()),INDIVIDUEL!$C$1:$C$1000,0),4)</f>
        <v>F</v>
      </c>
      <c r="E8" s="42" t="str">
        <f ca="1">INDEX(INDIVIDUEL!$B$1:$Z$1000,MATCH(INDIRECT("B"&amp;ROW()),INDIVIDUEL!$C$1:$C$1000,0),5)</f>
        <v>HERANNEY</v>
      </c>
      <c r="F8" s="43" t="str">
        <f ca="1">INDEX(INDIVIDUEL!$B$1:$Z$1000,MATCH(INDIRECT("B"&amp;ROW()),INDIVIDUEL!$C$1:$C$1000,0),6)</f>
        <v>CAMILLE</v>
      </c>
      <c r="G8" s="59">
        <f ca="1">INDEX(INDIVIDUEL!$B$1:$Z$1000,MATCH(INDIRECT("B"&amp;ROW()),INDIVIDUEL!$C$1:$C$1000,0),7)</f>
        <v>1997</v>
      </c>
      <c r="H8" s="61" t="str">
        <f ca="1">INDEX(INDIVIDUEL!$B$1:$Z$1000,MATCH(INDIRECT("B"&amp;ROW()),INDIVIDUEL!$C$1:$C$1000,0),8)</f>
        <v>A.S. Université Franche-Comté</v>
      </c>
      <c r="I8" s="60" t="str">
        <f ca="1">INDEX(INDIVIDUEL!$B$1:$Z$1000,MATCH(INDIRECT("B"&amp;ROW()),INDIVIDUEL!$C$1:$C$1000,0),9)</f>
        <v>FRA</v>
      </c>
      <c r="J8" s="44">
        <f ca="1">INDEX(INDIVIDUEL!$B$1:$Z$1000,MATCH(INDIRECT("B"&amp;ROW()),INDIVIDUEL!$C$1:$C$1000,0),10)</f>
        <v>58.1</v>
      </c>
      <c r="K8" s="67">
        <f ca="1">INDEX(INDIVIDUEL!$B$1:$Z$1000,MATCH(INDIRECT("B"&amp;ROW()),INDIVIDUEL!$C$1:$C$1000,0),11)</f>
        <v>47</v>
      </c>
      <c r="L8" s="67">
        <f ca="1">INDEX(INDIVIDUEL!$B$1:$Z$1000,MATCH(INDIRECT("B"&amp;ROW()),INDIVIDUEL!$C$1:$C$1000,0),12)</f>
        <v>50</v>
      </c>
      <c r="M8" s="67">
        <f ca="1">INDEX(INDIVIDUEL!$B$1:$Z$1000,MATCH(INDIRECT("B"&amp;ROW()),INDIVIDUEL!$C$1:$C$1000,0),13)</f>
        <v>-53</v>
      </c>
      <c r="N8" s="45">
        <f ca="1">INDEX(INDIVIDUEL!$B$1:$Z$1000,MATCH(INDIRECT("B"&amp;ROW()),INDIVIDUEL!$C$1:$C$1000,0),14)</f>
        <v>50</v>
      </c>
      <c r="O8" s="67">
        <f ca="1">INDEX(INDIVIDUEL!$B$1:$Z$1000,MATCH(INDIRECT("B"&amp;ROW()),INDIVIDUEL!$C$1:$C$1000,0),15)</f>
        <v>68</v>
      </c>
      <c r="P8" s="67">
        <f ca="1">INDEX(INDIVIDUEL!$B$1:$Z$1000,MATCH(INDIRECT("B"&amp;ROW()),INDIVIDUEL!$C$1:$C$1000,0),16)</f>
        <v>72</v>
      </c>
      <c r="Q8" s="67">
        <f ca="1">INDEX(INDIVIDUEL!$B$1:$Z$1000,MATCH(INDIRECT("B"&amp;ROW()),INDIVIDUEL!$C$1:$C$1000,0),17)</f>
        <v>-75</v>
      </c>
      <c r="R8" s="45">
        <f ca="1">INDEX(INDIVIDUEL!$B$1:$Z$1000,MATCH(INDIRECT("B"&amp;ROW()),INDIVIDUEL!$C$1:$C$1000,0),18)</f>
        <v>72</v>
      </c>
      <c r="S8" s="46">
        <f ca="1">INDEX(INDIVIDUEL!$B$1:$Z$1000,MATCH(INDIRECT("B"&amp;ROW()),INDIVIDUEL!$C$1:$C$1000,0),19)</f>
        <v>122</v>
      </c>
      <c r="T8" s="68" t="str">
        <f ca="1">INDEX(INDIVIDUEL!$B$1:$Z$1000,MATCH(INDIRECT("B"&amp;ROW()),INDIVIDUEL!$C$1:$C$1000,0),20)</f>
        <v>IRG + 15</v>
      </c>
      <c r="U8" s="68" t="str">
        <f ca="1">INDEX(INDIVIDUEL!$B$1:$Z$1000,MATCH(INDIRECT("B"&amp;ROW()),INDIVIDUEL!$C$1:$C$1000,0),21)</f>
        <v>SE F59</v>
      </c>
      <c r="V8" s="69">
        <f ca="1">INDEX(INDIVIDUEL!$B$1:$Z$1000,MATCH(INDIRECT("B"&amp;ROW()),INDIVIDUEL!$C$1:$C$1000,0),22)</f>
        <v>168.3190792211739</v>
      </c>
      <c r="W8" s="129">
        <f ca="1">_xlfn.IFERROR(SUM(INDIRECT("V"&amp;ROW()):INDIRECT("V"&amp;ROW()+2)),"")</f>
        <v>656.5187781229531</v>
      </c>
      <c r="X8" s="129">
        <f>_xlfn.IFERROR(RANK(W8,W:W,0),"")</f>
        <v>3</v>
      </c>
    </row>
    <row r="9" spans="1:24" ht="23.25" thickBot="1">
      <c r="A9" s="130"/>
      <c r="B9" s="65" t="s">
        <v>238</v>
      </c>
      <c r="C9" s="63"/>
      <c r="D9" s="64" t="str">
        <f ca="1">INDEX(INDIVIDUEL!$B$1:$Z$1000,MATCH(INDIRECT("B"&amp;ROW()),INDIVIDUEL!$C$1:$C$1000,0),4)</f>
        <v>H</v>
      </c>
      <c r="E9" s="42" t="str">
        <f ca="1">INDEX(INDIVIDUEL!$B$1:$Z$1000,MATCH(INDIRECT("B"&amp;ROW()),INDIVIDUEL!$C$1:$C$1000,0),5)</f>
        <v>CREVOISIER</v>
      </c>
      <c r="F9" s="43" t="str">
        <f ca="1">INDEX(INDIVIDUEL!$B$1:$Z$1000,MATCH(INDIRECT("B"&amp;ROW()),INDIVIDUEL!$C$1:$C$1000,0),6)</f>
        <v>LUCIEN</v>
      </c>
      <c r="G9" s="59">
        <f ca="1">INDEX(INDIVIDUEL!$B$1:$Z$1000,MATCH(INDIRECT("B"&amp;ROW()),INDIVIDUEL!$C$1:$C$1000,0),7)</f>
        <v>1991</v>
      </c>
      <c r="H9" s="61" t="str">
        <f ca="1">INDEX(INDIVIDUEL!$B$1:$Z$1000,MATCH(INDIRECT("B"&amp;ROW()),INDIVIDUEL!$C$1:$C$1000,0),8)</f>
        <v>A.S.Université Franche-Comté</v>
      </c>
      <c r="I9" s="60" t="str">
        <f ca="1">INDEX(INDIVIDUEL!$B$1:$Z$1000,MATCH(INDIRECT("B"&amp;ROW()),INDIVIDUEL!$C$1:$C$1000,0),9)</f>
        <v>FRA</v>
      </c>
      <c r="J9" s="44">
        <f ca="1">INDEX(INDIVIDUEL!$B$1:$Z$1000,MATCH(INDIRECT("B"&amp;ROW()),INDIVIDUEL!$C$1:$C$1000,0),10)</f>
        <v>61</v>
      </c>
      <c r="K9" s="67">
        <f ca="1">INDEX(INDIVIDUEL!$B$1:$Z$1000,MATCH(INDIRECT("B"&amp;ROW()),INDIVIDUEL!$C$1:$C$1000,0),11)</f>
        <v>93</v>
      </c>
      <c r="L9" s="67">
        <f ca="1">INDEX(INDIVIDUEL!$B$1:$Z$1000,MATCH(INDIRECT("B"&amp;ROW()),INDIVIDUEL!$C$1:$C$1000,0),12)</f>
        <v>-101</v>
      </c>
      <c r="M9" s="67">
        <f ca="1">INDEX(INDIVIDUEL!$B$1:$Z$1000,MATCH(INDIRECT("B"&amp;ROW()),INDIVIDUEL!$C$1:$C$1000,0),13)</f>
        <v>-104</v>
      </c>
      <c r="N9" s="45">
        <f ca="1">INDEX(INDIVIDUEL!$B$1:$Z$1000,MATCH(INDIRECT("B"&amp;ROW()),INDIVIDUEL!$C$1:$C$1000,0),14)</f>
        <v>93</v>
      </c>
      <c r="O9" s="67">
        <f ca="1">INDEX(INDIVIDUEL!$B$1:$Z$1000,MATCH(INDIRECT("B"&amp;ROW()),INDIVIDUEL!$C$1:$C$1000,0),15)</f>
        <v>95</v>
      </c>
      <c r="P9" s="67">
        <f ca="1">INDEX(INDIVIDUEL!$B$1:$Z$1000,MATCH(INDIRECT("B"&amp;ROW()),INDIVIDUEL!$C$1:$C$1000,0),16)</f>
        <v>-122</v>
      </c>
      <c r="Q9" s="67">
        <f ca="1">INDEX(INDIVIDUEL!$B$1:$Z$1000,MATCH(INDIRECT("B"&amp;ROW()),INDIVIDUEL!$C$1:$C$1000,0),17)</f>
        <v>-131</v>
      </c>
      <c r="R9" s="45">
        <f ca="1">INDEX(INDIVIDUEL!$B$1:$Z$1000,MATCH(INDIRECT("B"&amp;ROW()),INDIVIDUEL!$C$1:$C$1000,0),18)</f>
        <v>95</v>
      </c>
      <c r="S9" s="46">
        <f ca="1">INDEX(INDIVIDUEL!$B$1:$Z$1000,MATCH(INDIRECT("B"&amp;ROW()),INDIVIDUEL!$C$1:$C$1000,0),19)</f>
        <v>188</v>
      </c>
      <c r="T9" s="68" t="str">
        <f ca="1">INDEX(INDIVIDUEL!$B$1:$Z$1000,MATCH(INDIRECT("B"&amp;ROW()),INDIVIDUEL!$C$1:$C$1000,0),20)</f>
        <v>IRG + 18</v>
      </c>
      <c r="U9" s="68" t="str">
        <f ca="1">INDEX(INDIVIDUEL!$B$1:$Z$1000,MATCH(INDIRECT("B"&amp;ROW()),INDIVIDUEL!$C$1:$C$1000,0),21)</f>
        <v>SE M61</v>
      </c>
      <c r="V9" s="69">
        <f ca="1">INDEX(INDIVIDUEL!$B$1:$Z$1000,MATCH(INDIRECT("B"&amp;ROW()),INDIVIDUEL!$C$1:$C$1000,0),22)</f>
        <v>270.7420159101313</v>
      </c>
      <c r="W9" s="130"/>
      <c r="X9" s="130"/>
    </row>
    <row r="10" spans="1:24" ht="23.25" thickBot="1">
      <c r="A10" s="131"/>
      <c r="B10" s="65" t="s">
        <v>241</v>
      </c>
      <c r="C10" s="63"/>
      <c r="D10" s="64" t="str">
        <f ca="1">INDEX(INDIVIDUEL!$B$1:$Z$1000,MATCH(INDIRECT("B"&amp;ROW()),INDIVIDUEL!$C$1:$C$1000,0),4)</f>
        <v>H</v>
      </c>
      <c r="E10" s="42" t="str">
        <f ca="1">INDEX(INDIVIDUEL!$B$1:$Z$1000,MATCH(INDIRECT("B"&amp;ROW()),INDIVIDUEL!$C$1:$C$1000,0),5)</f>
        <v>VADAM</v>
      </c>
      <c r="F10" s="43" t="str">
        <f ca="1">INDEX(INDIVIDUEL!$B$1:$Z$1000,MATCH(INDIRECT("B"&amp;ROW()),INDIVIDUEL!$C$1:$C$1000,0),6)</f>
        <v>YVAN</v>
      </c>
      <c r="G10" s="59">
        <f ca="1">INDEX(INDIVIDUEL!$B$1:$Z$1000,MATCH(INDIRECT("B"&amp;ROW()),INDIVIDUEL!$C$1:$C$1000,0),7)</f>
        <v>1998</v>
      </c>
      <c r="H10" s="61" t="str">
        <f ca="1">INDEX(INDIVIDUEL!$B$1:$Z$1000,MATCH(INDIRECT("B"&amp;ROW()),INDIVIDUEL!$C$1:$C$1000,0),8)</f>
        <v>A.S. Université Franche-Comté</v>
      </c>
      <c r="I10" s="60" t="str">
        <f ca="1">INDEX(INDIVIDUEL!$B$1:$Z$1000,MATCH(INDIRECT("B"&amp;ROW()),INDIVIDUEL!$C$1:$C$1000,0),9)</f>
        <v>FRA</v>
      </c>
      <c r="J10" s="44">
        <f ca="1">INDEX(INDIVIDUEL!$B$1:$Z$1000,MATCH(INDIRECT("B"&amp;ROW()),INDIVIDUEL!$C$1:$C$1000,0),10)</f>
        <v>61</v>
      </c>
      <c r="K10" s="67">
        <f ca="1">INDEX(INDIVIDUEL!$B$1:$Z$1000,MATCH(INDIRECT("B"&amp;ROW()),INDIVIDUEL!$C$1:$C$1000,0),11)</f>
        <v>-75</v>
      </c>
      <c r="L10" s="67">
        <f ca="1">INDEX(INDIVIDUEL!$B$1:$Z$1000,MATCH(INDIRECT("B"&amp;ROW()),INDIVIDUEL!$C$1:$C$1000,0),12)</f>
        <v>75</v>
      </c>
      <c r="M10" s="67">
        <f ca="1">INDEX(INDIVIDUEL!$B$1:$Z$1000,MATCH(INDIRECT("B"&amp;ROW()),INDIVIDUEL!$C$1:$C$1000,0),13)</f>
        <v>-80</v>
      </c>
      <c r="N10" s="45">
        <f ca="1">INDEX(INDIVIDUEL!$B$1:$Z$1000,MATCH(INDIRECT("B"&amp;ROW()),INDIVIDUEL!$C$1:$C$1000,0),14)</f>
        <v>75</v>
      </c>
      <c r="O10" s="67">
        <f ca="1">INDEX(INDIVIDUEL!$B$1:$Z$1000,MATCH(INDIRECT("B"&amp;ROW()),INDIVIDUEL!$C$1:$C$1000,0),15)</f>
        <v>76</v>
      </c>
      <c r="P10" s="67">
        <f ca="1">INDEX(INDIVIDUEL!$B$1:$Z$1000,MATCH(INDIRECT("B"&amp;ROW()),INDIVIDUEL!$C$1:$C$1000,0),16)</f>
        <v>0</v>
      </c>
      <c r="Q10" s="67">
        <f ca="1">INDEX(INDIVIDUEL!$B$1:$Z$1000,MATCH(INDIRECT("B"&amp;ROW()),INDIVIDUEL!$C$1:$C$1000,0),17)</f>
        <v>0</v>
      </c>
      <c r="R10" s="45">
        <f ca="1">INDEX(INDIVIDUEL!$B$1:$Z$1000,MATCH(INDIRECT("B"&amp;ROW()),INDIVIDUEL!$C$1:$C$1000,0),18)</f>
        <v>76</v>
      </c>
      <c r="S10" s="46">
        <f ca="1">INDEX(INDIVIDUEL!$B$1:$Z$1000,MATCH(INDIRECT("B"&amp;ROW()),INDIVIDUEL!$C$1:$C$1000,0),19)</f>
        <v>151</v>
      </c>
      <c r="T10" s="68" t="str">
        <f ca="1">INDEX(INDIVIDUEL!$B$1:$Z$1000,MATCH(INDIRECT("B"&amp;ROW()),INDIVIDUEL!$C$1:$C$1000,0),20)</f>
        <v>REG + 1</v>
      </c>
      <c r="U10" s="68" t="str">
        <f ca="1">INDEX(INDIVIDUEL!$B$1:$Z$1000,MATCH(INDIRECT("B"&amp;ROW()),INDIVIDUEL!$C$1:$C$1000,0),21)</f>
        <v>SE M61</v>
      </c>
      <c r="V10" s="69">
        <f ca="1">INDEX(INDIVIDUEL!$B$1:$Z$1000,MATCH(INDIRECT("B"&amp;ROW()),INDIVIDUEL!$C$1:$C$1000,0),22)</f>
        <v>217.457682991648</v>
      </c>
      <c r="W10" s="131"/>
      <c r="X10" s="131"/>
    </row>
    <row r="11" spans="1:24" ht="23.25" thickBot="1">
      <c r="A11" s="129" t="s">
        <v>378</v>
      </c>
      <c r="B11" s="65" t="s">
        <v>235</v>
      </c>
      <c r="C11" s="63"/>
      <c r="D11" s="64" t="str">
        <f ca="1">INDEX(INDIVIDUEL!$B$1:$Z$1000,MATCH(INDIRECT("B"&amp;ROW()),INDIVIDUEL!$C$1:$C$1000,0),4)</f>
        <v>F</v>
      </c>
      <c r="E11" s="42" t="str">
        <f ca="1">INDEX(INDIVIDUEL!$B$1:$Z$1000,MATCH(INDIRECT("B"&amp;ROW()),INDIVIDUEL!$C$1:$C$1000,0),5)</f>
        <v>PHILIPPON</v>
      </c>
      <c r="F11" s="43" t="str">
        <f ca="1">INDEX(INDIVIDUEL!$B$1:$Z$1000,MATCH(INDIRECT("B"&amp;ROW()),INDIVIDUEL!$C$1:$C$1000,0),6)</f>
        <v>LOUISE</v>
      </c>
      <c r="G11" s="59">
        <f ca="1">INDEX(INDIVIDUEL!$B$1:$Z$1000,MATCH(INDIRECT("B"&amp;ROW()),INDIVIDUEL!$C$1:$C$1000,0),7)</f>
        <v>1997</v>
      </c>
      <c r="H11" s="61" t="str">
        <f ca="1">INDEX(INDIVIDUEL!$B$1:$Z$1000,MATCH(INDIRECT("B"&amp;ROW()),INDIVIDUEL!$C$1:$C$1000,0),8)</f>
        <v>A.S.Université Franche-Comté</v>
      </c>
      <c r="I11" s="60" t="str">
        <f ca="1">INDEX(INDIVIDUEL!$B$1:$Z$1000,MATCH(INDIRECT("B"&amp;ROW()),INDIVIDUEL!$C$1:$C$1000,0),9)</f>
        <v>FRA</v>
      </c>
      <c r="J11" s="44">
        <f ca="1">INDEX(INDIVIDUEL!$B$1:$Z$1000,MATCH(INDIRECT("B"&amp;ROW()),INDIVIDUEL!$C$1:$C$1000,0),10)</f>
        <v>75.4</v>
      </c>
      <c r="K11" s="67">
        <f ca="1">INDEX(INDIVIDUEL!$B$1:$Z$1000,MATCH(INDIRECT("B"&amp;ROW()),INDIVIDUEL!$C$1:$C$1000,0),11)</f>
        <v>48</v>
      </c>
      <c r="L11" s="67">
        <f ca="1">INDEX(INDIVIDUEL!$B$1:$Z$1000,MATCH(INDIRECT("B"&amp;ROW()),INDIVIDUEL!$C$1:$C$1000,0),12)</f>
        <v>51</v>
      </c>
      <c r="M11" s="67">
        <f ca="1">INDEX(INDIVIDUEL!$B$1:$Z$1000,MATCH(INDIRECT("B"&amp;ROW()),INDIVIDUEL!$C$1:$C$1000,0),13)</f>
        <v>-54</v>
      </c>
      <c r="N11" s="45">
        <f ca="1">INDEX(INDIVIDUEL!$B$1:$Z$1000,MATCH(INDIRECT("B"&amp;ROW()),INDIVIDUEL!$C$1:$C$1000,0),14)</f>
        <v>51</v>
      </c>
      <c r="O11" s="67">
        <f ca="1">INDEX(INDIVIDUEL!$B$1:$Z$1000,MATCH(INDIRECT("B"&amp;ROW()),INDIVIDUEL!$C$1:$C$1000,0),15)</f>
        <v>58</v>
      </c>
      <c r="P11" s="67">
        <f ca="1">INDEX(INDIVIDUEL!$B$1:$Z$1000,MATCH(INDIRECT("B"&amp;ROW()),INDIVIDUEL!$C$1:$C$1000,0),16)</f>
        <v>-61</v>
      </c>
      <c r="Q11" s="67">
        <f ca="1">INDEX(INDIVIDUEL!$B$1:$Z$1000,MATCH(INDIRECT("B"&amp;ROW()),INDIVIDUEL!$C$1:$C$1000,0),17)</f>
        <v>63</v>
      </c>
      <c r="R11" s="45">
        <f ca="1">INDEX(INDIVIDUEL!$B$1:$Z$1000,MATCH(INDIRECT("B"&amp;ROW()),INDIVIDUEL!$C$1:$C$1000,0),18)</f>
        <v>63</v>
      </c>
      <c r="S11" s="46">
        <f ca="1">INDEX(INDIVIDUEL!$B$1:$Z$1000,MATCH(INDIRECT("B"&amp;ROW()),INDIVIDUEL!$C$1:$C$1000,0),19)</f>
        <v>114</v>
      </c>
      <c r="T11" s="68" t="str">
        <f ca="1">INDEX(INDIVIDUEL!$B$1:$Z$1000,MATCH(INDIRECT("B"&amp;ROW()),INDIVIDUEL!$C$1:$C$1000,0),20)</f>
        <v>DPT + 19</v>
      </c>
      <c r="U11" s="68" t="str">
        <f ca="1">INDEX(INDIVIDUEL!$B$1:$Z$1000,MATCH(INDIRECT("B"&amp;ROW()),INDIVIDUEL!$C$1:$C$1000,0),21)</f>
        <v>SE F76</v>
      </c>
      <c r="V11" s="69">
        <f ca="1">INDEX(INDIVIDUEL!$B$1:$Z$1000,MATCH(INDIRECT("B"&amp;ROW()),INDIVIDUEL!$C$1:$C$1000,0),22)</f>
        <v>135.45620472630847</v>
      </c>
      <c r="W11" s="129">
        <f ca="1">_xlfn.IFERROR(SUM(INDIRECT("V"&amp;ROW()):INDIRECT("V"&amp;ROW()+2)),"")</f>
        <v>418.81811839696104</v>
      </c>
      <c r="X11" s="129">
        <f>_xlfn.IFERROR(RANK(W11,W:W,0),"")</f>
        <v>9</v>
      </c>
    </row>
    <row r="12" spans="1:24" ht="23.25" thickBot="1">
      <c r="A12" s="130"/>
      <c r="B12" s="65" t="s">
        <v>267</v>
      </c>
      <c r="C12" s="63"/>
      <c r="D12" s="64" t="str">
        <f ca="1">INDEX(INDIVIDUEL!$B$1:$Z$1000,MATCH(INDIRECT("B"&amp;ROW()),INDIVIDUEL!$C$1:$C$1000,0),4)</f>
        <v>H</v>
      </c>
      <c r="E12" s="42" t="str">
        <f ca="1">INDEX(INDIVIDUEL!$B$1:$Z$1000,MATCH(INDIRECT("B"&amp;ROW()),INDIVIDUEL!$C$1:$C$1000,0),5)</f>
        <v>MULLER</v>
      </c>
      <c r="F12" s="43" t="str">
        <f ca="1">INDEX(INDIVIDUEL!$B$1:$Z$1000,MATCH(INDIRECT("B"&amp;ROW()),INDIVIDUEL!$C$1:$C$1000,0),6)</f>
        <v>JOHN</v>
      </c>
      <c r="G12" s="59">
        <f ca="1">INDEX(INDIVIDUEL!$B$1:$Z$1000,MATCH(INDIRECT("B"&amp;ROW()),INDIVIDUEL!$C$1:$C$1000,0),7)</f>
        <v>1998</v>
      </c>
      <c r="H12" s="61" t="str">
        <f ca="1">INDEX(INDIVIDUEL!$B$1:$Z$1000,MATCH(INDIRECT("B"&amp;ROW()),INDIVIDUEL!$C$1:$C$1000,0),8)</f>
        <v>A.S. Université Franche-Comté</v>
      </c>
      <c r="I12" s="60" t="str">
        <f ca="1">INDEX(INDIVIDUEL!$B$1:$Z$1000,MATCH(INDIRECT("B"&amp;ROW()),INDIVIDUEL!$C$1:$C$1000,0),9)</f>
        <v>FRA</v>
      </c>
      <c r="J12" s="44">
        <f ca="1">INDEX(INDIVIDUEL!$B$1:$Z$1000,MATCH(INDIRECT("B"&amp;ROW()),INDIVIDUEL!$C$1:$C$1000,0),10)</f>
        <v>72.2</v>
      </c>
      <c r="K12" s="67">
        <f ca="1">INDEX(INDIVIDUEL!$B$1:$Z$1000,MATCH(INDIRECT("B"&amp;ROW()),INDIVIDUEL!$C$1:$C$1000,0),11)</f>
        <v>90</v>
      </c>
      <c r="L12" s="67">
        <f ca="1">INDEX(INDIVIDUEL!$B$1:$Z$1000,MATCH(INDIRECT("B"&amp;ROW()),INDIVIDUEL!$C$1:$C$1000,0),12)</f>
        <v>95</v>
      </c>
      <c r="M12" s="67">
        <f ca="1">INDEX(INDIVIDUEL!$B$1:$Z$1000,MATCH(INDIRECT("B"&amp;ROW()),INDIVIDUEL!$C$1:$C$1000,0),13)</f>
        <v>-100</v>
      </c>
      <c r="N12" s="45">
        <f ca="1">INDEX(INDIVIDUEL!$B$1:$Z$1000,MATCH(INDIRECT("B"&amp;ROW()),INDIVIDUEL!$C$1:$C$1000,0),14)</f>
        <v>95</v>
      </c>
      <c r="O12" s="67">
        <f ca="1">INDEX(INDIVIDUEL!$B$1:$Z$1000,MATCH(INDIRECT("B"&amp;ROW()),INDIVIDUEL!$C$1:$C$1000,0),15)</f>
        <v>117</v>
      </c>
      <c r="P12" s="67">
        <f ca="1">INDEX(INDIVIDUEL!$B$1:$Z$1000,MATCH(INDIRECT("B"&amp;ROW()),INDIVIDUEL!$C$1:$C$1000,0),16)</f>
        <v>-124</v>
      </c>
      <c r="Q12" s="67">
        <f ca="1">INDEX(INDIVIDUEL!$B$1:$Z$1000,MATCH(INDIRECT("B"&amp;ROW()),INDIVIDUEL!$C$1:$C$1000,0),17)</f>
        <v>124</v>
      </c>
      <c r="R12" s="45">
        <f ca="1">INDEX(INDIVIDUEL!$B$1:$Z$1000,MATCH(INDIRECT("B"&amp;ROW()),INDIVIDUEL!$C$1:$C$1000,0),18)</f>
        <v>124</v>
      </c>
      <c r="S12" s="46">
        <f ca="1">INDEX(INDIVIDUEL!$B$1:$Z$1000,MATCH(INDIRECT("B"&amp;ROW()),INDIVIDUEL!$C$1:$C$1000,0),19)</f>
        <v>219</v>
      </c>
      <c r="T12" s="68" t="str">
        <f ca="1">INDEX(INDIVIDUEL!$B$1:$Z$1000,MATCH(INDIRECT("B"&amp;ROW()),INDIVIDUEL!$C$1:$C$1000,0),20)</f>
        <v>IRG + 9</v>
      </c>
      <c r="U12" s="68" t="str">
        <f ca="1">INDEX(INDIVIDUEL!$B$1:$Z$1000,MATCH(INDIRECT("B"&amp;ROW()),INDIVIDUEL!$C$1:$C$1000,0),21)</f>
        <v>SE M73</v>
      </c>
      <c r="V12" s="69">
        <f ca="1">INDEX(INDIVIDUEL!$B$1:$Z$1000,MATCH(INDIRECT("B"&amp;ROW()),INDIVIDUEL!$C$1:$C$1000,0),22)</f>
        <v>283.3619136706526</v>
      </c>
      <c r="W12" s="130"/>
      <c r="X12" s="130"/>
    </row>
    <row r="13" spans="1:24" ht="23.25" thickBot="1">
      <c r="A13" s="131"/>
      <c r="B13" s="65" t="s">
        <v>370</v>
      </c>
      <c r="C13" s="63"/>
      <c r="D13" s="64" t="str">
        <f ca="1">INDEX(INDIVIDUEL!$B$1:$Z$1000,MATCH(INDIRECT("B"&amp;ROW()),INDIVIDUEL!$C$1:$C$1000,0),4)</f>
        <v>H</v>
      </c>
      <c r="E13" s="42" t="str">
        <f ca="1">INDEX(INDIVIDUEL!$B$1:$Z$1000,MATCH(INDIRECT("B"&amp;ROW()),INDIVIDUEL!$C$1:$C$1000,0),5)</f>
        <v>DANE</v>
      </c>
      <c r="F13" s="43" t="str">
        <f ca="1">INDEX(INDIVIDUEL!$B$1:$Z$1000,MATCH(INDIRECT("B"&amp;ROW()),INDIVIDUEL!$C$1:$C$1000,0),6)</f>
        <v>JAAFAR</v>
      </c>
      <c r="G13" s="59">
        <f ca="1">INDEX(INDIVIDUEL!$B$1:$Z$1000,MATCH(INDIRECT("B"&amp;ROW()),INDIVIDUEL!$C$1:$C$1000,0),7)</f>
        <v>1994</v>
      </c>
      <c r="H13" s="61" t="str">
        <f ca="1">INDEX(INDIVIDUEL!$B$1:$Z$1000,MATCH(INDIRECT("B"&amp;ROW()),INDIVIDUEL!$C$1:$C$1000,0),8)</f>
        <v>A.S.Université Franche-Comté</v>
      </c>
      <c r="I13" s="60" t="str">
        <f ca="1">INDEX(INDIVIDUEL!$B$1:$Z$1000,MATCH(INDIRECT("B"&amp;ROW()),INDIVIDUEL!$C$1:$C$1000,0),9)</f>
        <v>FRA</v>
      </c>
      <c r="J13" s="44">
        <f ca="1">INDEX(INDIVIDUEL!$B$1:$Z$1000,MATCH(INDIRECT("B"&amp;ROW()),INDIVIDUEL!$C$1:$C$1000,0),10)</f>
        <v>106.9</v>
      </c>
      <c r="K13" s="67">
        <f ca="1">INDEX(INDIVIDUEL!$B$1:$Z$1000,MATCH(INDIRECT("B"&amp;ROW()),INDIVIDUEL!$C$1:$C$1000,0),11)</f>
        <v>-110</v>
      </c>
      <c r="L13" s="67">
        <f ca="1">INDEX(INDIVIDUEL!$B$1:$Z$1000,MATCH(INDIRECT("B"&amp;ROW()),INDIVIDUEL!$C$1:$C$1000,0),12)</f>
        <v>-110</v>
      </c>
      <c r="M13" s="67">
        <f ca="1">INDEX(INDIVIDUEL!$B$1:$Z$1000,MATCH(INDIRECT("B"&amp;ROW()),INDIVIDUEL!$C$1:$C$1000,0),13)</f>
        <v>-115</v>
      </c>
      <c r="N13" s="45">
        <f ca="1">INDEX(INDIVIDUEL!$B$1:$Z$1000,MATCH(INDIRECT("B"&amp;ROW()),INDIVIDUEL!$C$1:$C$1000,0),14)</f>
        <v>0</v>
      </c>
      <c r="O13" s="67">
        <f ca="1">INDEX(INDIVIDUEL!$B$1:$Z$1000,MATCH(INDIRECT("B"&amp;ROW()),INDIVIDUEL!$C$1:$C$1000,0),15)</f>
        <v>0</v>
      </c>
      <c r="P13" s="67">
        <f ca="1">INDEX(INDIVIDUEL!$B$1:$Z$1000,MATCH(INDIRECT("B"&amp;ROW()),INDIVIDUEL!$C$1:$C$1000,0),16)</f>
        <v>0</v>
      </c>
      <c r="Q13" s="67">
        <f ca="1">INDEX(INDIVIDUEL!$B$1:$Z$1000,MATCH(INDIRECT("B"&amp;ROW()),INDIVIDUEL!$C$1:$C$1000,0),17)</f>
        <v>0</v>
      </c>
      <c r="R13" s="45">
        <f ca="1">INDEX(INDIVIDUEL!$B$1:$Z$1000,MATCH(INDIRECT("B"&amp;ROW()),INDIVIDUEL!$C$1:$C$1000,0),18)</f>
        <v>0</v>
      </c>
      <c r="S13" s="46">
        <f ca="1">INDEX(INDIVIDUEL!$B$1:$Z$1000,MATCH(INDIRECT("B"&amp;ROW()),INDIVIDUEL!$C$1:$C$1000,0),19)</f>
        <v>0</v>
      </c>
      <c r="T13" s="68" t="str">
        <f ca="1">INDEX(INDIVIDUEL!$B$1:$Z$1000,MATCH(INDIRECT("B"&amp;ROW()),INDIVIDUEL!$C$1:$C$1000,0),20)</f>
        <v>DEB -165</v>
      </c>
      <c r="U13" s="68" t="str">
        <f ca="1">INDEX(INDIVIDUEL!$B$1:$Z$1000,MATCH(INDIRECT("B"&amp;ROW()),INDIVIDUEL!$C$1:$C$1000,0),21)</f>
        <v>SE M109</v>
      </c>
      <c r="V13" s="69">
        <f ca="1">INDEX(INDIVIDUEL!$B$1:$Z$1000,MATCH(INDIRECT("B"&amp;ROW()),INDIVIDUEL!$C$1:$C$1000,0),22)</f>
        <v>0</v>
      </c>
      <c r="W13" s="131"/>
      <c r="X13" s="131"/>
    </row>
    <row r="14" spans="1:24" ht="23.25" thickBot="1">
      <c r="A14" s="129" t="s">
        <v>379</v>
      </c>
      <c r="B14" s="65" t="s">
        <v>156</v>
      </c>
      <c r="C14" s="63"/>
      <c r="D14" s="64" t="str">
        <f ca="1">INDEX(INDIVIDUEL!$B$1:$Z$1000,MATCH(INDIRECT("B"&amp;ROW()),INDIVIDUEL!$C$1:$C$1000,0),4)</f>
        <v>F</v>
      </c>
      <c r="E14" s="42" t="str">
        <f ca="1">INDEX(INDIVIDUEL!$B$1:$Z$1000,MATCH(INDIRECT("B"&amp;ROW()),INDIVIDUEL!$C$1:$C$1000,0),5)</f>
        <v>CABON</v>
      </c>
      <c r="F14" s="43" t="str">
        <f ca="1">INDEX(INDIVIDUEL!$B$1:$Z$1000,MATCH(INDIRECT("B"&amp;ROW()),INDIVIDUEL!$C$1:$C$1000,0),6)</f>
        <v>OPHELIE</v>
      </c>
      <c r="G14" s="59">
        <f ca="1">INDEX(INDIVIDUEL!$B$1:$Z$1000,MATCH(INDIRECT("B"&amp;ROW()),INDIVIDUEL!$C$1:$C$1000,0),7)</f>
        <v>1997</v>
      </c>
      <c r="H14" s="61" t="str">
        <f ca="1">INDEX(INDIVIDUEL!$B$1:$Z$1000,MATCH(INDIRECT("B"&amp;ROW()),INDIVIDUEL!$C$1:$C$1000,0),8)</f>
        <v>Université de Picardie</v>
      </c>
      <c r="I14" s="60" t="str">
        <f ca="1">INDEX(INDIVIDUEL!$B$1:$Z$1000,MATCH(INDIRECT("B"&amp;ROW()),INDIVIDUEL!$C$1:$C$1000,0),9)</f>
        <v>FRA</v>
      </c>
      <c r="J14" s="44">
        <f ca="1">INDEX(INDIVIDUEL!$B$1:$Z$1000,MATCH(INDIRECT("B"&amp;ROW()),INDIVIDUEL!$C$1:$C$1000,0),10)</f>
        <v>54.3</v>
      </c>
      <c r="K14" s="67">
        <f ca="1">INDEX(INDIVIDUEL!$B$1:$Z$1000,MATCH(INDIRECT("B"&amp;ROW()),INDIVIDUEL!$C$1:$C$1000,0),11)</f>
        <v>64</v>
      </c>
      <c r="L14" s="67">
        <f ca="1">INDEX(INDIVIDUEL!$B$1:$Z$1000,MATCH(INDIRECT("B"&amp;ROW()),INDIVIDUEL!$C$1:$C$1000,0),12)</f>
        <v>67</v>
      </c>
      <c r="M14" s="67">
        <f ca="1">INDEX(INDIVIDUEL!$B$1:$Z$1000,MATCH(INDIRECT("B"&amp;ROW()),INDIVIDUEL!$C$1:$C$1000,0),13)</f>
        <v>-70</v>
      </c>
      <c r="N14" s="45">
        <f ca="1">INDEX(INDIVIDUEL!$B$1:$Z$1000,MATCH(INDIRECT("B"&amp;ROW()),INDIVIDUEL!$C$1:$C$1000,0),14)</f>
        <v>67</v>
      </c>
      <c r="O14" s="67">
        <f ca="1">INDEX(INDIVIDUEL!$B$1:$Z$1000,MATCH(INDIRECT("B"&amp;ROW()),INDIVIDUEL!$C$1:$C$1000,0),15)</f>
        <v>75</v>
      </c>
      <c r="P14" s="67">
        <f ca="1">INDEX(INDIVIDUEL!$B$1:$Z$1000,MATCH(INDIRECT("B"&amp;ROW()),INDIVIDUEL!$C$1:$C$1000,0),16)</f>
        <v>80</v>
      </c>
      <c r="Q14" s="67">
        <f ca="1">INDEX(INDIVIDUEL!$B$1:$Z$1000,MATCH(INDIRECT("B"&amp;ROW()),INDIVIDUEL!$C$1:$C$1000,0),17)</f>
        <v>83</v>
      </c>
      <c r="R14" s="45">
        <f ca="1">INDEX(INDIVIDUEL!$B$1:$Z$1000,MATCH(INDIRECT("B"&amp;ROW()),INDIVIDUEL!$C$1:$C$1000,0),18)</f>
        <v>83</v>
      </c>
      <c r="S14" s="46">
        <f ca="1">INDEX(INDIVIDUEL!$B$1:$Z$1000,MATCH(INDIRECT("B"&amp;ROW()),INDIVIDUEL!$C$1:$C$1000,0),19)</f>
        <v>150</v>
      </c>
      <c r="T14" s="68" t="str">
        <f ca="1">INDEX(INDIVIDUEL!$B$1:$Z$1000,MATCH(INDIRECT("B"&amp;ROW()),INDIVIDUEL!$C$1:$C$1000,0),20)</f>
        <v>NAT + 12</v>
      </c>
      <c r="U14" s="68" t="str">
        <f ca="1">INDEX(INDIVIDUEL!$B$1:$Z$1000,MATCH(INDIRECT("B"&amp;ROW()),INDIVIDUEL!$C$1:$C$1000,0),21)</f>
        <v>SE F55</v>
      </c>
      <c r="V14" s="69">
        <f ca="1">INDEX(INDIVIDUEL!$B$1:$Z$1000,MATCH(INDIRECT("B"&amp;ROW()),INDIVIDUEL!$C$1:$C$1000,0),22)</f>
        <v>216.7622689767048</v>
      </c>
      <c r="W14" s="129">
        <f ca="1">_xlfn.IFERROR(SUM(INDIRECT("V"&amp;ROW()):INDIRECT("V"&amp;ROW()+2)),"")</f>
        <v>739.6568011287658</v>
      </c>
      <c r="X14" s="129">
        <f>_xlfn.IFERROR(RANK(W14,W:W,0),"")</f>
        <v>2</v>
      </c>
    </row>
    <row r="15" spans="1:24" ht="23.25" thickBot="1">
      <c r="A15" s="130"/>
      <c r="B15" s="65" t="s">
        <v>301</v>
      </c>
      <c r="C15" s="63"/>
      <c r="D15" s="64" t="str">
        <f ca="1">INDEX(INDIVIDUEL!$B$1:$Z$1000,MATCH(INDIRECT("B"&amp;ROW()),INDIVIDUEL!$C$1:$C$1000,0),4)</f>
        <v>H</v>
      </c>
      <c r="E15" s="42" t="str">
        <f ca="1">INDEX(INDIVIDUEL!$B$1:$Z$1000,MATCH(INDIRECT("B"&amp;ROW()),INDIVIDUEL!$C$1:$C$1000,0),5)</f>
        <v>JEROME</v>
      </c>
      <c r="F15" s="43" t="str">
        <f ca="1">INDEX(INDIVIDUEL!$B$1:$Z$1000,MATCH(INDIRECT("B"&amp;ROW()),INDIVIDUEL!$C$1:$C$1000,0),6)</f>
        <v>KEVIN</v>
      </c>
      <c r="G15" s="59">
        <f ca="1">INDEX(INDIVIDUEL!$B$1:$Z$1000,MATCH(INDIRECT("B"&amp;ROW()),INDIVIDUEL!$C$1:$C$1000,0),7)</f>
        <v>1992</v>
      </c>
      <c r="H15" s="61" t="str">
        <f ca="1">INDEX(INDIVIDUEL!$B$1:$Z$1000,MATCH(INDIRECT("B"&amp;ROW()),INDIVIDUEL!$C$1:$C$1000,0),8)</f>
        <v>Université de Picardie</v>
      </c>
      <c r="I15" s="60" t="str">
        <f ca="1">INDEX(INDIVIDUEL!$B$1:$Z$1000,MATCH(INDIRECT("B"&amp;ROW()),INDIVIDUEL!$C$1:$C$1000,0),9)</f>
        <v>FRA</v>
      </c>
      <c r="J15" s="44">
        <f ca="1">INDEX(INDIVIDUEL!$B$1:$Z$1000,MATCH(INDIRECT("B"&amp;ROW()),INDIVIDUEL!$C$1:$C$1000,0),10)</f>
        <v>80.1</v>
      </c>
      <c r="K15" s="67">
        <f ca="1">INDEX(INDIVIDUEL!$B$1:$Z$1000,MATCH(INDIRECT("B"&amp;ROW()),INDIVIDUEL!$C$1:$C$1000,0),11)</f>
        <v>-100</v>
      </c>
      <c r="L15" s="67">
        <f ca="1">INDEX(INDIVIDUEL!$B$1:$Z$1000,MATCH(INDIRECT("B"&amp;ROW()),INDIVIDUEL!$C$1:$C$1000,0),12)</f>
        <v>-100</v>
      </c>
      <c r="M15" s="67">
        <f ca="1">INDEX(INDIVIDUEL!$B$1:$Z$1000,MATCH(INDIRECT("B"&amp;ROW()),INDIVIDUEL!$C$1:$C$1000,0),13)</f>
        <v>100</v>
      </c>
      <c r="N15" s="45">
        <f ca="1">INDEX(INDIVIDUEL!$B$1:$Z$1000,MATCH(INDIRECT("B"&amp;ROW()),INDIVIDUEL!$C$1:$C$1000,0),14)</f>
        <v>100</v>
      </c>
      <c r="O15" s="67">
        <f ca="1">INDEX(INDIVIDUEL!$B$1:$Z$1000,MATCH(INDIRECT("B"&amp;ROW()),INDIVIDUEL!$C$1:$C$1000,0),15)</f>
        <v>120</v>
      </c>
      <c r="P15" s="67">
        <f ca="1">INDEX(INDIVIDUEL!$B$1:$Z$1000,MATCH(INDIRECT("B"&amp;ROW()),INDIVIDUEL!$C$1:$C$1000,0),16)</f>
        <v>125</v>
      </c>
      <c r="Q15" s="67">
        <f ca="1">INDEX(INDIVIDUEL!$B$1:$Z$1000,MATCH(INDIRECT("B"&amp;ROW()),INDIVIDUEL!$C$1:$C$1000,0),17)</f>
        <v>-130</v>
      </c>
      <c r="R15" s="45">
        <f ca="1">INDEX(INDIVIDUEL!$B$1:$Z$1000,MATCH(INDIRECT("B"&amp;ROW()),INDIVIDUEL!$C$1:$C$1000,0),18)</f>
        <v>125</v>
      </c>
      <c r="S15" s="46">
        <f ca="1">INDEX(INDIVIDUEL!$B$1:$Z$1000,MATCH(INDIRECT("B"&amp;ROW()),INDIVIDUEL!$C$1:$C$1000,0),19)</f>
        <v>225</v>
      </c>
      <c r="T15" s="68" t="str">
        <f ca="1">INDEX(INDIVIDUEL!$B$1:$Z$1000,MATCH(INDIRECT("B"&amp;ROW()),INDIVIDUEL!$C$1:$C$1000,0),20)</f>
        <v>IRG + 5</v>
      </c>
      <c r="U15" s="68" t="str">
        <f ca="1">INDEX(INDIVIDUEL!$B$1:$Z$1000,MATCH(INDIRECT("B"&amp;ROW()),INDIVIDUEL!$C$1:$C$1000,0),21)</f>
        <v>SE M81</v>
      </c>
      <c r="V15" s="69">
        <f ca="1">INDEX(INDIVIDUEL!$B$1:$Z$1000,MATCH(INDIRECT("B"&amp;ROW()),INDIVIDUEL!$C$1:$C$1000,0),22)</f>
        <v>275.0726547320481</v>
      </c>
      <c r="W15" s="130"/>
      <c r="X15" s="130"/>
    </row>
    <row r="16" spans="1:24" ht="23.25" thickBot="1">
      <c r="A16" s="131"/>
      <c r="B16" s="65" t="s">
        <v>307</v>
      </c>
      <c r="C16" s="63"/>
      <c r="D16" s="64" t="str">
        <f ca="1">INDEX(INDIVIDUEL!$B$1:$Z$1000,MATCH(INDIRECT("B"&amp;ROW()),INDIVIDUEL!$C$1:$C$1000,0),4)</f>
        <v>H</v>
      </c>
      <c r="E16" s="42" t="str">
        <f ca="1">INDEX(INDIVIDUEL!$B$1:$Z$1000,MATCH(INDIRECT("B"&amp;ROW()),INDIVIDUEL!$C$1:$C$1000,0),5)</f>
        <v>BATICLE</v>
      </c>
      <c r="F16" s="43" t="str">
        <f ca="1">INDEX(INDIVIDUEL!$B$1:$Z$1000,MATCH(INDIRECT("B"&amp;ROW()),INDIVIDUEL!$C$1:$C$1000,0),6)</f>
        <v>BRICE</v>
      </c>
      <c r="G16" s="59">
        <f ca="1">INDEX(INDIVIDUEL!$B$1:$Z$1000,MATCH(INDIRECT("B"&amp;ROW()),INDIVIDUEL!$C$1:$C$1000,0),7)</f>
        <v>1999</v>
      </c>
      <c r="H16" s="61" t="str">
        <f ca="1">INDEX(INDIVIDUEL!$B$1:$Z$1000,MATCH(INDIRECT("B"&amp;ROW()),INDIVIDUEL!$C$1:$C$1000,0),8)</f>
        <v>Université de Picardie</v>
      </c>
      <c r="I16" s="60" t="str">
        <f ca="1">INDEX(INDIVIDUEL!$B$1:$Z$1000,MATCH(INDIRECT("B"&amp;ROW()),INDIVIDUEL!$C$1:$C$1000,0),9)</f>
        <v>FRA</v>
      </c>
      <c r="J16" s="44">
        <f ca="1">INDEX(INDIVIDUEL!$B$1:$Z$1000,MATCH(INDIRECT("B"&amp;ROW()),INDIVIDUEL!$C$1:$C$1000,0),10)</f>
        <v>78.8</v>
      </c>
      <c r="K16" s="67">
        <f ca="1">INDEX(INDIVIDUEL!$B$1:$Z$1000,MATCH(INDIRECT("B"&amp;ROW()),INDIVIDUEL!$C$1:$C$1000,0),11)</f>
        <v>87</v>
      </c>
      <c r="L16" s="67">
        <f ca="1">INDEX(INDIVIDUEL!$B$1:$Z$1000,MATCH(INDIRECT("B"&amp;ROW()),INDIVIDUEL!$C$1:$C$1000,0),12)</f>
        <v>-91</v>
      </c>
      <c r="M16" s="67">
        <f ca="1">INDEX(INDIVIDUEL!$B$1:$Z$1000,MATCH(INDIRECT("B"&amp;ROW()),INDIVIDUEL!$C$1:$C$1000,0),13)</f>
        <v>-92</v>
      </c>
      <c r="N16" s="45">
        <f ca="1">INDEX(INDIVIDUEL!$B$1:$Z$1000,MATCH(INDIRECT("B"&amp;ROW()),INDIVIDUEL!$C$1:$C$1000,0),14)</f>
        <v>87</v>
      </c>
      <c r="O16" s="67">
        <f ca="1">INDEX(INDIVIDUEL!$B$1:$Z$1000,MATCH(INDIRECT("B"&amp;ROW()),INDIVIDUEL!$C$1:$C$1000,0),15)</f>
        <v>105</v>
      </c>
      <c r="P16" s="67">
        <f ca="1">INDEX(INDIVIDUEL!$B$1:$Z$1000,MATCH(INDIRECT("B"&amp;ROW()),INDIVIDUEL!$C$1:$C$1000,0),16)</f>
        <v>110</v>
      </c>
      <c r="Q16" s="67">
        <f ca="1">INDEX(INDIVIDUEL!$B$1:$Z$1000,MATCH(INDIRECT("B"&amp;ROW()),INDIVIDUEL!$C$1:$C$1000,0),17)</f>
        <v>114</v>
      </c>
      <c r="R16" s="45">
        <f ca="1">INDEX(INDIVIDUEL!$B$1:$Z$1000,MATCH(INDIRECT("B"&amp;ROW()),INDIVIDUEL!$C$1:$C$1000,0),18)</f>
        <v>114</v>
      </c>
      <c r="S16" s="46">
        <f ca="1">INDEX(INDIVIDUEL!$B$1:$Z$1000,MATCH(INDIRECT("B"&amp;ROW()),INDIVIDUEL!$C$1:$C$1000,0),19)</f>
        <v>201</v>
      </c>
      <c r="T16" s="68" t="str">
        <f ca="1">INDEX(INDIVIDUEL!$B$1:$Z$1000,MATCH(INDIRECT("B"&amp;ROW()),INDIVIDUEL!$C$1:$C$1000,0),20)</f>
        <v>IRG + 11</v>
      </c>
      <c r="U16" s="68" t="str">
        <f ca="1">INDEX(INDIVIDUEL!$B$1:$Z$1000,MATCH(INDIRECT("B"&amp;ROW()),INDIVIDUEL!$C$1:$C$1000,0),21)</f>
        <v>U20 M81</v>
      </c>
      <c r="V16" s="69">
        <f ca="1">INDEX(INDIVIDUEL!$B$1:$Z$1000,MATCH(INDIRECT("B"&amp;ROW()),INDIVIDUEL!$C$1:$C$1000,0),22)</f>
        <v>247.8218774200129</v>
      </c>
      <c r="W16" s="131"/>
      <c r="X16" s="131"/>
    </row>
    <row r="17" spans="1:24" ht="23.25" thickBot="1">
      <c r="A17" s="129" t="s">
        <v>380</v>
      </c>
      <c r="B17" s="65" t="s">
        <v>160</v>
      </c>
      <c r="C17" s="63"/>
      <c r="D17" s="64" t="str">
        <f ca="1">INDEX(INDIVIDUEL!$B$1:$Z$1000,MATCH(INDIRECT("B"&amp;ROW()),INDIVIDUEL!$C$1:$C$1000,0),4)</f>
        <v>F</v>
      </c>
      <c r="E17" s="42" t="str">
        <f ca="1">INDEX(INDIVIDUEL!$B$1:$Z$1000,MATCH(INDIRECT("B"&amp;ROW()),INDIVIDUEL!$C$1:$C$1000,0),5)</f>
        <v>BONNIERE</v>
      </c>
      <c r="F17" s="43" t="str">
        <f ca="1">INDEX(INDIVIDUEL!$B$1:$Z$1000,MATCH(INDIRECT("B"&amp;ROW()),INDIVIDUEL!$C$1:$C$1000,0),6)</f>
        <v>PRISCILLIA</v>
      </c>
      <c r="G17" s="59">
        <f ca="1">INDEX(INDIVIDUEL!$B$1:$Z$1000,MATCH(INDIRECT("B"&amp;ROW()),INDIVIDUEL!$C$1:$C$1000,0),7)</f>
        <v>1999</v>
      </c>
      <c r="H17" s="61" t="str">
        <f ca="1">INDEX(INDIVIDUEL!$B$1:$Z$1000,MATCH(INDIRECT("B"&amp;ROW()),INDIVIDUEL!$C$1:$C$1000,0),8)</f>
        <v>Université de Picardie</v>
      </c>
      <c r="I17" s="60" t="str">
        <f ca="1">INDEX(INDIVIDUEL!$B$1:$Z$1000,MATCH(INDIRECT("B"&amp;ROW()),INDIVIDUEL!$C$1:$C$1000,0),9)</f>
        <v>FRA</v>
      </c>
      <c r="J17" s="44">
        <f ca="1">INDEX(INDIVIDUEL!$B$1:$Z$1000,MATCH(INDIRECT("B"&amp;ROW()),INDIVIDUEL!$C$1:$C$1000,0),10)</f>
        <v>54.2</v>
      </c>
      <c r="K17" s="67">
        <f ca="1">INDEX(INDIVIDUEL!$B$1:$Z$1000,MATCH(INDIRECT("B"&amp;ROW()),INDIVIDUEL!$C$1:$C$1000,0),11)</f>
        <v>55</v>
      </c>
      <c r="L17" s="67">
        <f ca="1">INDEX(INDIVIDUEL!$B$1:$Z$1000,MATCH(INDIRECT("B"&amp;ROW()),INDIVIDUEL!$C$1:$C$1000,0),12)</f>
        <v>59</v>
      </c>
      <c r="M17" s="67">
        <f ca="1">INDEX(INDIVIDUEL!$B$1:$Z$1000,MATCH(INDIRECT("B"&amp;ROW()),INDIVIDUEL!$C$1:$C$1000,0),13)</f>
        <v>61</v>
      </c>
      <c r="N17" s="45">
        <f ca="1">INDEX(INDIVIDUEL!$B$1:$Z$1000,MATCH(INDIRECT("B"&amp;ROW()),INDIVIDUEL!$C$1:$C$1000,0),14)</f>
        <v>61</v>
      </c>
      <c r="O17" s="67">
        <f ca="1">INDEX(INDIVIDUEL!$B$1:$Z$1000,MATCH(INDIRECT("B"&amp;ROW()),INDIVIDUEL!$C$1:$C$1000,0),15)</f>
        <v>63</v>
      </c>
      <c r="P17" s="67">
        <f ca="1">INDEX(INDIVIDUEL!$B$1:$Z$1000,MATCH(INDIRECT("B"&amp;ROW()),INDIVIDUEL!$C$1:$C$1000,0),16)</f>
        <v>-68</v>
      </c>
      <c r="Q17" s="67">
        <f ca="1">INDEX(INDIVIDUEL!$B$1:$Z$1000,MATCH(INDIRECT("B"&amp;ROW()),INDIVIDUEL!$C$1:$C$1000,0),17)</f>
        <v>68</v>
      </c>
      <c r="R17" s="45">
        <f ca="1">INDEX(INDIVIDUEL!$B$1:$Z$1000,MATCH(INDIRECT("B"&amp;ROW()),INDIVIDUEL!$C$1:$C$1000,0),18)</f>
        <v>68</v>
      </c>
      <c r="S17" s="46">
        <f ca="1">INDEX(INDIVIDUEL!$B$1:$Z$1000,MATCH(INDIRECT("B"&amp;ROW()),INDIVIDUEL!$C$1:$C$1000,0),19)</f>
        <v>129</v>
      </c>
      <c r="T17" s="68" t="str">
        <f ca="1">INDEX(INDIVIDUEL!$B$1:$Z$1000,MATCH(INDIRECT("B"&amp;ROW()),INDIVIDUEL!$C$1:$C$1000,0),20)</f>
        <v>NAT + 11</v>
      </c>
      <c r="U17" s="68" t="str">
        <f ca="1">INDEX(INDIVIDUEL!$B$1:$Z$1000,MATCH(INDIRECT("B"&amp;ROW()),INDIVIDUEL!$C$1:$C$1000,0),21)</f>
        <v>U20 F55</v>
      </c>
      <c r="V17" s="69">
        <f ca="1">INDEX(INDIVIDUEL!$B$1:$Z$1000,MATCH(INDIRECT("B"&amp;ROW()),INDIVIDUEL!$C$1:$C$1000,0),22)</f>
        <v>186.6591716530761</v>
      </c>
      <c r="W17" s="129">
        <f ca="1">_xlfn.IFERROR(SUM(INDIRECT("V"&amp;ROW()):INDIRECT("V"&amp;ROW()+2)),"")</f>
        <v>646.8210132494899</v>
      </c>
      <c r="X17" s="129">
        <f>_xlfn.IFERROR(RANK(W17,W:W,0),"")</f>
        <v>4</v>
      </c>
    </row>
    <row r="18" spans="1:24" ht="23.25" thickBot="1">
      <c r="A18" s="130"/>
      <c r="B18" s="65" t="s">
        <v>283</v>
      </c>
      <c r="C18" s="63"/>
      <c r="D18" s="64" t="str">
        <f ca="1">INDEX(INDIVIDUEL!$B$1:$Z$1000,MATCH(INDIRECT("B"&amp;ROW()),INDIVIDUEL!$C$1:$C$1000,0),4)</f>
        <v>H</v>
      </c>
      <c r="E18" s="42" t="str">
        <f ca="1">INDEX(INDIVIDUEL!$B$1:$Z$1000,MATCH(INDIRECT("B"&amp;ROW()),INDIVIDUEL!$C$1:$C$1000,0),5)</f>
        <v>TEIRLYNCK</v>
      </c>
      <c r="F18" s="43" t="str">
        <f ca="1">INDEX(INDIVIDUEL!$B$1:$Z$1000,MATCH(INDIRECT("B"&amp;ROW()),INDIVIDUEL!$C$1:$C$1000,0),6)</f>
        <v>HENRI</v>
      </c>
      <c r="G18" s="59">
        <f ca="1">INDEX(INDIVIDUEL!$B$1:$Z$1000,MATCH(INDIRECT("B"&amp;ROW()),INDIVIDUEL!$C$1:$C$1000,0),7)</f>
        <v>1999</v>
      </c>
      <c r="H18" s="61" t="str">
        <f ca="1">INDEX(INDIVIDUEL!$B$1:$Z$1000,MATCH(INDIRECT("B"&amp;ROW()),INDIVIDUEL!$C$1:$C$1000,0),8)</f>
        <v>Université de Picardie</v>
      </c>
      <c r="I18" s="60" t="str">
        <f ca="1">INDEX(INDIVIDUEL!$B$1:$Z$1000,MATCH(INDIRECT("B"&amp;ROW()),INDIVIDUEL!$C$1:$C$1000,0),9)</f>
        <v>FRA</v>
      </c>
      <c r="J18" s="44">
        <f ca="1">INDEX(INDIVIDUEL!$B$1:$Z$1000,MATCH(INDIRECT("B"&amp;ROW()),INDIVIDUEL!$C$1:$C$1000,0),10)</f>
        <v>72</v>
      </c>
      <c r="K18" s="67">
        <f ca="1">INDEX(INDIVIDUEL!$B$1:$Z$1000,MATCH(INDIRECT("B"&amp;ROW()),INDIVIDUEL!$C$1:$C$1000,0),11)</f>
        <v>74</v>
      </c>
      <c r="L18" s="67">
        <f ca="1">INDEX(INDIVIDUEL!$B$1:$Z$1000,MATCH(INDIRECT("B"&amp;ROW()),INDIVIDUEL!$C$1:$C$1000,0),12)</f>
        <v>79</v>
      </c>
      <c r="M18" s="67">
        <f ca="1">INDEX(INDIVIDUEL!$B$1:$Z$1000,MATCH(INDIRECT("B"&amp;ROW()),INDIVIDUEL!$C$1:$C$1000,0),13)</f>
        <v>-82</v>
      </c>
      <c r="N18" s="45">
        <f ca="1">INDEX(INDIVIDUEL!$B$1:$Z$1000,MATCH(INDIRECT("B"&amp;ROW()),INDIVIDUEL!$C$1:$C$1000,0),14)</f>
        <v>79</v>
      </c>
      <c r="O18" s="67">
        <f ca="1">INDEX(INDIVIDUEL!$B$1:$Z$1000,MATCH(INDIRECT("B"&amp;ROW()),INDIVIDUEL!$C$1:$C$1000,0),15)</f>
        <v>100</v>
      </c>
      <c r="P18" s="67">
        <f ca="1">INDEX(INDIVIDUEL!$B$1:$Z$1000,MATCH(INDIRECT("B"&amp;ROW()),INDIVIDUEL!$C$1:$C$1000,0),16)</f>
        <v>105</v>
      </c>
      <c r="Q18" s="67">
        <f ca="1">INDEX(INDIVIDUEL!$B$1:$Z$1000,MATCH(INDIRECT("B"&amp;ROW()),INDIVIDUEL!$C$1:$C$1000,0),17)</f>
        <v>-111</v>
      </c>
      <c r="R18" s="45">
        <f ca="1">INDEX(INDIVIDUEL!$B$1:$Z$1000,MATCH(INDIRECT("B"&amp;ROW()),INDIVIDUEL!$C$1:$C$1000,0),18)</f>
        <v>105</v>
      </c>
      <c r="S18" s="46">
        <f ca="1">INDEX(INDIVIDUEL!$B$1:$Z$1000,MATCH(INDIRECT("B"&amp;ROW()),INDIVIDUEL!$C$1:$C$1000,0),19)</f>
        <v>184</v>
      </c>
      <c r="T18" s="68" t="str">
        <f ca="1">INDEX(INDIVIDUEL!$B$1:$Z$1000,MATCH(INDIRECT("B"&amp;ROW()),INDIVIDUEL!$C$1:$C$1000,0),20)</f>
        <v>IRG + 4</v>
      </c>
      <c r="U18" s="68" t="str">
        <f ca="1">INDEX(INDIVIDUEL!$B$1:$Z$1000,MATCH(INDIRECT("B"&amp;ROW()),INDIVIDUEL!$C$1:$C$1000,0),21)</f>
        <v>U20 M73</v>
      </c>
      <c r="V18" s="69">
        <f ca="1">INDEX(INDIVIDUEL!$B$1:$Z$1000,MATCH(INDIRECT("B"&amp;ROW()),INDIVIDUEL!$C$1:$C$1000,0),22)</f>
        <v>238.45979808537493</v>
      </c>
      <c r="W18" s="130"/>
      <c r="X18" s="130"/>
    </row>
    <row r="19" spans="1:24" ht="23.25" thickBot="1">
      <c r="A19" s="131"/>
      <c r="B19" s="65" t="s">
        <v>330</v>
      </c>
      <c r="C19" s="63"/>
      <c r="D19" s="64" t="str">
        <f ca="1">INDEX(INDIVIDUEL!$B$1:$Z$1000,MATCH(INDIRECT("B"&amp;ROW()),INDIVIDUEL!$C$1:$C$1000,0),4)</f>
        <v>H</v>
      </c>
      <c r="E19" s="42" t="str">
        <f ca="1">INDEX(INDIVIDUEL!$B$1:$Z$1000,MATCH(INDIRECT("B"&amp;ROW()),INDIVIDUEL!$C$1:$C$1000,0),5)</f>
        <v>CLAIS</v>
      </c>
      <c r="F19" s="43" t="str">
        <f ca="1">INDEX(INDIVIDUEL!$B$1:$Z$1000,MATCH(INDIRECT("B"&amp;ROW()),INDIVIDUEL!$C$1:$C$1000,0),6)</f>
        <v>MAXIMILIEN</v>
      </c>
      <c r="G19" s="59">
        <f ca="1">INDEX(INDIVIDUEL!$B$1:$Z$1000,MATCH(INDIRECT("B"&amp;ROW()),INDIVIDUEL!$C$1:$C$1000,0),7)</f>
        <v>1997</v>
      </c>
      <c r="H19" s="61" t="str">
        <f ca="1">INDEX(INDIVIDUEL!$B$1:$Z$1000,MATCH(INDIRECT("B"&amp;ROW()),INDIVIDUEL!$C$1:$C$1000,0),8)</f>
        <v>Université de Picardie</v>
      </c>
      <c r="I19" s="60" t="str">
        <f ca="1">INDEX(INDIVIDUEL!$B$1:$Z$1000,MATCH(INDIRECT("B"&amp;ROW()),INDIVIDUEL!$C$1:$C$1000,0),9)</f>
        <v>FRA</v>
      </c>
      <c r="J19" s="44">
        <f ca="1">INDEX(INDIVIDUEL!$B$1:$Z$1000,MATCH(INDIRECT("B"&amp;ROW()),INDIVIDUEL!$C$1:$C$1000,0),10)</f>
        <v>76.5</v>
      </c>
      <c r="K19" s="67">
        <f ca="1">INDEX(INDIVIDUEL!$B$1:$Z$1000,MATCH(INDIRECT("B"&amp;ROW()),INDIVIDUEL!$C$1:$C$1000,0),11)</f>
        <v>-77</v>
      </c>
      <c r="L19" s="67">
        <f ca="1">INDEX(INDIVIDUEL!$B$1:$Z$1000,MATCH(INDIRECT("B"&amp;ROW()),INDIVIDUEL!$C$1:$C$1000,0),12)</f>
        <v>77</v>
      </c>
      <c r="M19" s="67">
        <f ca="1">INDEX(INDIVIDUEL!$B$1:$Z$1000,MATCH(INDIRECT("B"&amp;ROW()),INDIVIDUEL!$C$1:$C$1000,0),13)</f>
        <v>-80</v>
      </c>
      <c r="N19" s="45">
        <f ca="1">INDEX(INDIVIDUEL!$B$1:$Z$1000,MATCH(INDIRECT("B"&amp;ROW()),INDIVIDUEL!$C$1:$C$1000,0),14)</f>
        <v>77</v>
      </c>
      <c r="O19" s="67">
        <f ca="1">INDEX(INDIVIDUEL!$B$1:$Z$1000,MATCH(INDIRECT("B"&amp;ROW()),INDIVIDUEL!$C$1:$C$1000,0),15)</f>
        <v>95</v>
      </c>
      <c r="P19" s="67">
        <f ca="1">INDEX(INDIVIDUEL!$B$1:$Z$1000,MATCH(INDIRECT("B"&amp;ROW()),INDIVIDUEL!$C$1:$C$1000,0),16)</f>
        <v>100</v>
      </c>
      <c r="Q19" s="67">
        <f ca="1">INDEX(INDIVIDUEL!$B$1:$Z$1000,MATCH(INDIRECT("B"&amp;ROW()),INDIVIDUEL!$C$1:$C$1000,0),17)</f>
        <v>-105</v>
      </c>
      <c r="R19" s="45">
        <f ca="1">INDEX(INDIVIDUEL!$B$1:$Z$1000,MATCH(INDIRECT("B"&amp;ROW()),INDIVIDUEL!$C$1:$C$1000,0),18)</f>
        <v>100</v>
      </c>
      <c r="S19" s="46">
        <f ca="1">INDEX(INDIVIDUEL!$B$1:$Z$1000,MATCH(INDIRECT("B"&amp;ROW()),INDIVIDUEL!$C$1:$C$1000,0),19)</f>
        <v>177</v>
      </c>
      <c r="T19" s="68" t="str">
        <f ca="1">INDEX(INDIVIDUEL!$B$1:$Z$1000,MATCH(INDIRECT("B"&amp;ROW()),INDIVIDUEL!$C$1:$C$1000,0),20)</f>
        <v>DPT + 7</v>
      </c>
      <c r="U19" s="68" t="str">
        <f ca="1">INDEX(INDIVIDUEL!$B$1:$Z$1000,MATCH(INDIRECT("B"&amp;ROW()),INDIVIDUEL!$C$1:$C$1000,0),21)</f>
        <v>SE M81</v>
      </c>
      <c r="V19" s="69">
        <f ca="1">INDEX(INDIVIDUEL!$B$1:$Z$1000,MATCH(INDIRECT("B"&amp;ROW()),INDIVIDUEL!$C$1:$C$1000,0),22)</f>
        <v>221.70204351103885</v>
      </c>
      <c r="W19" s="131"/>
      <c r="X19" s="131"/>
    </row>
    <row r="20" spans="1:24" ht="23.25" thickBot="1">
      <c r="A20" s="129" t="s">
        <v>381</v>
      </c>
      <c r="B20" s="65" t="s">
        <v>163</v>
      </c>
      <c r="C20" s="63"/>
      <c r="D20" s="64" t="str">
        <f ca="1">INDEX(INDIVIDUEL!$B$1:$Z$1000,MATCH(INDIRECT("B"&amp;ROW()),INDIVIDUEL!$C$1:$C$1000,0),4)</f>
        <v>F</v>
      </c>
      <c r="E20" s="42" t="str">
        <f ca="1">INDEX(INDIVIDUEL!$B$1:$Z$1000,MATCH(INDIRECT("B"&amp;ROW()),INDIVIDUEL!$C$1:$C$1000,0),5)</f>
        <v>MAZOUZ</v>
      </c>
      <c r="F20" s="43" t="str">
        <f ca="1">INDEX(INDIVIDUEL!$B$1:$Z$1000,MATCH(INDIRECT("B"&amp;ROW()),INDIVIDUEL!$C$1:$C$1000,0),6)</f>
        <v>ELODIE</v>
      </c>
      <c r="G20" s="59">
        <f ca="1">INDEX(INDIVIDUEL!$B$1:$Z$1000,MATCH(INDIRECT("B"&amp;ROW()),INDIVIDUEL!$C$1:$C$1000,0),7)</f>
        <v>2000</v>
      </c>
      <c r="H20" s="61" t="str">
        <f ca="1">INDEX(INDIVIDUEL!$B$1:$Z$1000,MATCH(INDIRECT("B"&amp;ROW()),INDIVIDUEL!$C$1:$C$1000,0),8)</f>
        <v>UMONTPELLIER SCIENCES ECO</v>
      </c>
      <c r="I20" s="60" t="str">
        <f ca="1">INDEX(INDIVIDUEL!$B$1:$Z$1000,MATCH(INDIRECT("B"&amp;ROW()),INDIVIDUEL!$C$1:$C$1000,0),9)</f>
        <v>FRA</v>
      </c>
      <c r="J20" s="44">
        <f ca="1">INDEX(INDIVIDUEL!$B$1:$Z$1000,MATCH(INDIRECT("B"&amp;ROW()),INDIVIDUEL!$C$1:$C$1000,0),10)</f>
        <v>54.6</v>
      </c>
      <c r="K20" s="67">
        <f ca="1">INDEX(INDIVIDUEL!$B$1:$Z$1000,MATCH(INDIRECT("B"&amp;ROW()),INDIVIDUEL!$C$1:$C$1000,0),11)</f>
        <v>54</v>
      </c>
      <c r="L20" s="67">
        <f ca="1">INDEX(INDIVIDUEL!$B$1:$Z$1000,MATCH(INDIRECT("B"&amp;ROW()),INDIVIDUEL!$C$1:$C$1000,0),12)</f>
        <v>57</v>
      </c>
      <c r="M20" s="67">
        <f ca="1">INDEX(INDIVIDUEL!$B$1:$Z$1000,MATCH(INDIRECT("B"&amp;ROW()),INDIVIDUEL!$C$1:$C$1000,0),13)</f>
        <v>-60</v>
      </c>
      <c r="N20" s="45">
        <f ca="1">INDEX(INDIVIDUEL!$B$1:$Z$1000,MATCH(INDIRECT("B"&amp;ROW()),INDIVIDUEL!$C$1:$C$1000,0),14)</f>
        <v>57</v>
      </c>
      <c r="O20" s="67">
        <f ca="1">INDEX(INDIVIDUEL!$B$1:$Z$1000,MATCH(INDIRECT("B"&amp;ROW()),INDIVIDUEL!$C$1:$C$1000,0),15)</f>
        <v>68</v>
      </c>
      <c r="P20" s="67">
        <f ca="1">INDEX(INDIVIDUEL!$B$1:$Z$1000,MATCH(INDIRECT("B"&amp;ROW()),INDIVIDUEL!$C$1:$C$1000,0),16)</f>
        <v>70</v>
      </c>
      <c r="Q20" s="67">
        <f ca="1">INDEX(INDIVIDUEL!$B$1:$Z$1000,MATCH(INDIRECT("B"&amp;ROW()),INDIVIDUEL!$C$1:$C$1000,0),17)</f>
        <v>-73</v>
      </c>
      <c r="R20" s="45">
        <f ca="1">INDEX(INDIVIDUEL!$B$1:$Z$1000,MATCH(INDIRECT("B"&amp;ROW()),INDIVIDUEL!$C$1:$C$1000,0),18)</f>
        <v>70</v>
      </c>
      <c r="S20" s="46">
        <f ca="1">INDEX(INDIVIDUEL!$B$1:$Z$1000,MATCH(INDIRECT("B"&amp;ROW()),INDIVIDUEL!$C$1:$C$1000,0),19)</f>
        <v>127</v>
      </c>
      <c r="T20" s="68" t="str">
        <f ca="1">INDEX(INDIVIDUEL!$B$1:$Z$1000,MATCH(INDIRECT("B"&amp;ROW()),INDIVIDUEL!$C$1:$C$1000,0),20)</f>
        <v>NAT + 9</v>
      </c>
      <c r="U20" s="68" t="str">
        <f ca="1">INDEX(INDIVIDUEL!$B$1:$Z$1000,MATCH(INDIRECT("B"&amp;ROW()),INDIVIDUEL!$C$1:$C$1000,0),21)</f>
        <v>U20 F55</v>
      </c>
      <c r="V20" s="69">
        <f ca="1">INDEX(INDIVIDUEL!$B$1:$Z$1000,MATCH(INDIRECT("B"&amp;ROW()),INDIVIDUEL!$C$1:$C$1000,0),22)</f>
        <v>182.8128838209063</v>
      </c>
      <c r="W20" s="129">
        <f ca="1">_xlfn.IFERROR(SUM(INDIRECT("V"&amp;ROW()):INDIRECT("V"&amp;ROW()+2)),"")</f>
        <v>451.63415783895323</v>
      </c>
      <c r="X20" s="129">
        <f>_xlfn.IFERROR(RANK(W20,W:W,0),"")</f>
        <v>8</v>
      </c>
    </row>
    <row r="21" spans="1:24" ht="23.25" thickBot="1">
      <c r="A21" s="130"/>
      <c r="B21" s="65" t="s">
        <v>289</v>
      </c>
      <c r="C21" s="63"/>
      <c r="D21" s="64" t="str">
        <f ca="1">INDEX(INDIVIDUEL!$B$1:$Z$1000,MATCH(INDIRECT("B"&amp;ROW()),INDIVIDUEL!$C$1:$C$1000,0),4)</f>
        <v>H</v>
      </c>
      <c r="E21" s="42" t="str">
        <f ca="1">INDEX(INDIVIDUEL!$B$1:$Z$1000,MATCH(INDIRECT("B"&amp;ROW()),INDIVIDUEL!$C$1:$C$1000,0),5)</f>
        <v>FERREIRA</v>
      </c>
      <c r="F21" s="43" t="str">
        <f ca="1">INDEX(INDIVIDUEL!$B$1:$Z$1000,MATCH(INDIRECT("B"&amp;ROW()),INDIVIDUEL!$C$1:$C$1000,0),6)</f>
        <v>THIBAULT</v>
      </c>
      <c r="G21" s="59">
        <f ca="1">INDEX(INDIVIDUEL!$B$1:$Z$1000,MATCH(INDIRECT("B"&amp;ROW()),INDIVIDUEL!$C$1:$C$1000,0),7)</f>
        <v>1995</v>
      </c>
      <c r="H21" s="61" t="str">
        <f ca="1">INDEX(INDIVIDUEL!$B$1:$Z$1000,MATCH(INDIRECT("B"&amp;ROW()),INDIVIDUEL!$C$1:$C$1000,0),8)</f>
        <v>UMONTPELLIER STAPS</v>
      </c>
      <c r="I21" s="60" t="str">
        <f ca="1">INDEX(INDIVIDUEL!$B$1:$Z$1000,MATCH(INDIRECT("B"&amp;ROW()),INDIVIDUEL!$C$1:$C$1000,0),9)</f>
        <v>FRA</v>
      </c>
      <c r="J21" s="44">
        <f ca="1">INDEX(INDIVIDUEL!$B$1:$Z$1000,MATCH(INDIRECT("B"&amp;ROW()),INDIVIDUEL!$C$1:$C$1000,0),10)</f>
        <v>72.7</v>
      </c>
      <c r="K21" s="67">
        <f ca="1">INDEX(INDIVIDUEL!$B$1:$Z$1000,MATCH(INDIRECT("B"&amp;ROW()),INDIVIDUEL!$C$1:$C$1000,0),11)</f>
        <v>91</v>
      </c>
      <c r="L21" s="67">
        <f ca="1">INDEX(INDIVIDUEL!$B$1:$Z$1000,MATCH(INDIRECT("B"&amp;ROW()),INDIVIDUEL!$C$1:$C$1000,0),12)</f>
        <v>96</v>
      </c>
      <c r="M21" s="67">
        <f ca="1">INDEX(INDIVIDUEL!$B$1:$Z$1000,MATCH(INDIRECT("B"&amp;ROW()),INDIVIDUEL!$C$1:$C$1000,0),13)</f>
        <v>101</v>
      </c>
      <c r="N21" s="45">
        <f ca="1">INDEX(INDIVIDUEL!$B$1:$Z$1000,MATCH(INDIRECT("B"&amp;ROW()),INDIVIDUEL!$C$1:$C$1000,0),14)</f>
        <v>101</v>
      </c>
      <c r="O21" s="67">
        <f ca="1">INDEX(INDIVIDUEL!$B$1:$Z$1000,MATCH(INDIRECT("B"&amp;ROW()),INDIVIDUEL!$C$1:$C$1000,0),15)</f>
        <v>-118</v>
      </c>
      <c r="P21" s="67">
        <f ca="1">INDEX(INDIVIDUEL!$B$1:$Z$1000,MATCH(INDIRECT("B"&amp;ROW()),INDIVIDUEL!$C$1:$C$1000,0),16)</f>
        <v>-121</v>
      </c>
      <c r="Q21" s="67">
        <f ca="1">INDEX(INDIVIDUEL!$B$1:$Z$1000,MATCH(INDIRECT("B"&amp;ROW()),INDIVIDUEL!$C$1:$C$1000,0),17)</f>
        <v>-121</v>
      </c>
      <c r="R21" s="45">
        <f ca="1">INDEX(INDIVIDUEL!$B$1:$Z$1000,MATCH(INDIRECT("B"&amp;ROW()),INDIVIDUEL!$C$1:$C$1000,0),18)</f>
        <v>0</v>
      </c>
      <c r="S21" s="46">
        <f ca="1">INDEX(INDIVIDUEL!$B$1:$Z$1000,MATCH(INDIRECT("B"&amp;ROW()),INDIVIDUEL!$C$1:$C$1000,0),19)</f>
        <v>0</v>
      </c>
      <c r="T21" s="68" t="str">
        <f ca="1">INDEX(INDIVIDUEL!$B$1:$Z$1000,MATCH(INDIRECT("B"&amp;ROW()),INDIVIDUEL!$C$1:$C$1000,0),20)</f>
        <v>DEB -135</v>
      </c>
      <c r="U21" s="68" t="str">
        <f ca="1">INDEX(INDIVIDUEL!$B$1:$Z$1000,MATCH(INDIRECT("B"&amp;ROW()),INDIVIDUEL!$C$1:$C$1000,0),21)</f>
        <v>SE M73</v>
      </c>
      <c r="V21" s="69">
        <f ca="1">INDEX(INDIVIDUEL!$B$1:$Z$1000,MATCH(INDIRECT("B"&amp;ROW()),INDIVIDUEL!$C$1:$C$1000,0),22)</f>
        <v>0</v>
      </c>
      <c r="W21" s="130"/>
      <c r="X21" s="130"/>
    </row>
    <row r="22" spans="1:24" ht="23.25" thickBot="1">
      <c r="A22" s="131"/>
      <c r="B22" s="65" t="s">
        <v>360</v>
      </c>
      <c r="C22" s="63"/>
      <c r="D22" s="64" t="str">
        <f ca="1">INDEX(INDIVIDUEL!$B$1:$Z$1000,MATCH(INDIRECT("B"&amp;ROW()),INDIVIDUEL!$C$1:$C$1000,0),4)</f>
        <v>H</v>
      </c>
      <c r="E22" s="42" t="str">
        <f ca="1">INDEX(INDIVIDUEL!$B$1:$Z$1000,MATCH(INDIRECT("B"&amp;ROW()),INDIVIDUEL!$C$1:$C$1000,0),5)</f>
        <v>OTCENASEK</v>
      </c>
      <c r="F22" s="43" t="str">
        <f ca="1">INDEX(INDIVIDUEL!$B$1:$Z$1000,MATCH(INDIRECT("B"&amp;ROW()),INDIVIDUEL!$C$1:$C$1000,0),6)</f>
        <v>WARREN</v>
      </c>
      <c r="G22" s="59">
        <f ca="1">INDEX(INDIVIDUEL!$B$1:$Z$1000,MATCH(INDIRECT("B"&amp;ROW()),INDIVIDUEL!$C$1:$C$1000,0),7)</f>
        <v>1992</v>
      </c>
      <c r="H22" s="61" t="str">
        <f ca="1">INDEX(INDIVIDUEL!$B$1:$Z$1000,MATCH(INDIRECT("B"&amp;ROW()),INDIVIDUEL!$C$1:$C$1000,0),8)</f>
        <v>UMONTPELLIER STAPS</v>
      </c>
      <c r="I22" s="60" t="str">
        <f ca="1">INDEX(INDIVIDUEL!$B$1:$Z$1000,MATCH(INDIRECT("B"&amp;ROW()),INDIVIDUEL!$C$1:$C$1000,0),9)</f>
        <v>FRA</v>
      </c>
      <c r="J22" s="44">
        <f ca="1">INDEX(INDIVIDUEL!$B$1:$Z$1000,MATCH(INDIRECT("B"&amp;ROW()),INDIVIDUEL!$C$1:$C$1000,0),10)</f>
        <v>95.3</v>
      </c>
      <c r="K22" s="67">
        <f ca="1">INDEX(INDIVIDUEL!$B$1:$Z$1000,MATCH(INDIRECT("B"&amp;ROW()),INDIVIDUEL!$C$1:$C$1000,0),11)</f>
        <v>-100</v>
      </c>
      <c r="L22" s="67">
        <f ca="1">INDEX(INDIVIDUEL!$B$1:$Z$1000,MATCH(INDIRECT("B"&amp;ROW()),INDIVIDUEL!$C$1:$C$1000,0),12)</f>
        <v>100</v>
      </c>
      <c r="M22" s="67">
        <f ca="1">INDEX(INDIVIDUEL!$B$1:$Z$1000,MATCH(INDIRECT("B"&amp;ROW()),INDIVIDUEL!$C$1:$C$1000,0),13)</f>
        <v>107</v>
      </c>
      <c r="N22" s="45">
        <f ca="1">INDEX(INDIVIDUEL!$B$1:$Z$1000,MATCH(INDIRECT("B"&amp;ROW()),INDIVIDUEL!$C$1:$C$1000,0),14)</f>
        <v>107</v>
      </c>
      <c r="O22" s="67">
        <f ca="1">INDEX(INDIVIDUEL!$B$1:$Z$1000,MATCH(INDIRECT("B"&amp;ROW()),INDIVIDUEL!$C$1:$C$1000,0),15)</f>
        <v>-125</v>
      </c>
      <c r="P22" s="67">
        <f ca="1">INDEX(INDIVIDUEL!$B$1:$Z$1000,MATCH(INDIRECT("B"&amp;ROW()),INDIVIDUEL!$C$1:$C$1000,0),16)</f>
        <v>126</v>
      </c>
      <c r="Q22" s="67">
        <f ca="1">INDEX(INDIVIDUEL!$B$1:$Z$1000,MATCH(INDIRECT("B"&amp;ROW()),INDIVIDUEL!$C$1:$C$1000,0),17)</f>
        <v>131</v>
      </c>
      <c r="R22" s="45">
        <f ca="1">INDEX(INDIVIDUEL!$B$1:$Z$1000,MATCH(INDIRECT("B"&amp;ROW()),INDIVIDUEL!$C$1:$C$1000,0),18)</f>
        <v>131</v>
      </c>
      <c r="S22" s="46">
        <f ca="1">INDEX(INDIVIDUEL!$B$1:$Z$1000,MATCH(INDIRECT("B"&amp;ROW()),INDIVIDUEL!$C$1:$C$1000,0),19)</f>
        <v>238</v>
      </c>
      <c r="T22" s="68" t="str">
        <f ca="1">INDEX(INDIVIDUEL!$B$1:$Z$1000,MATCH(INDIRECT("B"&amp;ROW()),INDIVIDUEL!$C$1:$C$1000,0),20)</f>
        <v>IRG + 3</v>
      </c>
      <c r="U22" s="68" t="str">
        <f ca="1">INDEX(INDIVIDUEL!$B$1:$Z$1000,MATCH(INDIRECT("B"&amp;ROW()),INDIVIDUEL!$C$1:$C$1000,0),21)</f>
        <v>SE M96</v>
      </c>
      <c r="V22" s="69">
        <f ca="1">INDEX(INDIVIDUEL!$B$1:$Z$1000,MATCH(INDIRECT("B"&amp;ROW()),INDIVIDUEL!$C$1:$C$1000,0),22)</f>
        <v>268.82127401804695</v>
      </c>
      <c r="W22" s="131"/>
      <c r="X22" s="131"/>
    </row>
    <row r="23" spans="1:24" ht="23.25" thickBot="1">
      <c r="A23" s="129" t="s">
        <v>382</v>
      </c>
      <c r="B23" s="65" t="s">
        <v>230</v>
      </c>
      <c r="C23" s="63"/>
      <c r="D23" s="64" t="str">
        <f ca="1">INDEX(INDIVIDUEL!$B$1:$Z$1000,MATCH(INDIRECT("B"&amp;ROW()),INDIVIDUEL!$C$1:$C$1000,0),4)</f>
        <v>F</v>
      </c>
      <c r="E23" s="42" t="str">
        <f ca="1">INDEX(INDIVIDUEL!$B$1:$Z$1000,MATCH(INDIRECT("B"&amp;ROW()),INDIVIDUEL!$C$1:$C$1000,0),5)</f>
        <v>MAHIEUX</v>
      </c>
      <c r="F23" s="43" t="str">
        <f ca="1">INDEX(INDIVIDUEL!$B$1:$Z$1000,MATCH(INDIRECT("B"&amp;ROW()),INDIVIDUEL!$C$1:$C$1000,0),6)</f>
        <v>LOLA</v>
      </c>
      <c r="G23" s="59">
        <f ca="1">INDEX(INDIVIDUEL!$B$1:$Z$1000,MATCH(INDIRECT("B"&amp;ROW()),INDIVIDUEL!$C$1:$C$1000,0),7)</f>
        <v>1998</v>
      </c>
      <c r="H23" s="61" t="str">
        <f ca="1">INDEX(INDIVIDUEL!$B$1:$Z$1000,MATCH(INDIRECT("B"&amp;ROW()),INDIVIDUEL!$C$1:$C$1000,0),8)</f>
        <v>UMONTPELLIER STAPS</v>
      </c>
      <c r="I23" s="60" t="str">
        <f ca="1">INDEX(INDIVIDUEL!$B$1:$Z$1000,MATCH(INDIRECT("B"&amp;ROW()),INDIVIDUEL!$C$1:$C$1000,0),9)</f>
        <v>FRA</v>
      </c>
      <c r="J23" s="44">
        <f ca="1">INDEX(INDIVIDUEL!$B$1:$Z$1000,MATCH(INDIRECT("B"&amp;ROW()),INDIVIDUEL!$C$1:$C$1000,0),10)</f>
        <v>70.8</v>
      </c>
      <c r="K23" s="67">
        <f ca="1">INDEX(INDIVIDUEL!$B$1:$Z$1000,MATCH(INDIRECT("B"&amp;ROW()),INDIVIDUEL!$C$1:$C$1000,0),11)</f>
        <v>-43</v>
      </c>
      <c r="L23" s="67">
        <f ca="1">INDEX(INDIVIDUEL!$B$1:$Z$1000,MATCH(INDIRECT("B"&amp;ROW()),INDIVIDUEL!$C$1:$C$1000,0),12)</f>
        <v>-43</v>
      </c>
      <c r="M23" s="67">
        <f ca="1">INDEX(INDIVIDUEL!$B$1:$Z$1000,MATCH(INDIRECT("B"&amp;ROW()),INDIVIDUEL!$C$1:$C$1000,0),13)</f>
        <v>43</v>
      </c>
      <c r="N23" s="45">
        <f ca="1">INDEX(INDIVIDUEL!$B$1:$Z$1000,MATCH(INDIRECT("B"&amp;ROW()),INDIVIDUEL!$C$1:$C$1000,0),14)</f>
        <v>43</v>
      </c>
      <c r="O23" s="67">
        <f ca="1">INDEX(INDIVIDUEL!$B$1:$Z$1000,MATCH(INDIRECT("B"&amp;ROW()),INDIVIDUEL!$C$1:$C$1000,0),15)</f>
        <v>58</v>
      </c>
      <c r="P23" s="67">
        <f ca="1">INDEX(INDIVIDUEL!$B$1:$Z$1000,MATCH(INDIRECT("B"&amp;ROW()),INDIVIDUEL!$C$1:$C$1000,0),16)</f>
        <v>60</v>
      </c>
      <c r="Q23" s="67">
        <f ca="1">INDEX(INDIVIDUEL!$B$1:$Z$1000,MATCH(INDIRECT("B"&amp;ROW()),INDIVIDUEL!$C$1:$C$1000,0),17)</f>
        <v>-63</v>
      </c>
      <c r="R23" s="45">
        <f ca="1">INDEX(INDIVIDUEL!$B$1:$Z$1000,MATCH(INDIRECT("B"&amp;ROW()),INDIVIDUEL!$C$1:$C$1000,0),18)</f>
        <v>60</v>
      </c>
      <c r="S23" s="46">
        <f ca="1">INDEX(INDIVIDUEL!$B$1:$Z$1000,MATCH(INDIRECT("B"&amp;ROW()),INDIVIDUEL!$C$1:$C$1000,0),19)</f>
        <v>103</v>
      </c>
      <c r="T23" s="68" t="str">
        <f ca="1">INDEX(INDIVIDUEL!$B$1:$Z$1000,MATCH(INDIRECT("B"&amp;ROW()),INDIVIDUEL!$C$1:$C$1000,0),20)</f>
        <v>DPT + 13</v>
      </c>
      <c r="U23" s="68" t="str">
        <f ca="1">INDEX(INDIVIDUEL!$B$1:$Z$1000,MATCH(INDIRECT("B"&amp;ROW()),INDIVIDUEL!$C$1:$C$1000,0),21)</f>
        <v>SE F71</v>
      </c>
      <c r="V23" s="69">
        <f ca="1">INDEX(INDIVIDUEL!$B$1:$Z$1000,MATCH(INDIRECT("B"&amp;ROW()),INDIVIDUEL!$C$1:$C$1000,0),22)</f>
        <v>126.34599891191193</v>
      </c>
      <c r="W23" s="129">
        <f ca="1">_xlfn.IFERROR(SUM(INDIRECT("V"&amp;ROW()):INDIRECT("V"&amp;ROW()+2)),"")</f>
        <v>579.7345884281178</v>
      </c>
      <c r="X23" s="129">
        <f>_xlfn.IFERROR(RANK(W23,W:W,0),"")</f>
        <v>6</v>
      </c>
    </row>
    <row r="24" spans="1:24" ht="23.25" thickBot="1">
      <c r="A24" s="130"/>
      <c r="B24" s="65" t="s">
        <v>357</v>
      </c>
      <c r="C24" s="63"/>
      <c r="D24" s="64" t="str">
        <f ca="1">INDEX(INDIVIDUEL!$B$1:$Z$1000,MATCH(INDIRECT("B"&amp;ROW()),INDIVIDUEL!$C$1:$C$1000,0),4)</f>
        <v>H</v>
      </c>
      <c r="E24" s="42" t="str">
        <f ca="1">INDEX(INDIVIDUEL!$B$1:$Z$1000,MATCH(INDIRECT("B"&amp;ROW()),INDIVIDUEL!$C$1:$C$1000,0),5)</f>
        <v>FERRU</v>
      </c>
      <c r="F24" s="43" t="str">
        <f ca="1">INDEX(INDIVIDUEL!$B$1:$Z$1000,MATCH(INDIRECT("B"&amp;ROW()),INDIVIDUEL!$C$1:$C$1000,0),6)</f>
        <v>QUENTIN</v>
      </c>
      <c r="G24" s="59">
        <f ca="1">INDEX(INDIVIDUEL!$B$1:$Z$1000,MATCH(INDIRECT("B"&amp;ROW()),INDIVIDUEL!$C$1:$C$1000,0),7)</f>
        <v>1997</v>
      </c>
      <c r="H24" s="61" t="str">
        <f ca="1">INDEX(INDIVIDUEL!$B$1:$Z$1000,MATCH(INDIRECT("B"&amp;ROW()),INDIVIDUEL!$C$1:$C$1000,0),8)</f>
        <v>UMONTPELLIER STAPS</v>
      </c>
      <c r="I24" s="60" t="str">
        <f ca="1">INDEX(INDIVIDUEL!$B$1:$Z$1000,MATCH(INDIRECT("B"&amp;ROW()),INDIVIDUEL!$C$1:$C$1000,0),9)</f>
        <v>FRA</v>
      </c>
      <c r="J24" s="44">
        <f ca="1">INDEX(INDIVIDUEL!$B$1:$Z$1000,MATCH(INDIRECT("B"&amp;ROW()),INDIVIDUEL!$C$1:$C$1000,0),10)</f>
        <v>85.4</v>
      </c>
      <c r="K24" s="67">
        <f ca="1">INDEX(INDIVIDUEL!$B$1:$Z$1000,MATCH(INDIRECT("B"&amp;ROW()),INDIVIDUEL!$C$1:$C$1000,0),11)</f>
        <v>73</v>
      </c>
      <c r="L24" s="67">
        <f ca="1">INDEX(INDIVIDUEL!$B$1:$Z$1000,MATCH(INDIRECT("B"&amp;ROW()),INDIVIDUEL!$C$1:$C$1000,0),12)</f>
        <v>78</v>
      </c>
      <c r="M24" s="67">
        <f ca="1">INDEX(INDIVIDUEL!$B$1:$Z$1000,MATCH(INDIRECT("B"&amp;ROW()),INDIVIDUEL!$C$1:$C$1000,0),13)</f>
        <v>85</v>
      </c>
      <c r="N24" s="45">
        <f ca="1">INDEX(INDIVIDUEL!$B$1:$Z$1000,MATCH(INDIRECT("B"&amp;ROW()),INDIVIDUEL!$C$1:$C$1000,0),14)</f>
        <v>85</v>
      </c>
      <c r="O24" s="67">
        <f ca="1">INDEX(INDIVIDUEL!$B$1:$Z$1000,MATCH(INDIRECT("B"&amp;ROW()),INDIVIDUEL!$C$1:$C$1000,0),15)</f>
        <v>-98</v>
      </c>
      <c r="P24" s="67">
        <f ca="1">INDEX(INDIVIDUEL!$B$1:$Z$1000,MATCH(INDIRECT("B"&amp;ROW()),INDIVIDUEL!$C$1:$C$1000,0),16)</f>
        <v>100</v>
      </c>
      <c r="Q24" s="67">
        <f ca="1">INDEX(INDIVIDUEL!$B$1:$Z$1000,MATCH(INDIRECT("B"&amp;ROW()),INDIVIDUEL!$C$1:$C$1000,0),17)</f>
        <v>-105</v>
      </c>
      <c r="R24" s="45">
        <f ca="1">INDEX(INDIVIDUEL!$B$1:$Z$1000,MATCH(INDIRECT("B"&amp;ROW()),INDIVIDUEL!$C$1:$C$1000,0),18)</f>
        <v>100</v>
      </c>
      <c r="S24" s="46">
        <f ca="1">INDEX(INDIVIDUEL!$B$1:$Z$1000,MATCH(INDIRECT("B"&amp;ROW()),INDIVIDUEL!$C$1:$C$1000,0),19)</f>
        <v>185</v>
      </c>
      <c r="T24" s="68" t="str">
        <f ca="1">INDEX(INDIVIDUEL!$B$1:$Z$1000,MATCH(INDIRECT("B"&amp;ROW()),INDIVIDUEL!$C$1:$C$1000,0),20)</f>
        <v>DPT + 10</v>
      </c>
      <c r="U24" s="68" t="str">
        <f ca="1">INDEX(INDIVIDUEL!$B$1:$Z$1000,MATCH(INDIRECT("B"&amp;ROW()),INDIVIDUEL!$C$1:$C$1000,0),21)</f>
        <v>SE M89</v>
      </c>
      <c r="V24" s="69">
        <f ca="1">INDEX(INDIVIDUEL!$B$1:$Z$1000,MATCH(INDIRECT("B"&amp;ROW()),INDIVIDUEL!$C$1:$C$1000,0),22)</f>
        <v>219.1610068237524</v>
      </c>
      <c r="W24" s="130"/>
      <c r="X24" s="130"/>
    </row>
    <row r="25" spans="1:24" ht="23.25" thickBot="1">
      <c r="A25" s="131"/>
      <c r="B25" s="65" t="s">
        <v>323</v>
      </c>
      <c r="C25" s="63"/>
      <c r="D25" s="64" t="str">
        <f ca="1">INDEX(INDIVIDUEL!$B$1:$Z$1000,MATCH(INDIRECT("B"&amp;ROW()),INDIVIDUEL!$C$1:$C$1000,0),4)</f>
        <v>H</v>
      </c>
      <c r="E25" s="42" t="str">
        <f ca="1">INDEX(INDIVIDUEL!$B$1:$Z$1000,MATCH(INDIRECT("B"&amp;ROW()),INDIVIDUEL!$C$1:$C$1000,0),5)</f>
        <v>ARMANGAU</v>
      </c>
      <c r="F25" s="43" t="str">
        <f ca="1">INDEX(INDIVIDUEL!$B$1:$Z$1000,MATCH(INDIRECT("B"&amp;ROW()),INDIVIDUEL!$C$1:$C$1000,0),6)</f>
        <v>MIGUEL</v>
      </c>
      <c r="G25" s="59">
        <f ca="1">INDEX(INDIVIDUEL!$B$1:$Z$1000,MATCH(INDIRECT("B"&amp;ROW()),INDIVIDUEL!$C$1:$C$1000,0),7)</f>
        <v>1996</v>
      </c>
      <c r="H25" s="61" t="str">
        <f ca="1">INDEX(INDIVIDUEL!$B$1:$Z$1000,MATCH(INDIRECT("B"&amp;ROW()),INDIVIDUEL!$C$1:$C$1000,0),8)</f>
        <v>UMONTPELLIER STAPS</v>
      </c>
      <c r="I25" s="60" t="str">
        <f ca="1">INDEX(INDIVIDUEL!$B$1:$Z$1000,MATCH(INDIRECT("B"&amp;ROW()),INDIVIDUEL!$C$1:$C$1000,0),9)</f>
        <v>FRA</v>
      </c>
      <c r="J25" s="44">
        <f ca="1">INDEX(INDIVIDUEL!$B$1:$Z$1000,MATCH(INDIRECT("B"&amp;ROW()),INDIVIDUEL!$C$1:$C$1000,0),10)</f>
        <v>76.5</v>
      </c>
      <c r="K25" s="67">
        <f ca="1">INDEX(INDIVIDUEL!$B$1:$Z$1000,MATCH(INDIRECT("B"&amp;ROW()),INDIVIDUEL!$C$1:$C$1000,0),11)</f>
        <v>-80</v>
      </c>
      <c r="L25" s="67">
        <f ca="1">INDEX(INDIVIDUEL!$B$1:$Z$1000,MATCH(INDIRECT("B"&amp;ROW()),INDIVIDUEL!$C$1:$C$1000,0),12)</f>
        <v>-87</v>
      </c>
      <c r="M25" s="67">
        <f ca="1">INDEX(INDIVIDUEL!$B$1:$Z$1000,MATCH(INDIRECT("B"&amp;ROW()),INDIVIDUEL!$C$1:$C$1000,0),13)</f>
        <v>87</v>
      </c>
      <c r="N25" s="45">
        <f ca="1">INDEX(INDIVIDUEL!$B$1:$Z$1000,MATCH(INDIRECT("B"&amp;ROW()),INDIVIDUEL!$C$1:$C$1000,0),14)</f>
        <v>87</v>
      </c>
      <c r="O25" s="67">
        <f ca="1">INDEX(INDIVIDUEL!$B$1:$Z$1000,MATCH(INDIRECT("B"&amp;ROW()),INDIVIDUEL!$C$1:$C$1000,0),15)</f>
        <v>-100</v>
      </c>
      <c r="P25" s="67">
        <f ca="1">INDEX(INDIVIDUEL!$B$1:$Z$1000,MATCH(INDIRECT("B"&amp;ROW()),INDIVIDUEL!$C$1:$C$1000,0),16)</f>
        <v>100</v>
      </c>
      <c r="Q25" s="67">
        <f ca="1">INDEX(INDIVIDUEL!$B$1:$Z$1000,MATCH(INDIRECT("B"&amp;ROW()),INDIVIDUEL!$C$1:$C$1000,0),17)</f>
        <v>-111</v>
      </c>
      <c r="R25" s="45">
        <f ca="1">INDEX(INDIVIDUEL!$B$1:$Z$1000,MATCH(INDIRECT("B"&amp;ROW()),INDIVIDUEL!$C$1:$C$1000,0),18)</f>
        <v>100</v>
      </c>
      <c r="S25" s="46">
        <f ca="1">INDEX(INDIVIDUEL!$B$1:$Z$1000,MATCH(INDIRECT("B"&amp;ROW()),INDIVIDUEL!$C$1:$C$1000,0),19)</f>
        <v>187</v>
      </c>
      <c r="T25" s="68" t="str">
        <f ca="1">INDEX(INDIVIDUEL!$B$1:$Z$1000,MATCH(INDIRECT("B"&amp;ROW()),INDIVIDUEL!$C$1:$C$1000,0),20)</f>
        <v>DPT + 17</v>
      </c>
      <c r="U25" s="68" t="str">
        <f ca="1">INDEX(INDIVIDUEL!$B$1:$Z$1000,MATCH(INDIRECT("B"&amp;ROW()),INDIVIDUEL!$C$1:$C$1000,0),21)</f>
        <v>SE M81</v>
      </c>
      <c r="V25" s="69">
        <f ca="1">INDEX(INDIVIDUEL!$B$1:$Z$1000,MATCH(INDIRECT("B"&amp;ROW()),INDIVIDUEL!$C$1:$C$1000,0),22)</f>
        <v>234.22758269245347</v>
      </c>
      <c r="W25" s="131"/>
      <c r="X25" s="131"/>
    </row>
    <row r="26" spans="1:24" ht="23.25" thickBot="1">
      <c r="A26" s="129" t="s">
        <v>383</v>
      </c>
      <c r="B26" s="65" t="s">
        <v>206</v>
      </c>
      <c r="C26" s="63"/>
      <c r="D26" s="64" t="str">
        <f ca="1">INDEX(INDIVIDUEL!$B$1:$Z$1000,MATCH(INDIRECT("B"&amp;ROW()),INDIVIDUEL!$C$1:$C$1000,0),4)</f>
        <v>F</v>
      </c>
      <c r="E26" s="42" t="str">
        <f ca="1">INDEX(INDIVIDUEL!$B$1:$Z$1000,MATCH(INDIRECT("B"&amp;ROW()),INDIVIDUEL!$C$1:$C$1000,0),5)</f>
        <v>MARTINEZ MEJIAS</v>
      </c>
      <c r="F26" s="43" t="str">
        <f ca="1">INDEX(INDIVIDUEL!$B$1:$Z$1000,MATCH(INDIRECT("B"&amp;ROW()),INDIVIDUEL!$C$1:$C$1000,0),6)</f>
        <v>MARIA</v>
      </c>
      <c r="G26" s="59">
        <f ca="1">INDEX(INDIVIDUEL!$B$1:$Z$1000,MATCH(INDIRECT("B"&amp;ROW()),INDIVIDUEL!$C$1:$C$1000,0),7)</f>
        <v>2000</v>
      </c>
      <c r="H26" s="61" t="str">
        <f ca="1">INDEX(INDIVIDUEL!$B$1:$Z$1000,MATCH(INDIRECT("B"&amp;ROW()),INDIVIDUEL!$C$1:$C$1000,0),8)</f>
        <v>UMONTPELLIER STAPS</v>
      </c>
      <c r="I26" s="60" t="str">
        <f ca="1">INDEX(INDIVIDUEL!$B$1:$Z$1000,MATCH(INDIRECT("B"&amp;ROW()),INDIVIDUEL!$C$1:$C$1000,0),9)</f>
        <v>FRA</v>
      </c>
      <c r="J26" s="44">
        <f ca="1">INDEX(INDIVIDUEL!$B$1:$Z$1000,MATCH(INDIRECT("B"&amp;ROW()),INDIVIDUEL!$C$1:$C$1000,0),10)</f>
        <v>58.5</v>
      </c>
      <c r="K26" s="67">
        <f ca="1">INDEX(INDIVIDUEL!$B$1:$Z$1000,MATCH(INDIRECT("B"&amp;ROW()),INDIVIDUEL!$C$1:$C$1000,0),11)</f>
        <v>-45</v>
      </c>
      <c r="L26" s="67">
        <f ca="1">INDEX(INDIVIDUEL!$B$1:$Z$1000,MATCH(INDIRECT("B"&amp;ROW()),INDIVIDUEL!$C$1:$C$1000,0),12)</f>
        <v>45</v>
      </c>
      <c r="M26" s="67">
        <f ca="1">INDEX(INDIVIDUEL!$B$1:$Z$1000,MATCH(INDIRECT("B"&amp;ROW()),INDIVIDUEL!$C$1:$C$1000,0),13)</f>
        <v>50</v>
      </c>
      <c r="N26" s="45">
        <f ca="1">INDEX(INDIVIDUEL!$B$1:$Z$1000,MATCH(INDIRECT("B"&amp;ROW()),INDIVIDUEL!$C$1:$C$1000,0),14)</f>
        <v>50</v>
      </c>
      <c r="O26" s="67">
        <f ca="1">INDEX(INDIVIDUEL!$B$1:$Z$1000,MATCH(INDIRECT("B"&amp;ROW()),INDIVIDUEL!$C$1:$C$1000,0),15)</f>
        <v>-55</v>
      </c>
      <c r="P26" s="67">
        <f ca="1">INDEX(INDIVIDUEL!$B$1:$Z$1000,MATCH(INDIRECT("B"&amp;ROW()),INDIVIDUEL!$C$1:$C$1000,0),16)</f>
        <v>55</v>
      </c>
      <c r="Q26" s="67">
        <f ca="1">INDEX(INDIVIDUEL!$B$1:$Z$1000,MATCH(INDIRECT("B"&amp;ROW()),INDIVIDUEL!$C$1:$C$1000,0),17)</f>
        <v>60</v>
      </c>
      <c r="R26" s="45">
        <f ca="1">INDEX(INDIVIDUEL!$B$1:$Z$1000,MATCH(INDIRECT("B"&amp;ROW()),INDIVIDUEL!$C$1:$C$1000,0),18)</f>
        <v>60</v>
      </c>
      <c r="S26" s="46">
        <f ca="1">INDEX(INDIVIDUEL!$B$1:$Z$1000,MATCH(INDIRECT("B"&amp;ROW()),INDIVIDUEL!$C$1:$C$1000,0),19)</f>
        <v>110</v>
      </c>
      <c r="T26" s="68" t="str">
        <f ca="1">INDEX(INDIVIDUEL!$B$1:$Z$1000,MATCH(INDIRECT("B"&amp;ROW()),INDIVIDUEL!$C$1:$C$1000,0),20)</f>
        <v>FED + 0</v>
      </c>
      <c r="U26" s="68" t="str">
        <f ca="1">INDEX(INDIVIDUEL!$B$1:$Z$1000,MATCH(INDIRECT("B"&amp;ROW()),INDIVIDUEL!$C$1:$C$1000,0),21)</f>
        <v>U20 F59</v>
      </c>
      <c r="V26" s="69">
        <f ca="1">INDEX(INDIVIDUEL!$B$1:$Z$1000,MATCH(INDIRECT("B"&amp;ROW()),INDIVIDUEL!$C$1:$C$1000,0),22)</f>
        <v>151.07792572008253</v>
      </c>
      <c r="W26" s="129">
        <f ca="1">_xlfn.IFERROR(SUM(INDIRECT("V"&amp;ROW()):INDIRECT("V"&amp;ROW()+2)),"")</f>
        <v>596.4454082633038</v>
      </c>
      <c r="X26" s="129">
        <f>_xlfn.IFERROR(RANK(W26,W:W,0),"")</f>
        <v>5</v>
      </c>
    </row>
    <row r="27" spans="1:24" ht="23.25" thickBot="1">
      <c r="A27" s="130"/>
      <c r="B27" s="65" t="s">
        <v>258</v>
      </c>
      <c r="C27" s="63"/>
      <c r="D27" s="64" t="str">
        <f ca="1">INDEX(INDIVIDUEL!$B$1:$Z$1000,MATCH(INDIRECT("B"&amp;ROW()),INDIVIDUEL!$C$1:$C$1000,0),4)</f>
        <v>H</v>
      </c>
      <c r="E27" s="42" t="str">
        <f ca="1">INDEX(INDIVIDUEL!$B$1:$Z$1000,MATCH(INDIRECT("B"&amp;ROW()),INDIVIDUEL!$C$1:$C$1000,0),5)</f>
        <v>BERNARD</v>
      </c>
      <c r="F27" s="43" t="str">
        <f ca="1">INDEX(INDIVIDUEL!$B$1:$Z$1000,MATCH(INDIRECT("B"&amp;ROW()),INDIVIDUEL!$C$1:$C$1000,0),6)</f>
        <v>AXEL</v>
      </c>
      <c r="G27" s="59">
        <f ca="1">INDEX(INDIVIDUEL!$B$1:$Z$1000,MATCH(INDIRECT("B"&amp;ROW()),INDIVIDUEL!$C$1:$C$1000,0),7)</f>
        <v>1999</v>
      </c>
      <c r="H27" s="61" t="str">
        <f ca="1">INDEX(INDIVIDUEL!$B$1:$Z$1000,MATCH(INDIRECT("B"&amp;ROW()),INDIVIDUEL!$C$1:$C$1000,0),8)</f>
        <v>UMONTPELLIER STAPS</v>
      </c>
      <c r="I27" s="60" t="str">
        <f ca="1">INDEX(INDIVIDUEL!$B$1:$Z$1000,MATCH(INDIRECT("B"&amp;ROW()),INDIVIDUEL!$C$1:$C$1000,0),9)</f>
        <v>FRA</v>
      </c>
      <c r="J27" s="44">
        <f ca="1">INDEX(INDIVIDUEL!$B$1:$Z$1000,MATCH(INDIRECT("B"&amp;ROW()),INDIVIDUEL!$C$1:$C$1000,0),10)</f>
        <v>65.1</v>
      </c>
      <c r="K27" s="67">
        <f ca="1">INDEX(INDIVIDUEL!$B$1:$Z$1000,MATCH(INDIRECT("B"&amp;ROW()),INDIVIDUEL!$C$1:$C$1000,0),11)</f>
        <v>70</v>
      </c>
      <c r="L27" s="67">
        <f ca="1">INDEX(INDIVIDUEL!$B$1:$Z$1000,MATCH(INDIRECT("B"&amp;ROW()),INDIVIDUEL!$C$1:$C$1000,0),12)</f>
        <v>-75</v>
      </c>
      <c r="M27" s="67">
        <f ca="1">INDEX(INDIVIDUEL!$B$1:$Z$1000,MATCH(INDIRECT("B"&amp;ROW()),INDIVIDUEL!$C$1:$C$1000,0),13)</f>
        <v>-78</v>
      </c>
      <c r="N27" s="45">
        <f ca="1">INDEX(INDIVIDUEL!$B$1:$Z$1000,MATCH(INDIRECT("B"&amp;ROW()),INDIVIDUEL!$C$1:$C$1000,0),14)</f>
        <v>70</v>
      </c>
      <c r="O27" s="67">
        <f ca="1">INDEX(INDIVIDUEL!$B$1:$Z$1000,MATCH(INDIRECT("B"&amp;ROW()),INDIVIDUEL!$C$1:$C$1000,0),15)</f>
        <v>80</v>
      </c>
      <c r="P27" s="67">
        <f ca="1">INDEX(INDIVIDUEL!$B$1:$Z$1000,MATCH(INDIRECT("B"&amp;ROW()),INDIVIDUEL!$C$1:$C$1000,0),16)</f>
        <v>-85</v>
      </c>
      <c r="Q27" s="67">
        <f ca="1">INDEX(INDIVIDUEL!$B$1:$Z$1000,MATCH(INDIRECT("B"&amp;ROW()),INDIVIDUEL!$C$1:$C$1000,0),17)</f>
        <v>-85</v>
      </c>
      <c r="R27" s="45">
        <f ca="1">INDEX(INDIVIDUEL!$B$1:$Z$1000,MATCH(INDIRECT("B"&amp;ROW()),INDIVIDUEL!$C$1:$C$1000,0),18)</f>
        <v>80</v>
      </c>
      <c r="S27" s="46">
        <f ca="1">INDEX(INDIVIDUEL!$B$1:$Z$1000,MATCH(INDIRECT("B"&amp;ROW()),INDIVIDUEL!$C$1:$C$1000,0),19)</f>
        <v>150</v>
      </c>
      <c r="T27" s="68" t="str">
        <f ca="1">INDEX(INDIVIDUEL!$B$1:$Z$1000,MATCH(INDIRECT("B"&amp;ROW()),INDIVIDUEL!$C$1:$C$1000,0),20)</f>
        <v>REG + 0</v>
      </c>
      <c r="U27" s="68" t="str">
        <f ca="1">INDEX(INDIVIDUEL!$B$1:$Z$1000,MATCH(INDIRECT("B"&amp;ROW()),INDIVIDUEL!$C$1:$C$1000,0),21)</f>
        <v>U20 M67</v>
      </c>
      <c r="V27" s="69">
        <f ca="1">INDEX(INDIVIDUEL!$B$1:$Z$1000,MATCH(INDIRECT("B"&amp;ROW()),INDIVIDUEL!$C$1:$C$1000,0),22)</f>
        <v>206.8184371810014</v>
      </c>
      <c r="W27" s="130"/>
      <c r="X27" s="130"/>
    </row>
    <row r="28" spans="1:24" ht="23.25" thickBot="1">
      <c r="A28" s="131"/>
      <c r="B28" s="65" t="s">
        <v>317</v>
      </c>
      <c r="C28" s="63"/>
      <c r="D28" s="64" t="str">
        <f ca="1">INDEX(INDIVIDUEL!$B$1:$Z$1000,MATCH(INDIRECT("B"&amp;ROW()),INDIVIDUEL!$C$1:$C$1000,0),4)</f>
        <v>H</v>
      </c>
      <c r="E28" s="42" t="str">
        <f ca="1">INDEX(INDIVIDUEL!$B$1:$Z$1000,MATCH(INDIRECT("B"&amp;ROW()),INDIVIDUEL!$C$1:$C$1000,0),5)</f>
        <v>CEJKO</v>
      </c>
      <c r="F28" s="43" t="str">
        <f ca="1">INDEX(INDIVIDUEL!$B$1:$Z$1000,MATCH(INDIRECT("B"&amp;ROW()),INDIVIDUEL!$C$1:$C$1000,0),6)</f>
        <v>LUCAS</v>
      </c>
      <c r="G28" s="59">
        <f ca="1">INDEX(INDIVIDUEL!$B$1:$Z$1000,MATCH(INDIRECT("B"&amp;ROW()),INDIVIDUEL!$C$1:$C$1000,0),7)</f>
        <v>1999</v>
      </c>
      <c r="H28" s="61" t="str">
        <f ca="1">INDEX(INDIVIDUEL!$B$1:$Z$1000,MATCH(INDIRECT("B"&amp;ROW()),INDIVIDUEL!$C$1:$C$1000,0),8)</f>
        <v>UMONTPELLIER STAPS</v>
      </c>
      <c r="I28" s="60" t="str">
        <f ca="1">INDEX(INDIVIDUEL!$B$1:$Z$1000,MATCH(INDIRECT("B"&amp;ROW()),INDIVIDUEL!$C$1:$C$1000,0),9)</f>
        <v>FRA</v>
      </c>
      <c r="J28" s="44">
        <f ca="1">INDEX(INDIVIDUEL!$B$1:$Z$1000,MATCH(INDIRECT("B"&amp;ROW()),INDIVIDUEL!$C$1:$C$1000,0),10)</f>
        <v>80</v>
      </c>
      <c r="K28" s="67">
        <f ca="1">INDEX(INDIVIDUEL!$B$1:$Z$1000,MATCH(INDIRECT("B"&amp;ROW()),INDIVIDUEL!$C$1:$C$1000,0),11)</f>
        <v>77</v>
      </c>
      <c r="L28" s="67">
        <f ca="1">INDEX(INDIVIDUEL!$B$1:$Z$1000,MATCH(INDIRECT("B"&amp;ROW()),INDIVIDUEL!$C$1:$C$1000,0),12)</f>
        <v>80</v>
      </c>
      <c r="M28" s="67">
        <f ca="1">INDEX(INDIVIDUEL!$B$1:$Z$1000,MATCH(INDIRECT("B"&amp;ROW()),INDIVIDUEL!$C$1:$C$1000,0),13)</f>
        <v>85</v>
      </c>
      <c r="N28" s="45">
        <f ca="1">INDEX(INDIVIDUEL!$B$1:$Z$1000,MATCH(INDIRECT("B"&amp;ROW()),INDIVIDUEL!$C$1:$C$1000,0),14)</f>
        <v>85</v>
      </c>
      <c r="O28" s="67">
        <f ca="1">INDEX(INDIVIDUEL!$B$1:$Z$1000,MATCH(INDIRECT("B"&amp;ROW()),INDIVIDUEL!$C$1:$C$1000,0),15)</f>
        <v>105</v>
      </c>
      <c r="P28" s="67">
        <f ca="1">INDEX(INDIVIDUEL!$B$1:$Z$1000,MATCH(INDIRECT("B"&amp;ROW()),INDIVIDUEL!$C$1:$C$1000,0),16)</f>
        <v>110</v>
      </c>
      <c r="Q28" s="67">
        <f ca="1">INDEX(INDIVIDUEL!$B$1:$Z$1000,MATCH(INDIRECT("B"&amp;ROW()),INDIVIDUEL!$C$1:$C$1000,0),17)</f>
        <v>-115</v>
      </c>
      <c r="R28" s="45">
        <f ca="1">INDEX(INDIVIDUEL!$B$1:$Z$1000,MATCH(INDIRECT("B"&amp;ROW()),INDIVIDUEL!$C$1:$C$1000,0),18)</f>
        <v>110</v>
      </c>
      <c r="S28" s="46">
        <f ca="1">INDEX(INDIVIDUEL!$B$1:$Z$1000,MATCH(INDIRECT("B"&amp;ROW()),INDIVIDUEL!$C$1:$C$1000,0),19)</f>
        <v>195</v>
      </c>
      <c r="T28" s="68" t="str">
        <f ca="1">INDEX(INDIVIDUEL!$B$1:$Z$1000,MATCH(INDIRECT("B"&amp;ROW()),INDIVIDUEL!$C$1:$C$1000,0),20)</f>
        <v>IRG + 5</v>
      </c>
      <c r="U28" s="68" t="str">
        <f ca="1">INDEX(INDIVIDUEL!$B$1:$Z$1000,MATCH(INDIRECT("B"&amp;ROW()),INDIVIDUEL!$C$1:$C$1000,0),21)</f>
        <v>U20 M81</v>
      </c>
      <c r="V28" s="69">
        <f ca="1">INDEX(INDIVIDUEL!$B$1:$Z$1000,MATCH(INDIRECT("B"&amp;ROW()),INDIVIDUEL!$C$1:$C$1000,0),22)</f>
        <v>238.54904536221986</v>
      </c>
      <c r="W28" s="131"/>
      <c r="X28" s="131"/>
    </row>
    <row r="29" spans="1:24" ht="23.25" thickBot="1">
      <c r="A29" s="129" t="s">
        <v>384</v>
      </c>
      <c r="B29" s="65" t="s">
        <v>219</v>
      </c>
      <c r="C29" s="63"/>
      <c r="D29" s="64" t="str">
        <f ca="1">INDEX(INDIVIDUEL!$B$1:$Z$1000,MATCH(INDIRECT("B"&amp;ROW()),INDIVIDUEL!$C$1:$C$1000,0),4)</f>
        <v>F</v>
      </c>
      <c r="E29" s="42" t="str">
        <f ca="1">INDEX(INDIVIDUEL!$B$1:$Z$1000,MATCH(INDIRECT("B"&amp;ROW()),INDIVIDUEL!$C$1:$C$1000,0),5)</f>
        <v>POLLASTRI</v>
      </c>
      <c r="F29" s="43" t="str">
        <f ca="1">INDEX(INDIVIDUEL!$B$1:$Z$1000,MATCH(INDIRECT("B"&amp;ROW()),INDIVIDUEL!$C$1:$C$1000,0),6)</f>
        <v>VICTORIA</v>
      </c>
      <c r="G29" s="59">
        <f ca="1">INDEX(INDIVIDUEL!$B$1:$Z$1000,MATCH(INDIRECT("B"&amp;ROW()),INDIVIDUEL!$C$1:$C$1000,0),7)</f>
        <v>1994</v>
      </c>
      <c r="H29" s="61" t="str">
        <f ca="1">INDEX(INDIVIDUEL!$B$1:$Z$1000,MATCH(INDIRECT("B"&amp;ROW()),INDIVIDUEL!$C$1:$C$1000,0),8)</f>
        <v>UMONTPELLIER STAPS</v>
      </c>
      <c r="I29" s="60" t="str">
        <f ca="1">INDEX(INDIVIDUEL!$B$1:$Z$1000,MATCH(INDIRECT("B"&amp;ROW()),INDIVIDUEL!$C$1:$C$1000,0),9)</f>
        <v>FRA</v>
      </c>
      <c r="J29" s="44">
        <f ca="1">INDEX(INDIVIDUEL!$B$1:$Z$1000,MATCH(INDIRECT("B"&amp;ROW()),INDIVIDUEL!$C$1:$C$1000,0),10)</f>
        <v>63.1</v>
      </c>
      <c r="K29" s="67">
        <f ca="1">INDEX(INDIVIDUEL!$B$1:$Z$1000,MATCH(INDIRECT("B"&amp;ROW()),INDIVIDUEL!$C$1:$C$1000,0),11)</f>
        <v>40</v>
      </c>
      <c r="L29" s="67">
        <f ca="1">INDEX(INDIVIDUEL!$B$1:$Z$1000,MATCH(INDIRECT("B"&amp;ROW()),INDIVIDUEL!$C$1:$C$1000,0),12)</f>
        <v>-45</v>
      </c>
      <c r="M29" s="67">
        <f ca="1">INDEX(INDIVIDUEL!$B$1:$Z$1000,MATCH(INDIRECT("B"&amp;ROW()),INDIVIDUEL!$C$1:$C$1000,0),13)</f>
        <v>-48</v>
      </c>
      <c r="N29" s="45">
        <f ca="1">INDEX(INDIVIDUEL!$B$1:$Z$1000,MATCH(INDIRECT("B"&amp;ROW()),INDIVIDUEL!$C$1:$C$1000,0),14)</f>
        <v>40</v>
      </c>
      <c r="O29" s="67">
        <f ca="1">INDEX(INDIVIDUEL!$B$1:$Z$1000,MATCH(INDIRECT("B"&amp;ROW()),INDIVIDUEL!$C$1:$C$1000,0),15)</f>
        <v>-45</v>
      </c>
      <c r="P29" s="67">
        <f ca="1">INDEX(INDIVIDUEL!$B$1:$Z$1000,MATCH(INDIRECT("B"&amp;ROW()),INDIVIDUEL!$C$1:$C$1000,0),16)</f>
        <v>45</v>
      </c>
      <c r="Q29" s="67">
        <f ca="1">INDEX(INDIVIDUEL!$B$1:$Z$1000,MATCH(INDIRECT("B"&amp;ROW()),INDIVIDUEL!$C$1:$C$1000,0),17)</f>
        <v>0</v>
      </c>
      <c r="R29" s="45">
        <f ca="1">INDEX(INDIVIDUEL!$B$1:$Z$1000,MATCH(INDIRECT("B"&amp;ROW()),INDIVIDUEL!$C$1:$C$1000,0),18)</f>
        <v>45</v>
      </c>
      <c r="S29" s="46">
        <f ca="1">INDEX(INDIVIDUEL!$B$1:$Z$1000,MATCH(INDIRECT("B"&amp;ROW()),INDIVIDUEL!$C$1:$C$1000,0),19)</f>
        <v>85</v>
      </c>
      <c r="T29" s="68" t="str">
        <f ca="1">INDEX(INDIVIDUEL!$B$1:$Z$1000,MATCH(INDIRECT("B"&amp;ROW()),INDIVIDUEL!$C$1:$C$1000,0),20)</f>
        <v>DPT + 0</v>
      </c>
      <c r="U29" s="68" t="str">
        <f ca="1">INDEX(INDIVIDUEL!$B$1:$Z$1000,MATCH(INDIRECT("B"&amp;ROW()),INDIVIDUEL!$C$1:$C$1000,0),21)</f>
        <v>SE F64</v>
      </c>
      <c r="V29" s="69">
        <f ca="1">INDEX(INDIVIDUEL!$B$1:$Z$1000,MATCH(INDIRECT("B"&amp;ROW()),INDIVIDUEL!$C$1:$C$1000,0),22)</f>
        <v>111.29356195688652</v>
      </c>
      <c r="W29" s="129">
        <f ca="1">_xlfn.IFERROR(SUM(INDIRECT("V"&amp;ROW()):INDIRECT("V"&amp;ROW()+2)),"")</f>
        <v>518.1282250197223</v>
      </c>
      <c r="X29" s="129">
        <f>_xlfn.IFERROR(RANK(W29,W:W,0),"")</f>
        <v>7</v>
      </c>
    </row>
    <row r="30" spans="1:24" ht="23.25" thickBot="1">
      <c r="A30" s="130"/>
      <c r="B30" s="65" t="s">
        <v>244</v>
      </c>
      <c r="C30" s="63"/>
      <c r="D30" s="64" t="str">
        <f ca="1">INDEX(INDIVIDUEL!$B$1:$Z$1000,MATCH(INDIRECT("B"&amp;ROW()),INDIVIDUEL!$C$1:$C$1000,0),4)</f>
        <v>H</v>
      </c>
      <c r="E30" s="42" t="str">
        <f ca="1">INDEX(INDIVIDUEL!$B$1:$Z$1000,MATCH(INDIRECT("B"&amp;ROW()),INDIVIDUEL!$C$1:$C$1000,0),5)</f>
        <v>DESOOMER</v>
      </c>
      <c r="F30" s="43" t="str">
        <f ca="1">INDEX(INDIVIDUEL!$B$1:$Z$1000,MATCH(INDIRECT("B"&amp;ROW()),INDIVIDUEL!$C$1:$C$1000,0),6)</f>
        <v>PAUL</v>
      </c>
      <c r="G30" s="59">
        <f ca="1">INDEX(INDIVIDUEL!$B$1:$Z$1000,MATCH(INDIRECT("B"&amp;ROW()),INDIVIDUEL!$C$1:$C$1000,0),7)</f>
        <v>1998</v>
      </c>
      <c r="H30" s="61" t="str">
        <f ca="1">INDEX(INDIVIDUEL!$B$1:$Z$1000,MATCH(INDIRECT("B"&amp;ROW()),INDIVIDUEL!$C$1:$C$1000,0),8)</f>
        <v>UMONTPELLIER STAPS</v>
      </c>
      <c r="I30" s="60" t="str">
        <f ca="1">INDEX(INDIVIDUEL!$B$1:$Z$1000,MATCH(INDIRECT("B"&amp;ROW()),INDIVIDUEL!$C$1:$C$1000,0),9)</f>
        <v>FRA</v>
      </c>
      <c r="J30" s="44">
        <f ca="1">INDEX(INDIVIDUEL!$B$1:$Z$1000,MATCH(INDIRECT("B"&amp;ROW()),INDIVIDUEL!$C$1:$C$1000,0),10)</f>
        <v>60.6</v>
      </c>
      <c r="K30" s="67">
        <f ca="1">INDEX(INDIVIDUEL!$B$1:$Z$1000,MATCH(INDIRECT("B"&amp;ROW()),INDIVIDUEL!$C$1:$C$1000,0),11)</f>
        <v>-55</v>
      </c>
      <c r="L30" s="67">
        <f ca="1">INDEX(INDIVIDUEL!$B$1:$Z$1000,MATCH(INDIRECT("B"&amp;ROW()),INDIVIDUEL!$C$1:$C$1000,0),12)</f>
        <v>58</v>
      </c>
      <c r="M30" s="67">
        <f ca="1">INDEX(INDIVIDUEL!$B$1:$Z$1000,MATCH(INDIRECT("B"&amp;ROW()),INDIVIDUEL!$C$1:$C$1000,0),13)</f>
        <v>-62</v>
      </c>
      <c r="N30" s="45">
        <f ca="1">INDEX(INDIVIDUEL!$B$1:$Z$1000,MATCH(INDIRECT("B"&amp;ROW()),INDIVIDUEL!$C$1:$C$1000,0),14)</f>
        <v>58</v>
      </c>
      <c r="O30" s="67">
        <f ca="1">INDEX(INDIVIDUEL!$B$1:$Z$1000,MATCH(INDIRECT("B"&amp;ROW()),INDIVIDUEL!$C$1:$C$1000,0),15)</f>
        <v>-72</v>
      </c>
      <c r="P30" s="67">
        <f ca="1">INDEX(INDIVIDUEL!$B$1:$Z$1000,MATCH(INDIRECT("B"&amp;ROW()),INDIVIDUEL!$C$1:$C$1000,0),16)</f>
        <v>72</v>
      </c>
      <c r="Q30" s="67">
        <f ca="1">INDEX(INDIVIDUEL!$B$1:$Z$1000,MATCH(INDIRECT("B"&amp;ROW()),INDIVIDUEL!$C$1:$C$1000,0),17)</f>
        <v>75</v>
      </c>
      <c r="R30" s="45">
        <f ca="1">INDEX(INDIVIDUEL!$B$1:$Z$1000,MATCH(INDIRECT("B"&amp;ROW()),INDIVIDUEL!$C$1:$C$1000,0),18)</f>
        <v>75</v>
      </c>
      <c r="S30" s="46">
        <f ca="1">INDEX(INDIVIDUEL!$B$1:$Z$1000,MATCH(INDIRECT("B"&amp;ROW()),INDIVIDUEL!$C$1:$C$1000,0),19)</f>
        <v>133</v>
      </c>
      <c r="T30" s="68" t="str">
        <f ca="1">INDEX(INDIVIDUEL!$B$1:$Z$1000,MATCH(INDIRECT("B"&amp;ROW()),INDIVIDUEL!$C$1:$C$1000,0),20)</f>
        <v>DPT + 3</v>
      </c>
      <c r="U30" s="68" t="str">
        <f ca="1">INDEX(INDIVIDUEL!$B$1:$Z$1000,MATCH(INDIRECT("B"&amp;ROW()),INDIVIDUEL!$C$1:$C$1000,0),21)</f>
        <v>SE M61</v>
      </c>
      <c r="V30" s="69">
        <f ca="1">INDEX(INDIVIDUEL!$B$1:$Z$1000,MATCH(INDIRECT("B"&amp;ROW()),INDIVIDUEL!$C$1:$C$1000,0),22)</f>
        <v>192.41004381533762</v>
      </c>
      <c r="W30" s="130"/>
      <c r="X30" s="130"/>
    </row>
    <row r="31" spans="1:24" ht="23.25" thickBot="1">
      <c r="A31" s="131"/>
      <c r="B31" s="65" t="s">
        <v>286</v>
      </c>
      <c r="C31" s="63"/>
      <c r="D31" s="64" t="str">
        <f ca="1">INDEX(INDIVIDUEL!$B$1:$Z$1000,MATCH(INDIRECT("B"&amp;ROW()),INDIVIDUEL!$C$1:$C$1000,0),4)</f>
        <v>H</v>
      </c>
      <c r="E31" s="42" t="str">
        <f ca="1">INDEX(INDIVIDUEL!$B$1:$Z$1000,MATCH(INDIRECT("B"&amp;ROW()),INDIVIDUEL!$C$1:$C$1000,0),5)</f>
        <v>FABRE</v>
      </c>
      <c r="F31" s="43" t="str">
        <f ca="1">INDEX(INDIVIDUEL!$B$1:$Z$1000,MATCH(INDIRECT("B"&amp;ROW()),INDIVIDUEL!$C$1:$C$1000,0),6)</f>
        <v>JONAS</v>
      </c>
      <c r="G31" s="59">
        <f ca="1">INDEX(INDIVIDUEL!$B$1:$Z$1000,MATCH(INDIRECT("B"&amp;ROW()),INDIVIDUEL!$C$1:$C$1000,0),7)</f>
        <v>1993</v>
      </c>
      <c r="H31" s="61" t="str">
        <f ca="1">INDEX(INDIVIDUEL!$B$1:$Z$1000,MATCH(INDIRECT("B"&amp;ROW()),INDIVIDUEL!$C$1:$C$1000,0),8)</f>
        <v>UMONTPELLIER STAPS</v>
      </c>
      <c r="I31" s="60" t="str">
        <f ca="1">INDEX(INDIVIDUEL!$B$1:$Z$1000,MATCH(INDIRECT("B"&amp;ROW()),INDIVIDUEL!$C$1:$C$1000,0),9)</f>
        <v>FRA</v>
      </c>
      <c r="J31" s="44">
        <f ca="1">INDEX(INDIVIDUEL!$B$1:$Z$1000,MATCH(INDIRECT("B"&amp;ROW()),INDIVIDUEL!$C$1:$C$1000,0),10)</f>
        <v>70.2</v>
      </c>
      <c r="K31" s="67">
        <f ca="1">INDEX(INDIVIDUEL!$B$1:$Z$1000,MATCH(INDIRECT("B"&amp;ROW()),INDIVIDUEL!$C$1:$C$1000,0),11)</f>
        <v>65</v>
      </c>
      <c r="L31" s="67">
        <f ca="1">INDEX(INDIVIDUEL!$B$1:$Z$1000,MATCH(INDIRECT("B"&amp;ROW()),INDIVIDUEL!$C$1:$C$1000,0),12)</f>
        <v>72</v>
      </c>
      <c r="M31" s="67">
        <f ca="1">INDEX(INDIVIDUEL!$B$1:$Z$1000,MATCH(INDIRECT("B"&amp;ROW()),INDIVIDUEL!$C$1:$C$1000,0),13)</f>
        <v>-75</v>
      </c>
      <c r="N31" s="45">
        <f ca="1">INDEX(INDIVIDUEL!$B$1:$Z$1000,MATCH(INDIRECT("B"&amp;ROW()),INDIVIDUEL!$C$1:$C$1000,0),14)</f>
        <v>72</v>
      </c>
      <c r="O31" s="67">
        <f ca="1">INDEX(INDIVIDUEL!$B$1:$Z$1000,MATCH(INDIRECT("B"&amp;ROW()),INDIVIDUEL!$C$1:$C$1000,0),15)</f>
        <v>85</v>
      </c>
      <c r="P31" s="67">
        <f ca="1">INDEX(INDIVIDUEL!$B$1:$Z$1000,MATCH(INDIRECT("B"&amp;ROW()),INDIVIDUEL!$C$1:$C$1000,0),16)</f>
        <v>91</v>
      </c>
      <c r="Q31" s="67">
        <f ca="1">INDEX(INDIVIDUEL!$B$1:$Z$1000,MATCH(INDIRECT("B"&amp;ROW()),INDIVIDUEL!$C$1:$C$1000,0),17)</f>
        <v>-95</v>
      </c>
      <c r="R31" s="45">
        <f ca="1">INDEX(INDIVIDUEL!$B$1:$Z$1000,MATCH(INDIRECT("B"&amp;ROW()),INDIVIDUEL!$C$1:$C$1000,0),18)</f>
        <v>91</v>
      </c>
      <c r="S31" s="46">
        <f ca="1">INDEX(INDIVIDUEL!$B$1:$Z$1000,MATCH(INDIRECT("B"&amp;ROW()),INDIVIDUEL!$C$1:$C$1000,0),19)</f>
        <v>163</v>
      </c>
      <c r="T31" s="68" t="str">
        <f ca="1">INDEX(INDIVIDUEL!$B$1:$Z$1000,MATCH(INDIRECT("B"&amp;ROW()),INDIVIDUEL!$C$1:$C$1000,0),20)</f>
        <v>DPT + 3</v>
      </c>
      <c r="U31" s="68" t="str">
        <f ca="1">INDEX(INDIVIDUEL!$B$1:$Z$1000,MATCH(INDIRECT("B"&amp;ROW()),INDIVIDUEL!$C$1:$C$1000,0),21)</f>
        <v>SE M73</v>
      </c>
      <c r="V31" s="69">
        <f ca="1">INDEX(INDIVIDUEL!$B$1:$Z$1000,MATCH(INDIRECT("B"&amp;ROW()),INDIVIDUEL!$C$1:$C$1000,0),22)</f>
        <v>214.42461924749819</v>
      </c>
      <c r="W31" s="133"/>
      <c r="X31" s="133"/>
    </row>
  </sheetData>
  <sheetProtection/>
  <mergeCells count="35">
    <mergeCell ref="C1:J1"/>
    <mergeCell ref="M1:R1"/>
    <mergeCell ref="U1:V1"/>
    <mergeCell ref="C2:J2"/>
    <mergeCell ref="M2:R2"/>
    <mergeCell ref="U2:V2"/>
    <mergeCell ref="X17:X19"/>
    <mergeCell ref="W20:W22"/>
    <mergeCell ref="X20:X22"/>
    <mergeCell ref="E4:F4"/>
    <mergeCell ref="W5:W7"/>
    <mergeCell ref="X5:X7"/>
    <mergeCell ref="W8:W10"/>
    <mergeCell ref="X8:X10"/>
    <mergeCell ref="W11:W13"/>
    <mergeCell ref="X11:X13"/>
    <mergeCell ref="C3:J3"/>
    <mergeCell ref="W23:W25"/>
    <mergeCell ref="X23:X25"/>
    <mergeCell ref="W26:W28"/>
    <mergeCell ref="X26:X28"/>
    <mergeCell ref="W29:W31"/>
    <mergeCell ref="X29:X31"/>
    <mergeCell ref="W14:W16"/>
    <mergeCell ref="X14:X16"/>
    <mergeCell ref="W17:W19"/>
    <mergeCell ref="A23:A25"/>
    <mergeCell ref="A26:A28"/>
    <mergeCell ref="A29:A31"/>
    <mergeCell ref="A5:A7"/>
    <mergeCell ref="A8:A10"/>
    <mergeCell ref="A11:A13"/>
    <mergeCell ref="A14:A16"/>
    <mergeCell ref="A17:A19"/>
    <mergeCell ref="A20:A22"/>
  </mergeCells>
  <conditionalFormatting sqref="K5:M31">
    <cfRule type="cellIs" priority="3" dxfId="1" operator="lessThan" stopIfTrue="1">
      <formula>1</formula>
    </cfRule>
    <cfRule type="cellIs" priority="4" dxfId="0" operator="greaterThan" stopIfTrue="1">
      <formula>0</formula>
    </cfRule>
  </conditionalFormatting>
  <conditionalFormatting sqref="O5:Q31">
    <cfRule type="cellIs" priority="1" dxfId="1" operator="lessThan" stopIfTrue="1">
      <formula>1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5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5" width="10.57421875" style="0" bestFit="1" customWidth="1"/>
    <col min="6" max="68" width="9.7109375" style="0" customWidth="1"/>
  </cols>
  <sheetData>
    <row r="3" spans="3:82" ht="12.75">
      <c r="C3" s="57" t="s">
        <v>90</v>
      </c>
      <c r="D3" s="57" t="s">
        <v>91</v>
      </c>
      <c r="E3" s="57" t="s">
        <v>92</v>
      </c>
      <c r="F3" s="57" t="s">
        <v>102</v>
      </c>
      <c r="G3" s="57" t="s">
        <v>94</v>
      </c>
      <c r="H3" s="57" t="s">
        <v>95</v>
      </c>
      <c r="I3" s="57" t="s">
        <v>96</v>
      </c>
      <c r="J3" s="57" t="s">
        <v>97</v>
      </c>
      <c r="K3" s="57" t="s">
        <v>98</v>
      </c>
      <c r="L3" s="57" t="s">
        <v>99</v>
      </c>
      <c r="M3" s="57" t="s">
        <v>100</v>
      </c>
      <c r="N3" s="57" t="s">
        <v>101</v>
      </c>
      <c r="O3" s="57" t="s">
        <v>109</v>
      </c>
      <c r="P3" s="57" t="s">
        <v>93</v>
      </c>
      <c r="Q3" s="57" t="s">
        <v>103</v>
      </c>
      <c r="R3" s="57" t="s">
        <v>104</v>
      </c>
      <c r="S3" s="57" t="s">
        <v>105</v>
      </c>
      <c r="T3" s="57" t="s">
        <v>106</v>
      </c>
      <c r="U3" s="57" t="s">
        <v>107</v>
      </c>
      <c r="V3" s="57" t="s">
        <v>108</v>
      </c>
      <c r="W3" s="57" t="s">
        <v>110</v>
      </c>
      <c r="X3" s="57" t="s">
        <v>111</v>
      </c>
      <c r="Y3" s="57" t="s">
        <v>112</v>
      </c>
      <c r="Z3" s="57" t="s">
        <v>113</v>
      </c>
      <c r="AA3" s="57" t="s">
        <v>114</v>
      </c>
      <c r="AB3" s="57" t="s">
        <v>115</v>
      </c>
      <c r="AC3" s="57" t="s">
        <v>116</v>
      </c>
      <c r="AD3" s="57" t="s">
        <v>117</v>
      </c>
      <c r="AE3" s="57" t="s">
        <v>118</v>
      </c>
      <c r="AF3" s="57" t="s">
        <v>119</v>
      </c>
      <c r="AG3" s="57" t="s">
        <v>120</v>
      </c>
      <c r="AH3" s="57" t="s">
        <v>121</v>
      </c>
      <c r="AI3" s="57" t="s">
        <v>122</v>
      </c>
      <c r="AJ3" s="57" t="s">
        <v>123</v>
      </c>
      <c r="AK3" s="57" t="s">
        <v>124</v>
      </c>
      <c r="AL3" s="57" t="s">
        <v>125</v>
      </c>
      <c r="AM3" s="57" t="s">
        <v>126</v>
      </c>
      <c r="AN3" s="57" t="s">
        <v>127</v>
      </c>
      <c r="AO3" s="57" t="s">
        <v>128</v>
      </c>
      <c r="AP3" s="57" t="s">
        <v>129</v>
      </c>
      <c r="AQ3" s="47" t="s">
        <v>50</v>
      </c>
      <c r="AR3" s="47" t="s">
        <v>51</v>
      </c>
      <c r="AS3" s="47" t="s">
        <v>52</v>
      </c>
      <c r="AT3" s="47" t="s">
        <v>53</v>
      </c>
      <c r="AU3" s="47" t="s">
        <v>54</v>
      </c>
      <c r="AV3" s="47" t="s">
        <v>55</v>
      </c>
      <c r="AW3" s="47" t="s">
        <v>56</v>
      </c>
      <c r="AX3" s="47" t="s">
        <v>57</v>
      </c>
      <c r="AY3" s="47" t="s">
        <v>58</v>
      </c>
      <c r="AZ3" s="47" t="s">
        <v>59</v>
      </c>
      <c r="BA3" s="47" t="s">
        <v>60</v>
      </c>
      <c r="BB3" s="47" t="s">
        <v>61</v>
      </c>
      <c r="BC3" s="47" t="s">
        <v>62</v>
      </c>
      <c r="BD3" s="47" t="s">
        <v>63</v>
      </c>
      <c r="BE3" s="47" t="s">
        <v>64</v>
      </c>
      <c r="BF3" s="47" t="s">
        <v>65</v>
      </c>
      <c r="BG3" s="47" t="s">
        <v>66</v>
      </c>
      <c r="BH3" s="47" t="s">
        <v>67</v>
      </c>
      <c r="BI3" s="47" t="s">
        <v>68</v>
      </c>
      <c r="BJ3" s="47" t="s">
        <v>69</v>
      </c>
      <c r="BK3" s="47" t="s">
        <v>70</v>
      </c>
      <c r="BL3" s="47" t="s">
        <v>71</v>
      </c>
      <c r="BM3" s="47" t="s">
        <v>72</v>
      </c>
      <c r="BN3" s="47" t="s">
        <v>73</v>
      </c>
      <c r="BO3" s="47" t="s">
        <v>74</v>
      </c>
      <c r="BP3" s="47" t="s">
        <v>75</v>
      </c>
      <c r="BQ3" s="47" t="s">
        <v>76</v>
      </c>
      <c r="BR3" s="47" t="s">
        <v>77</v>
      </c>
      <c r="BS3" s="47" t="s">
        <v>78</v>
      </c>
      <c r="BT3" s="47" t="s">
        <v>79</v>
      </c>
      <c r="BU3" s="47" t="s">
        <v>80</v>
      </c>
      <c r="BV3" s="47" t="s">
        <v>81</v>
      </c>
      <c r="BW3" s="47" t="s">
        <v>82</v>
      </c>
      <c r="BX3" s="47" t="s">
        <v>83</v>
      </c>
      <c r="BY3" s="47" t="s">
        <v>84</v>
      </c>
      <c r="BZ3" s="47" t="s">
        <v>85</v>
      </c>
      <c r="CA3" s="47" t="s">
        <v>86</v>
      </c>
      <c r="CB3" s="47" t="s">
        <v>87</v>
      </c>
      <c r="CC3" s="47" t="s">
        <v>88</v>
      </c>
      <c r="CD3" s="47" t="s">
        <v>89</v>
      </c>
    </row>
    <row r="4" spans="2:82" ht="12.75">
      <c r="B4" s="48" t="s">
        <v>25</v>
      </c>
      <c r="C4" s="72">
        <v>20</v>
      </c>
      <c r="D4" s="72">
        <v>25</v>
      </c>
      <c r="E4" s="72">
        <v>30</v>
      </c>
      <c r="F4" s="72">
        <v>35</v>
      </c>
      <c r="G4" s="72">
        <v>40</v>
      </c>
      <c r="H4" s="72">
        <v>45</v>
      </c>
      <c r="I4" s="72">
        <v>50</v>
      </c>
      <c r="J4" s="72">
        <v>55</v>
      </c>
      <c r="K4" s="72">
        <v>57</v>
      </c>
      <c r="L4" s="72">
        <v>60</v>
      </c>
      <c r="M4" s="73">
        <v>30</v>
      </c>
      <c r="N4" s="73">
        <v>35</v>
      </c>
      <c r="O4" s="73">
        <v>40</v>
      </c>
      <c r="P4" s="73">
        <v>45</v>
      </c>
      <c r="Q4" s="73">
        <v>50</v>
      </c>
      <c r="R4" s="73">
        <v>55</v>
      </c>
      <c r="S4" s="73">
        <v>60</v>
      </c>
      <c r="T4" s="73">
        <v>65</v>
      </c>
      <c r="U4" s="73">
        <v>67</v>
      </c>
      <c r="V4" s="73">
        <v>70</v>
      </c>
      <c r="W4" s="74">
        <v>40</v>
      </c>
      <c r="X4" s="74">
        <v>45</v>
      </c>
      <c r="Y4" s="74">
        <v>50</v>
      </c>
      <c r="Z4" s="74">
        <v>55</v>
      </c>
      <c r="AA4" s="74">
        <v>60</v>
      </c>
      <c r="AB4" s="74">
        <v>65</v>
      </c>
      <c r="AC4" s="74">
        <v>70</v>
      </c>
      <c r="AD4" s="74">
        <v>75</v>
      </c>
      <c r="AE4" s="74">
        <v>77</v>
      </c>
      <c r="AF4" s="74">
        <v>80</v>
      </c>
      <c r="AG4" s="75">
        <v>50</v>
      </c>
      <c r="AH4" s="75">
        <v>55</v>
      </c>
      <c r="AI4" s="75">
        <v>60</v>
      </c>
      <c r="AJ4" s="75">
        <v>65</v>
      </c>
      <c r="AK4" s="75">
        <v>70</v>
      </c>
      <c r="AL4" s="75">
        <v>75</v>
      </c>
      <c r="AM4" s="75">
        <v>80</v>
      </c>
      <c r="AN4" s="75">
        <v>85</v>
      </c>
      <c r="AO4" s="75">
        <v>87</v>
      </c>
      <c r="AP4" s="75">
        <v>90</v>
      </c>
      <c r="AQ4" s="76">
        <v>40</v>
      </c>
      <c r="AR4" s="76">
        <v>55</v>
      </c>
      <c r="AS4" s="76">
        <v>65</v>
      </c>
      <c r="AT4" s="76">
        <v>75</v>
      </c>
      <c r="AU4" s="76">
        <v>80</v>
      </c>
      <c r="AV4" s="76">
        <v>85</v>
      </c>
      <c r="AW4" s="76">
        <v>90</v>
      </c>
      <c r="AX4" s="76">
        <v>95</v>
      </c>
      <c r="AY4" s="76">
        <v>100</v>
      </c>
      <c r="AZ4" s="76">
        <v>105</v>
      </c>
      <c r="BA4" s="77">
        <v>50</v>
      </c>
      <c r="BB4" s="77">
        <v>65</v>
      </c>
      <c r="BC4" s="77">
        <v>80</v>
      </c>
      <c r="BD4" s="77">
        <v>90</v>
      </c>
      <c r="BE4" s="78">
        <v>100</v>
      </c>
      <c r="BF4" s="77">
        <v>110</v>
      </c>
      <c r="BG4" s="77">
        <v>115</v>
      </c>
      <c r="BH4" s="77">
        <v>120</v>
      </c>
      <c r="BI4" s="77">
        <v>125</v>
      </c>
      <c r="BJ4" s="77">
        <v>130</v>
      </c>
      <c r="BK4" s="72">
        <v>80</v>
      </c>
      <c r="BL4" s="72">
        <v>95</v>
      </c>
      <c r="BM4" s="72">
        <v>105</v>
      </c>
      <c r="BN4" s="72">
        <v>120</v>
      </c>
      <c r="BO4" s="72">
        <v>130</v>
      </c>
      <c r="BP4" s="72">
        <v>135</v>
      </c>
      <c r="BQ4" s="72">
        <v>140</v>
      </c>
      <c r="BR4" s="72">
        <v>145</v>
      </c>
      <c r="BS4" s="72">
        <v>150</v>
      </c>
      <c r="BT4" s="72">
        <v>155</v>
      </c>
      <c r="BU4" s="79">
        <v>95</v>
      </c>
      <c r="BV4" s="79">
        <v>110</v>
      </c>
      <c r="BW4" s="79">
        <v>125</v>
      </c>
      <c r="BX4" s="79">
        <v>135</v>
      </c>
      <c r="BY4" s="79">
        <v>145</v>
      </c>
      <c r="BZ4" s="79">
        <v>150</v>
      </c>
      <c r="CA4" s="79">
        <v>155</v>
      </c>
      <c r="CB4" s="79">
        <v>160</v>
      </c>
      <c r="CC4" s="79">
        <v>165</v>
      </c>
      <c r="CD4" s="79">
        <v>170</v>
      </c>
    </row>
    <row r="5" spans="2:82" ht="12.75">
      <c r="B5" s="48" t="s">
        <v>26</v>
      </c>
      <c r="C5" s="72">
        <v>25</v>
      </c>
      <c r="D5" s="72">
        <v>35</v>
      </c>
      <c r="E5" s="72">
        <v>40</v>
      </c>
      <c r="F5" s="72">
        <v>45</v>
      </c>
      <c r="G5" s="72">
        <v>50</v>
      </c>
      <c r="H5" s="72">
        <v>55</v>
      </c>
      <c r="I5" s="72">
        <v>60</v>
      </c>
      <c r="J5" s="72">
        <v>65</v>
      </c>
      <c r="K5" s="72">
        <v>67</v>
      </c>
      <c r="L5" s="72">
        <v>70</v>
      </c>
      <c r="M5" s="73">
        <v>35</v>
      </c>
      <c r="N5" s="73">
        <v>42</v>
      </c>
      <c r="O5" s="73">
        <v>50</v>
      </c>
      <c r="P5" s="73">
        <v>55</v>
      </c>
      <c r="Q5" s="73">
        <v>60</v>
      </c>
      <c r="R5" s="73">
        <v>65</v>
      </c>
      <c r="S5" s="73">
        <v>70</v>
      </c>
      <c r="T5" s="73">
        <v>75</v>
      </c>
      <c r="U5" s="73">
        <v>77</v>
      </c>
      <c r="V5" s="73">
        <v>80</v>
      </c>
      <c r="W5" s="74">
        <v>50</v>
      </c>
      <c r="X5" s="74">
        <v>55</v>
      </c>
      <c r="Y5" s="74">
        <v>62</v>
      </c>
      <c r="Z5" s="74">
        <v>70</v>
      </c>
      <c r="AA5" s="74">
        <v>75</v>
      </c>
      <c r="AB5" s="74">
        <v>80</v>
      </c>
      <c r="AC5" s="74">
        <v>85</v>
      </c>
      <c r="AD5" s="74">
        <v>90</v>
      </c>
      <c r="AE5" s="74">
        <v>92</v>
      </c>
      <c r="AF5" s="74">
        <v>95</v>
      </c>
      <c r="AG5" s="75">
        <v>60</v>
      </c>
      <c r="AH5" s="75">
        <v>67</v>
      </c>
      <c r="AI5" s="75">
        <v>75</v>
      </c>
      <c r="AJ5" s="75">
        <v>80</v>
      </c>
      <c r="AK5" s="75">
        <v>85</v>
      </c>
      <c r="AL5" s="75">
        <v>90</v>
      </c>
      <c r="AM5" s="75">
        <v>95</v>
      </c>
      <c r="AN5" s="75">
        <v>100</v>
      </c>
      <c r="AO5" s="75">
        <v>102</v>
      </c>
      <c r="AP5" s="75">
        <v>105</v>
      </c>
      <c r="AQ5" s="80">
        <v>55</v>
      </c>
      <c r="AR5" s="80">
        <v>70</v>
      </c>
      <c r="AS5" s="80">
        <v>80</v>
      </c>
      <c r="AT5" s="80">
        <v>95</v>
      </c>
      <c r="AU5" s="80">
        <v>100</v>
      </c>
      <c r="AV5" s="80">
        <v>105</v>
      </c>
      <c r="AW5" s="80">
        <v>110</v>
      </c>
      <c r="AX5" s="80">
        <v>115</v>
      </c>
      <c r="AY5" s="80">
        <v>120</v>
      </c>
      <c r="AZ5" s="80">
        <v>125</v>
      </c>
      <c r="BA5" s="81">
        <v>65</v>
      </c>
      <c r="BB5" s="81">
        <v>85</v>
      </c>
      <c r="BC5" s="81">
        <v>100</v>
      </c>
      <c r="BD5" s="81">
        <v>110</v>
      </c>
      <c r="BE5" s="81">
        <v>120</v>
      </c>
      <c r="BF5" s="81">
        <v>130</v>
      </c>
      <c r="BG5" s="81">
        <v>135</v>
      </c>
      <c r="BH5" s="81">
        <v>140</v>
      </c>
      <c r="BI5" s="81">
        <v>145</v>
      </c>
      <c r="BJ5" s="81">
        <v>150</v>
      </c>
      <c r="BK5" s="82">
        <v>100</v>
      </c>
      <c r="BL5" s="82">
        <v>115</v>
      </c>
      <c r="BM5" s="82">
        <v>125</v>
      </c>
      <c r="BN5" s="82">
        <v>140</v>
      </c>
      <c r="BO5" s="82">
        <v>150</v>
      </c>
      <c r="BP5" s="82">
        <v>160</v>
      </c>
      <c r="BQ5" s="82">
        <v>165</v>
      </c>
      <c r="BR5" s="82">
        <v>170</v>
      </c>
      <c r="BS5" s="82">
        <v>175</v>
      </c>
      <c r="BT5" s="82">
        <v>180</v>
      </c>
      <c r="BU5" s="83">
        <v>115</v>
      </c>
      <c r="BV5" s="83">
        <v>130</v>
      </c>
      <c r="BW5" s="83">
        <v>145</v>
      </c>
      <c r="BX5" s="83">
        <v>160</v>
      </c>
      <c r="BY5" s="83">
        <v>170</v>
      </c>
      <c r="BZ5" s="83">
        <v>175</v>
      </c>
      <c r="CA5" s="83">
        <v>180</v>
      </c>
      <c r="CB5" s="83">
        <v>185</v>
      </c>
      <c r="CC5" s="83">
        <v>190</v>
      </c>
      <c r="CD5" s="83">
        <v>195</v>
      </c>
    </row>
    <row r="6" spans="2:82" ht="12.75">
      <c r="B6" s="48" t="s">
        <v>27</v>
      </c>
      <c r="C6" s="72">
        <v>35</v>
      </c>
      <c r="D6" s="72">
        <v>45</v>
      </c>
      <c r="E6" s="72">
        <v>50</v>
      </c>
      <c r="F6" s="72">
        <v>57</v>
      </c>
      <c r="G6" s="72">
        <v>62</v>
      </c>
      <c r="H6" s="72">
        <v>67</v>
      </c>
      <c r="I6" s="72">
        <v>72</v>
      </c>
      <c r="J6" s="72">
        <v>75</v>
      </c>
      <c r="K6" s="72">
        <v>77</v>
      </c>
      <c r="L6" s="72">
        <v>80</v>
      </c>
      <c r="M6" s="73">
        <v>45</v>
      </c>
      <c r="N6" s="73">
        <v>50</v>
      </c>
      <c r="O6" s="73">
        <v>57</v>
      </c>
      <c r="P6" s="73">
        <v>65</v>
      </c>
      <c r="Q6" s="73">
        <v>70</v>
      </c>
      <c r="R6" s="73">
        <v>75</v>
      </c>
      <c r="S6" s="73">
        <v>80</v>
      </c>
      <c r="T6" s="73">
        <v>85</v>
      </c>
      <c r="U6" s="73">
        <v>90</v>
      </c>
      <c r="V6" s="73">
        <v>95</v>
      </c>
      <c r="W6" s="74">
        <v>60</v>
      </c>
      <c r="X6" s="74">
        <v>65</v>
      </c>
      <c r="Y6" s="74">
        <v>75</v>
      </c>
      <c r="Z6" s="74">
        <v>82</v>
      </c>
      <c r="AA6" s="74">
        <v>90</v>
      </c>
      <c r="AB6" s="74">
        <v>95</v>
      </c>
      <c r="AC6" s="74">
        <v>100</v>
      </c>
      <c r="AD6" s="74">
        <v>105</v>
      </c>
      <c r="AE6" s="74">
        <v>107</v>
      </c>
      <c r="AF6" s="74">
        <v>110</v>
      </c>
      <c r="AG6" s="75">
        <v>70</v>
      </c>
      <c r="AH6" s="75">
        <v>80</v>
      </c>
      <c r="AI6" s="75">
        <v>87</v>
      </c>
      <c r="AJ6" s="75">
        <v>92</v>
      </c>
      <c r="AK6" s="75">
        <v>100</v>
      </c>
      <c r="AL6" s="75">
        <v>107</v>
      </c>
      <c r="AM6" s="75">
        <v>115</v>
      </c>
      <c r="AN6" s="75">
        <v>120</v>
      </c>
      <c r="AO6" s="75">
        <v>122</v>
      </c>
      <c r="AP6" s="75">
        <v>125</v>
      </c>
      <c r="AQ6" s="80">
        <v>70</v>
      </c>
      <c r="AR6" s="80">
        <v>85</v>
      </c>
      <c r="AS6" s="80">
        <v>100</v>
      </c>
      <c r="AT6" s="80">
        <v>110</v>
      </c>
      <c r="AU6" s="80">
        <v>120</v>
      </c>
      <c r="AV6" s="80">
        <v>130</v>
      </c>
      <c r="AW6" s="80">
        <v>135</v>
      </c>
      <c r="AX6" s="80">
        <v>140</v>
      </c>
      <c r="AY6" s="80">
        <v>145</v>
      </c>
      <c r="AZ6" s="80">
        <v>150</v>
      </c>
      <c r="BA6" s="81">
        <v>80</v>
      </c>
      <c r="BB6" s="81">
        <v>100</v>
      </c>
      <c r="BC6" s="81">
        <v>120</v>
      </c>
      <c r="BD6" s="81">
        <v>130</v>
      </c>
      <c r="BE6" s="81">
        <v>140</v>
      </c>
      <c r="BF6" s="81">
        <v>150</v>
      </c>
      <c r="BG6" s="81">
        <v>160</v>
      </c>
      <c r="BH6" s="81">
        <v>165</v>
      </c>
      <c r="BI6" s="81">
        <v>170</v>
      </c>
      <c r="BJ6" s="81">
        <v>175</v>
      </c>
      <c r="BK6" s="82">
        <v>115</v>
      </c>
      <c r="BL6" s="82">
        <v>130</v>
      </c>
      <c r="BM6" s="82">
        <v>150</v>
      </c>
      <c r="BN6" s="82">
        <v>160</v>
      </c>
      <c r="BO6" s="82">
        <v>170</v>
      </c>
      <c r="BP6" s="82">
        <v>180</v>
      </c>
      <c r="BQ6" s="82">
        <v>185</v>
      </c>
      <c r="BR6" s="82">
        <v>190</v>
      </c>
      <c r="BS6" s="82">
        <v>195</v>
      </c>
      <c r="BT6" s="82">
        <v>200</v>
      </c>
      <c r="BU6" s="83">
        <v>130</v>
      </c>
      <c r="BV6" s="83">
        <v>150</v>
      </c>
      <c r="BW6" s="83">
        <v>170</v>
      </c>
      <c r="BX6" s="83">
        <v>185</v>
      </c>
      <c r="BY6" s="83">
        <v>195</v>
      </c>
      <c r="BZ6" s="83">
        <v>200</v>
      </c>
      <c r="CA6" s="83">
        <v>205</v>
      </c>
      <c r="CB6" s="83">
        <v>210</v>
      </c>
      <c r="CC6" s="83">
        <v>215</v>
      </c>
      <c r="CD6" s="83">
        <v>220</v>
      </c>
    </row>
    <row r="7" spans="2:82" ht="12.75">
      <c r="B7" s="48" t="s">
        <v>28</v>
      </c>
      <c r="C7" s="72">
        <v>45</v>
      </c>
      <c r="D7" s="72">
        <v>55</v>
      </c>
      <c r="E7" s="72">
        <v>60</v>
      </c>
      <c r="F7" s="72">
        <v>67</v>
      </c>
      <c r="G7" s="72">
        <v>72</v>
      </c>
      <c r="H7" s="72">
        <v>77</v>
      </c>
      <c r="I7" s="72">
        <v>82</v>
      </c>
      <c r="J7" s="72">
        <v>85</v>
      </c>
      <c r="K7" s="72">
        <v>87</v>
      </c>
      <c r="L7" s="72">
        <v>90</v>
      </c>
      <c r="M7" s="73">
        <v>55</v>
      </c>
      <c r="N7" s="73">
        <v>60</v>
      </c>
      <c r="O7" s="73">
        <v>67</v>
      </c>
      <c r="P7" s="73">
        <v>77</v>
      </c>
      <c r="Q7" s="73">
        <v>82</v>
      </c>
      <c r="R7" s="73">
        <v>87</v>
      </c>
      <c r="S7" s="73">
        <v>92</v>
      </c>
      <c r="T7" s="73">
        <v>97</v>
      </c>
      <c r="U7" s="73">
        <v>100</v>
      </c>
      <c r="V7" s="73">
        <v>105</v>
      </c>
      <c r="W7" s="74">
        <v>70</v>
      </c>
      <c r="X7" s="74">
        <v>77</v>
      </c>
      <c r="Y7" s="74">
        <v>87</v>
      </c>
      <c r="Z7" s="74">
        <v>95</v>
      </c>
      <c r="AA7" s="74">
        <v>105</v>
      </c>
      <c r="AB7" s="74">
        <v>110</v>
      </c>
      <c r="AC7" s="74">
        <v>115</v>
      </c>
      <c r="AD7" s="74">
        <v>120</v>
      </c>
      <c r="AE7" s="74">
        <v>122</v>
      </c>
      <c r="AF7" s="74">
        <v>125</v>
      </c>
      <c r="AG7" s="75">
        <v>82</v>
      </c>
      <c r="AH7" s="75">
        <v>92</v>
      </c>
      <c r="AI7" s="75">
        <v>102</v>
      </c>
      <c r="AJ7" s="75">
        <v>107</v>
      </c>
      <c r="AK7" s="75">
        <v>117</v>
      </c>
      <c r="AL7" s="75">
        <v>122</v>
      </c>
      <c r="AM7" s="75">
        <v>130</v>
      </c>
      <c r="AN7" s="75">
        <v>135</v>
      </c>
      <c r="AO7" s="75">
        <v>137</v>
      </c>
      <c r="AP7" s="75">
        <v>140</v>
      </c>
      <c r="AQ7" s="80">
        <v>85</v>
      </c>
      <c r="AR7" s="80">
        <v>100</v>
      </c>
      <c r="AS7" s="80">
        <v>115</v>
      </c>
      <c r="AT7" s="80">
        <v>130</v>
      </c>
      <c r="AU7" s="80">
        <v>140</v>
      </c>
      <c r="AV7" s="80">
        <v>150</v>
      </c>
      <c r="AW7" s="80">
        <v>155</v>
      </c>
      <c r="AX7" s="80">
        <v>160</v>
      </c>
      <c r="AY7" s="80">
        <v>165</v>
      </c>
      <c r="AZ7" s="80">
        <v>170</v>
      </c>
      <c r="BA7" s="81">
        <v>95</v>
      </c>
      <c r="BB7" s="81">
        <v>115</v>
      </c>
      <c r="BC7" s="81">
        <v>135</v>
      </c>
      <c r="BD7" s="81">
        <v>150</v>
      </c>
      <c r="BE7" s="81">
        <v>160</v>
      </c>
      <c r="BF7" s="81">
        <v>170</v>
      </c>
      <c r="BG7" s="81">
        <v>180</v>
      </c>
      <c r="BH7" s="81">
        <v>185</v>
      </c>
      <c r="BI7" s="81">
        <v>190</v>
      </c>
      <c r="BJ7" s="81">
        <v>195</v>
      </c>
      <c r="BK7" s="82">
        <v>130</v>
      </c>
      <c r="BL7" s="82">
        <v>150</v>
      </c>
      <c r="BM7" s="82">
        <v>170</v>
      </c>
      <c r="BN7" s="82">
        <v>180</v>
      </c>
      <c r="BO7" s="82">
        <v>190</v>
      </c>
      <c r="BP7" s="82">
        <v>200</v>
      </c>
      <c r="BQ7" s="82">
        <v>210</v>
      </c>
      <c r="BR7" s="82">
        <v>215</v>
      </c>
      <c r="BS7" s="82">
        <v>220</v>
      </c>
      <c r="BT7" s="82">
        <v>225</v>
      </c>
      <c r="BU7" s="83">
        <v>145</v>
      </c>
      <c r="BV7" s="83">
        <v>170</v>
      </c>
      <c r="BW7" s="83">
        <v>195</v>
      </c>
      <c r="BX7" s="83">
        <v>210</v>
      </c>
      <c r="BY7" s="83">
        <v>220</v>
      </c>
      <c r="BZ7" s="83">
        <v>230</v>
      </c>
      <c r="CA7" s="83">
        <v>235</v>
      </c>
      <c r="CB7" s="83">
        <v>240</v>
      </c>
      <c r="CC7" s="83">
        <v>245</v>
      </c>
      <c r="CD7" s="83">
        <v>250</v>
      </c>
    </row>
    <row r="8" spans="2:82" ht="12.75">
      <c r="B8" s="48" t="s">
        <v>29</v>
      </c>
      <c r="C8" s="72">
        <v>55</v>
      </c>
      <c r="D8" s="72">
        <v>65</v>
      </c>
      <c r="E8" s="72">
        <v>72</v>
      </c>
      <c r="F8" s="72">
        <v>82</v>
      </c>
      <c r="G8" s="72">
        <v>87</v>
      </c>
      <c r="H8" s="72">
        <v>92</v>
      </c>
      <c r="I8" s="72">
        <v>97</v>
      </c>
      <c r="J8" s="72">
        <v>100</v>
      </c>
      <c r="K8" s="72">
        <v>102</v>
      </c>
      <c r="L8" s="72">
        <v>105</v>
      </c>
      <c r="M8" s="73">
        <v>68</v>
      </c>
      <c r="N8" s="73">
        <v>75</v>
      </c>
      <c r="O8" s="73">
        <v>82</v>
      </c>
      <c r="P8" s="73">
        <v>92</v>
      </c>
      <c r="Q8" s="73">
        <v>97</v>
      </c>
      <c r="R8" s="73">
        <v>102</v>
      </c>
      <c r="S8" s="73">
        <v>107</v>
      </c>
      <c r="T8" s="73">
        <v>110</v>
      </c>
      <c r="U8" s="73">
        <v>112</v>
      </c>
      <c r="V8" s="73">
        <v>115</v>
      </c>
      <c r="W8" s="74">
        <v>83</v>
      </c>
      <c r="X8" s="74">
        <v>90</v>
      </c>
      <c r="Y8" s="74">
        <v>103</v>
      </c>
      <c r="Z8" s="74">
        <v>110</v>
      </c>
      <c r="AA8" s="74">
        <v>118</v>
      </c>
      <c r="AB8" s="74">
        <v>123</v>
      </c>
      <c r="AC8" s="74">
        <v>127</v>
      </c>
      <c r="AD8" s="74">
        <v>132</v>
      </c>
      <c r="AE8" s="74">
        <v>135</v>
      </c>
      <c r="AF8" s="74">
        <v>140</v>
      </c>
      <c r="AG8" s="75">
        <v>95</v>
      </c>
      <c r="AH8" s="75">
        <v>107</v>
      </c>
      <c r="AI8" s="75">
        <v>123</v>
      </c>
      <c r="AJ8" s="75">
        <v>130</v>
      </c>
      <c r="AK8" s="75">
        <v>137</v>
      </c>
      <c r="AL8" s="75">
        <v>142</v>
      </c>
      <c r="AM8" s="75">
        <v>147</v>
      </c>
      <c r="AN8" s="75">
        <v>150</v>
      </c>
      <c r="AO8" s="75">
        <v>152</v>
      </c>
      <c r="AP8" s="75">
        <v>155</v>
      </c>
      <c r="AQ8" s="80">
        <v>100</v>
      </c>
      <c r="AR8" s="80">
        <v>115</v>
      </c>
      <c r="AS8" s="80">
        <v>130</v>
      </c>
      <c r="AT8" s="80">
        <v>150</v>
      </c>
      <c r="AU8" s="80">
        <v>160</v>
      </c>
      <c r="AV8" s="80">
        <v>170</v>
      </c>
      <c r="AW8" s="80">
        <v>175</v>
      </c>
      <c r="AX8" s="80">
        <v>180</v>
      </c>
      <c r="AY8" s="80">
        <v>185</v>
      </c>
      <c r="AZ8" s="80">
        <v>190</v>
      </c>
      <c r="BA8" s="81">
        <v>110</v>
      </c>
      <c r="BB8" s="81">
        <v>130</v>
      </c>
      <c r="BC8" s="81">
        <v>150</v>
      </c>
      <c r="BD8" s="81">
        <v>170</v>
      </c>
      <c r="BE8" s="81">
        <v>180</v>
      </c>
      <c r="BF8" s="81">
        <v>190</v>
      </c>
      <c r="BG8" s="81">
        <v>200</v>
      </c>
      <c r="BH8" s="81">
        <v>205</v>
      </c>
      <c r="BI8" s="81">
        <v>210</v>
      </c>
      <c r="BJ8" s="81">
        <v>215</v>
      </c>
      <c r="BK8" s="82">
        <v>145</v>
      </c>
      <c r="BL8" s="82">
        <v>170</v>
      </c>
      <c r="BM8" s="82">
        <v>190</v>
      </c>
      <c r="BN8" s="82">
        <v>200</v>
      </c>
      <c r="BO8" s="82">
        <v>215</v>
      </c>
      <c r="BP8" s="82">
        <v>225</v>
      </c>
      <c r="BQ8" s="82">
        <v>230</v>
      </c>
      <c r="BR8" s="82">
        <v>240</v>
      </c>
      <c r="BS8" s="82">
        <v>245</v>
      </c>
      <c r="BT8" s="82">
        <v>250</v>
      </c>
      <c r="BU8" s="83">
        <v>170</v>
      </c>
      <c r="BV8" s="83">
        <v>195</v>
      </c>
      <c r="BW8" s="83">
        <v>225</v>
      </c>
      <c r="BX8" s="83">
        <v>240</v>
      </c>
      <c r="BY8" s="83">
        <v>250</v>
      </c>
      <c r="BZ8" s="83">
        <v>260</v>
      </c>
      <c r="CA8" s="83">
        <v>265</v>
      </c>
      <c r="CB8" s="83">
        <v>270</v>
      </c>
      <c r="CC8" s="83">
        <v>275</v>
      </c>
      <c r="CD8" s="83">
        <v>280</v>
      </c>
    </row>
    <row r="9" spans="2:82" ht="12.75">
      <c r="B9" s="48" t="s">
        <v>30</v>
      </c>
      <c r="C9" s="72">
        <v>68</v>
      </c>
      <c r="D9" s="72">
        <v>78</v>
      </c>
      <c r="E9" s="72">
        <v>85</v>
      </c>
      <c r="F9" s="72">
        <v>95</v>
      </c>
      <c r="G9" s="72">
        <v>100</v>
      </c>
      <c r="H9" s="72">
        <v>105</v>
      </c>
      <c r="I9" s="72">
        <v>110</v>
      </c>
      <c r="J9" s="72">
        <v>115</v>
      </c>
      <c r="K9" s="72">
        <v>117</v>
      </c>
      <c r="L9" s="72">
        <v>120</v>
      </c>
      <c r="M9" s="73">
        <v>80</v>
      </c>
      <c r="N9" s="73">
        <v>88</v>
      </c>
      <c r="O9" s="73">
        <v>95</v>
      </c>
      <c r="P9" s="73">
        <v>105</v>
      </c>
      <c r="Q9" s="73">
        <v>110</v>
      </c>
      <c r="R9" s="73">
        <v>115</v>
      </c>
      <c r="S9" s="73">
        <v>120</v>
      </c>
      <c r="T9" s="73">
        <v>125</v>
      </c>
      <c r="U9" s="73">
        <v>130</v>
      </c>
      <c r="V9" s="73">
        <v>135</v>
      </c>
      <c r="W9" s="74">
        <v>97</v>
      </c>
      <c r="X9" s="74">
        <v>105</v>
      </c>
      <c r="Y9" s="74">
        <v>118</v>
      </c>
      <c r="Z9" s="74">
        <v>125</v>
      </c>
      <c r="AA9" s="74">
        <v>135</v>
      </c>
      <c r="AB9" s="74">
        <v>142</v>
      </c>
      <c r="AC9" s="74">
        <v>147</v>
      </c>
      <c r="AD9" s="74">
        <v>152</v>
      </c>
      <c r="AE9" s="74">
        <v>155</v>
      </c>
      <c r="AF9" s="74">
        <v>160</v>
      </c>
      <c r="AG9" s="75">
        <v>110</v>
      </c>
      <c r="AH9" s="75">
        <v>122</v>
      </c>
      <c r="AI9" s="75">
        <v>138</v>
      </c>
      <c r="AJ9" s="75">
        <v>145</v>
      </c>
      <c r="AK9" s="75">
        <v>155</v>
      </c>
      <c r="AL9" s="75">
        <v>165</v>
      </c>
      <c r="AM9" s="75">
        <v>170</v>
      </c>
      <c r="AN9" s="75">
        <v>172</v>
      </c>
      <c r="AO9" s="75">
        <v>175</v>
      </c>
      <c r="AP9" s="75">
        <v>180</v>
      </c>
      <c r="AQ9" s="80">
        <v>115</v>
      </c>
      <c r="AR9" s="80">
        <v>130</v>
      </c>
      <c r="AS9" s="80">
        <v>150</v>
      </c>
      <c r="AT9" s="80">
        <v>170</v>
      </c>
      <c r="AU9" s="80">
        <v>180</v>
      </c>
      <c r="AV9" s="80">
        <v>190</v>
      </c>
      <c r="AW9" s="80">
        <v>200</v>
      </c>
      <c r="AX9" s="80">
        <v>205</v>
      </c>
      <c r="AY9" s="80">
        <v>210</v>
      </c>
      <c r="AZ9" s="80">
        <v>215</v>
      </c>
      <c r="BA9" s="81">
        <v>125</v>
      </c>
      <c r="BB9" s="81">
        <v>145</v>
      </c>
      <c r="BC9" s="81">
        <v>170</v>
      </c>
      <c r="BD9" s="81">
        <v>190</v>
      </c>
      <c r="BE9" s="81">
        <v>200</v>
      </c>
      <c r="BF9" s="81">
        <v>210</v>
      </c>
      <c r="BG9" s="81">
        <v>220</v>
      </c>
      <c r="BH9" s="81">
        <v>225</v>
      </c>
      <c r="BI9" s="81">
        <v>230</v>
      </c>
      <c r="BJ9" s="81">
        <v>235</v>
      </c>
      <c r="BK9" s="82">
        <v>170</v>
      </c>
      <c r="BL9" s="82">
        <v>190</v>
      </c>
      <c r="BM9" s="82">
        <v>218</v>
      </c>
      <c r="BN9" s="82">
        <v>230</v>
      </c>
      <c r="BO9" s="82">
        <v>245</v>
      </c>
      <c r="BP9" s="82">
        <v>255</v>
      </c>
      <c r="BQ9" s="82">
        <v>260</v>
      </c>
      <c r="BR9" s="82">
        <v>270</v>
      </c>
      <c r="BS9" s="82">
        <v>275</v>
      </c>
      <c r="BT9" s="82">
        <v>280</v>
      </c>
      <c r="BU9" s="83">
        <v>190</v>
      </c>
      <c r="BV9" s="83">
        <v>215</v>
      </c>
      <c r="BW9" s="83">
        <v>240</v>
      </c>
      <c r="BX9" s="83">
        <v>260</v>
      </c>
      <c r="BY9" s="83">
        <v>275</v>
      </c>
      <c r="BZ9" s="83">
        <v>287</v>
      </c>
      <c r="CA9" s="83">
        <v>295</v>
      </c>
      <c r="CB9" s="83">
        <v>302</v>
      </c>
      <c r="CC9" s="83">
        <v>310</v>
      </c>
      <c r="CD9" s="83">
        <v>315</v>
      </c>
    </row>
    <row r="10" spans="2:82" ht="12.75">
      <c r="B10" s="48" t="s">
        <v>31</v>
      </c>
      <c r="C10" s="72">
        <v>80</v>
      </c>
      <c r="D10" s="72">
        <v>90</v>
      </c>
      <c r="E10" s="72">
        <v>100</v>
      </c>
      <c r="F10" s="72">
        <v>110</v>
      </c>
      <c r="G10" s="72">
        <v>115</v>
      </c>
      <c r="H10" s="72">
        <v>120</v>
      </c>
      <c r="I10" s="72">
        <v>125</v>
      </c>
      <c r="J10" s="72">
        <v>130</v>
      </c>
      <c r="K10" s="72">
        <v>132</v>
      </c>
      <c r="L10" s="72">
        <v>135</v>
      </c>
      <c r="M10" s="73">
        <v>90</v>
      </c>
      <c r="N10" s="73">
        <v>100</v>
      </c>
      <c r="O10" s="73">
        <v>110</v>
      </c>
      <c r="P10" s="73">
        <v>120</v>
      </c>
      <c r="Q10" s="73">
        <v>125</v>
      </c>
      <c r="R10" s="73">
        <v>130</v>
      </c>
      <c r="S10" s="73">
        <v>135</v>
      </c>
      <c r="T10" s="73">
        <v>140</v>
      </c>
      <c r="U10" s="73">
        <v>145</v>
      </c>
      <c r="V10" s="73">
        <v>150</v>
      </c>
      <c r="W10" s="74">
        <v>110</v>
      </c>
      <c r="X10" s="74">
        <v>120</v>
      </c>
      <c r="Y10" s="74">
        <v>138</v>
      </c>
      <c r="Z10" s="74">
        <v>145</v>
      </c>
      <c r="AA10" s="74">
        <v>155</v>
      </c>
      <c r="AB10" s="74">
        <v>162</v>
      </c>
      <c r="AC10" s="74">
        <v>167</v>
      </c>
      <c r="AD10" s="74">
        <v>172</v>
      </c>
      <c r="AE10" s="74">
        <v>175</v>
      </c>
      <c r="AF10" s="74">
        <v>180</v>
      </c>
      <c r="AG10" s="75">
        <v>125</v>
      </c>
      <c r="AH10" s="75">
        <v>140</v>
      </c>
      <c r="AI10" s="75">
        <v>155</v>
      </c>
      <c r="AJ10" s="75">
        <v>165</v>
      </c>
      <c r="AK10" s="75">
        <v>175</v>
      </c>
      <c r="AL10" s="75">
        <v>185</v>
      </c>
      <c r="AM10" s="75">
        <v>190</v>
      </c>
      <c r="AN10" s="75">
        <v>192</v>
      </c>
      <c r="AO10" s="75">
        <v>195</v>
      </c>
      <c r="AP10" s="75">
        <v>200</v>
      </c>
      <c r="AQ10" s="80">
        <v>130</v>
      </c>
      <c r="AR10" s="80">
        <v>150</v>
      </c>
      <c r="AS10" s="80">
        <v>170</v>
      </c>
      <c r="AT10" s="80">
        <v>190</v>
      </c>
      <c r="AU10" s="80">
        <v>200</v>
      </c>
      <c r="AV10" s="80">
        <v>210</v>
      </c>
      <c r="AW10" s="80">
        <v>220</v>
      </c>
      <c r="AX10" s="80">
        <v>225</v>
      </c>
      <c r="AY10" s="80">
        <v>230</v>
      </c>
      <c r="AZ10" s="80">
        <v>235</v>
      </c>
      <c r="BA10" s="81">
        <v>140</v>
      </c>
      <c r="BB10" s="81">
        <v>170</v>
      </c>
      <c r="BC10" s="81">
        <v>190</v>
      </c>
      <c r="BD10" s="81">
        <v>210</v>
      </c>
      <c r="BE10" s="81">
        <v>220</v>
      </c>
      <c r="BF10" s="81">
        <v>230</v>
      </c>
      <c r="BG10" s="81">
        <v>240</v>
      </c>
      <c r="BH10" s="81">
        <v>250</v>
      </c>
      <c r="BI10" s="81">
        <v>255</v>
      </c>
      <c r="BJ10" s="81">
        <v>260</v>
      </c>
      <c r="BK10" s="82">
        <v>190</v>
      </c>
      <c r="BL10" s="82">
        <v>210</v>
      </c>
      <c r="BM10" s="82">
        <v>240</v>
      </c>
      <c r="BN10" s="82">
        <v>250</v>
      </c>
      <c r="BO10" s="82">
        <v>270</v>
      </c>
      <c r="BP10" s="82">
        <v>285</v>
      </c>
      <c r="BQ10" s="82">
        <v>290</v>
      </c>
      <c r="BR10" s="82">
        <v>300</v>
      </c>
      <c r="BS10" s="82">
        <v>305</v>
      </c>
      <c r="BT10" s="82">
        <v>310</v>
      </c>
      <c r="BU10" s="83">
        <v>210</v>
      </c>
      <c r="BV10" s="83">
        <v>235</v>
      </c>
      <c r="BW10" s="83">
        <v>260</v>
      </c>
      <c r="BX10" s="83">
        <v>280</v>
      </c>
      <c r="BY10" s="83">
        <v>295</v>
      </c>
      <c r="BZ10" s="83">
        <v>310</v>
      </c>
      <c r="CA10" s="83">
        <v>320</v>
      </c>
      <c r="CB10" s="83">
        <v>330</v>
      </c>
      <c r="CC10" s="83">
        <v>335</v>
      </c>
      <c r="CD10" s="83">
        <v>340</v>
      </c>
    </row>
    <row r="11" spans="2:82" ht="12.75">
      <c r="B11" s="48" t="s">
        <v>32</v>
      </c>
      <c r="C11" s="72">
        <v>90</v>
      </c>
      <c r="D11" s="72">
        <v>105</v>
      </c>
      <c r="E11" s="72">
        <v>115</v>
      </c>
      <c r="F11" s="72">
        <v>125</v>
      </c>
      <c r="G11" s="72">
        <v>130</v>
      </c>
      <c r="H11" s="72">
        <v>135</v>
      </c>
      <c r="I11" s="72">
        <v>140</v>
      </c>
      <c r="J11" s="72">
        <v>145</v>
      </c>
      <c r="K11" s="72">
        <v>147</v>
      </c>
      <c r="L11" s="72">
        <v>150</v>
      </c>
      <c r="M11" s="73">
        <v>105</v>
      </c>
      <c r="N11" s="73">
        <v>115</v>
      </c>
      <c r="O11" s="73">
        <v>125</v>
      </c>
      <c r="P11" s="73">
        <v>135</v>
      </c>
      <c r="Q11" s="73">
        <v>140</v>
      </c>
      <c r="R11" s="73">
        <v>145</v>
      </c>
      <c r="S11" s="73">
        <v>150</v>
      </c>
      <c r="T11" s="73">
        <v>160</v>
      </c>
      <c r="U11" s="73">
        <v>165</v>
      </c>
      <c r="V11" s="73">
        <v>170</v>
      </c>
      <c r="W11" s="74">
        <v>130</v>
      </c>
      <c r="X11" s="74">
        <v>140</v>
      </c>
      <c r="Y11" s="74">
        <v>160</v>
      </c>
      <c r="Z11" s="74">
        <v>165</v>
      </c>
      <c r="AA11" s="74">
        <v>175</v>
      </c>
      <c r="AB11" s="74">
        <v>182</v>
      </c>
      <c r="AC11" s="74">
        <v>187</v>
      </c>
      <c r="AD11" s="74">
        <v>192</v>
      </c>
      <c r="AE11" s="74">
        <v>195</v>
      </c>
      <c r="AF11" s="74">
        <v>200</v>
      </c>
      <c r="AG11" s="75">
        <v>145</v>
      </c>
      <c r="AH11" s="75">
        <v>160</v>
      </c>
      <c r="AI11" s="75">
        <v>175</v>
      </c>
      <c r="AJ11" s="75">
        <v>185</v>
      </c>
      <c r="AK11" s="75">
        <v>195</v>
      </c>
      <c r="AL11" s="75">
        <v>205</v>
      </c>
      <c r="AM11" s="75">
        <v>210</v>
      </c>
      <c r="AN11" s="75">
        <v>212</v>
      </c>
      <c r="AO11" s="75">
        <v>215</v>
      </c>
      <c r="AP11" s="75">
        <v>220</v>
      </c>
      <c r="AQ11" s="80">
        <v>145</v>
      </c>
      <c r="AR11" s="80">
        <v>170</v>
      </c>
      <c r="AS11" s="80">
        <v>190</v>
      </c>
      <c r="AT11" s="80">
        <v>210</v>
      </c>
      <c r="AU11" s="80">
        <v>220</v>
      </c>
      <c r="AV11" s="80">
        <v>230</v>
      </c>
      <c r="AW11" s="80">
        <v>240</v>
      </c>
      <c r="AX11" s="80">
        <v>245</v>
      </c>
      <c r="AY11" s="80">
        <v>250</v>
      </c>
      <c r="AZ11" s="80">
        <v>255</v>
      </c>
      <c r="BA11" s="81">
        <v>155</v>
      </c>
      <c r="BB11" s="81">
        <v>190</v>
      </c>
      <c r="BC11" s="81">
        <v>210</v>
      </c>
      <c r="BD11" s="81">
        <v>230</v>
      </c>
      <c r="BE11" s="81">
        <v>240</v>
      </c>
      <c r="BF11" s="81">
        <v>260</v>
      </c>
      <c r="BG11" s="81">
        <v>270</v>
      </c>
      <c r="BH11" s="81">
        <v>280</v>
      </c>
      <c r="BI11" s="81">
        <v>285</v>
      </c>
      <c r="BJ11" s="81">
        <v>290</v>
      </c>
      <c r="BK11" s="82">
        <v>210</v>
      </c>
      <c r="BL11" s="82">
        <v>230</v>
      </c>
      <c r="BM11" s="82">
        <v>260</v>
      </c>
      <c r="BN11" s="82">
        <v>275</v>
      </c>
      <c r="BO11" s="82">
        <v>295</v>
      </c>
      <c r="BP11" s="82">
        <v>310</v>
      </c>
      <c r="BQ11" s="82">
        <v>315</v>
      </c>
      <c r="BR11" s="82">
        <v>325</v>
      </c>
      <c r="BS11" s="82">
        <v>330</v>
      </c>
      <c r="BT11" s="82">
        <v>335</v>
      </c>
      <c r="BU11" s="83">
        <v>230</v>
      </c>
      <c r="BV11" s="83">
        <v>260</v>
      </c>
      <c r="BW11" s="83">
        <v>280</v>
      </c>
      <c r="BX11" s="83">
        <v>300</v>
      </c>
      <c r="BY11" s="83">
        <v>320</v>
      </c>
      <c r="BZ11" s="83">
        <v>330</v>
      </c>
      <c r="CA11" s="83">
        <v>340</v>
      </c>
      <c r="CB11" s="83">
        <v>350</v>
      </c>
      <c r="CC11" s="83">
        <v>360</v>
      </c>
      <c r="CD11" s="83">
        <v>365</v>
      </c>
    </row>
    <row r="12" spans="2:82" ht="12.75">
      <c r="B12" s="48" t="s">
        <v>33</v>
      </c>
      <c r="C12" s="75">
        <v>175</v>
      </c>
      <c r="D12" s="75">
        <v>175</v>
      </c>
      <c r="E12" s="75">
        <v>175</v>
      </c>
      <c r="F12" s="75">
        <v>190</v>
      </c>
      <c r="G12" s="75">
        <v>200</v>
      </c>
      <c r="H12" s="75">
        <v>210</v>
      </c>
      <c r="I12" s="75">
        <v>225</v>
      </c>
      <c r="J12" s="75">
        <v>225</v>
      </c>
      <c r="K12" s="75">
        <v>230</v>
      </c>
      <c r="L12" s="75">
        <v>230</v>
      </c>
      <c r="M12" s="75">
        <v>175</v>
      </c>
      <c r="N12" s="75">
        <v>175</v>
      </c>
      <c r="O12" s="75">
        <v>175</v>
      </c>
      <c r="P12" s="75">
        <v>190</v>
      </c>
      <c r="Q12" s="75">
        <v>200</v>
      </c>
      <c r="R12" s="75">
        <v>210</v>
      </c>
      <c r="S12" s="75">
        <v>225</v>
      </c>
      <c r="T12" s="75">
        <v>225</v>
      </c>
      <c r="U12" s="75">
        <v>230</v>
      </c>
      <c r="V12" s="75">
        <v>230</v>
      </c>
      <c r="W12" s="75">
        <v>175</v>
      </c>
      <c r="X12" s="75">
        <v>175</v>
      </c>
      <c r="Y12" s="75">
        <v>190</v>
      </c>
      <c r="Z12" s="75">
        <v>200</v>
      </c>
      <c r="AA12" s="75">
        <v>210</v>
      </c>
      <c r="AB12" s="75">
        <v>225</v>
      </c>
      <c r="AC12" s="75">
        <v>225</v>
      </c>
      <c r="AD12" s="75">
        <v>230</v>
      </c>
      <c r="AE12" s="75">
        <v>230</v>
      </c>
      <c r="AF12" s="75">
        <v>235</v>
      </c>
      <c r="AG12" s="75">
        <v>175</v>
      </c>
      <c r="AH12" s="75">
        <v>175</v>
      </c>
      <c r="AI12" s="75">
        <v>190</v>
      </c>
      <c r="AJ12" s="75">
        <v>200</v>
      </c>
      <c r="AK12" s="75">
        <v>210</v>
      </c>
      <c r="AL12" s="75">
        <v>225</v>
      </c>
      <c r="AM12" s="75">
        <v>225</v>
      </c>
      <c r="AN12" s="75">
        <v>230</v>
      </c>
      <c r="AO12" s="75">
        <v>230</v>
      </c>
      <c r="AP12" s="75">
        <v>235</v>
      </c>
      <c r="AQ12" s="84">
        <v>275</v>
      </c>
      <c r="AR12" s="84">
        <v>275</v>
      </c>
      <c r="AS12" s="84">
        <v>275</v>
      </c>
      <c r="AT12" s="84">
        <v>295</v>
      </c>
      <c r="AU12" s="84">
        <v>315</v>
      </c>
      <c r="AV12" s="84">
        <v>335</v>
      </c>
      <c r="AW12" s="84">
        <v>360</v>
      </c>
      <c r="AX12" s="84">
        <v>360</v>
      </c>
      <c r="AY12" s="84">
        <v>380</v>
      </c>
      <c r="AZ12" s="84">
        <v>380</v>
      </c>
      <c r="BA12" s="84">
        <v>275</v>
      </c>
      <c r="BB12" s="84">
        <v>275</v>
      </c>
      <c r="BC12" s="84">
        <v>275</v>
      </c>
      <c r="BD12" s="84">
        <v>295</v>
      </c>
      <c r="BE12" s="84">
        <v>315</v>
      </c>
      <c r="BF12" s="84">
        <v>335</v>
      </c>
      <c r="BG12" s="84">
        <v>360</v>
      </c>
      <c r="BH12" s="84">
        <v>360</v>
      </c>
      <c r="BI12" s="84">
        <v>380</v>
      </c>
      <c r="BJ12" s="84">
        <v>380</v>
      </c>
      <c r="BK12" s="83">
        <v>275</v>
      </c>
      <c r="BL12" s="83">
        <v>275</v>
      </c>
      <c r="BM12" s="83">
        <v>295</v>
      </c>
      <c r="BN12" s="83">
        <v>315</v>
      </c>
      <c r="BO12" s="83">
        <v>335</v>
      </c>
      <c r="BP12" s="83">
        <v>360</v>
      </c>
      <c r="BQ12" s="83">
        <v>360</v>
      </c>
      <c r="BR12" s="83">
        <v>380</v>
      </c>
      <c r="BS12" s="83">
        <v>380</v>
      </c>
      <c r="BT12" s="83">
        <v>385</v>
      </c>
      <c r="BU12" s="83">
        <v>275</v>
      </c>
      <c r="BV12" s="83">
        <v>275</v>
      </c>
      <c r="BW12" s="83">
        <v>295</v>
      </c>
      <c r="BX12" s="83">
        <v>315</v>
      </c>
      <c r="BY12" s="83">
        <v>335</v>
      </c>
      <c r="BZ12" s="83">
        <v>360</v>
      </c>
      <c r="CA12" s="83">
        <v>360</v>
      </c>
      <c r="CB12" s="83">
        <v>380</v>
      </c>
      <c r="CC12" s="83">
        <v>380</v>
      </c>
      <c r="CD12" s="83">
        <v>385</v>
      </c>
    </row>
    <row r="13" spans="69:78" ht="12.75"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59:66" ht="12.75">
      <c r="BG14" s="41"/>
      <c r="BH14" s="41"/>
      <c r="BI14" s="41"/>
      <c r="BJ14" s="41"/>
      <c r="BK14" s="41"/>
      <c r="BL14" s="41"/>
      <c r="BM14" s="41"/>
      <c r="BN14" s="41"/>
    </row>
    <row r="15" spans="2:72" ht="12.75">
      <c r="B15" s="55" t="s">
        <v>37</v>
      </c>
      <c r="C15" s="55" t="s">
        <v>36</v>
      </c>
      <c r="D15" s="55" t="s">
        <v>35</v>
      </c>
      <c r="E15" s="55" t="s">
        <v>35</v>
      </c>
      <c r="F15" t="s">
        <v>34</v>
      </c>
      <c r="G15" s="22" t="s">
        <v>131</v>
      </c>
      <c r="H15" t="s">
        <v>132</v>
      </c>
      <c r="K15" s="56" t="s">
        <v>37</v>
      </c>
      <c r="L15" s="56" t="s">
        <v>36</v>
      </c>
      <c r="M15" s="56" t="s">
        <v>38</v>
      </c>
      <c r="N15" s="56" t="s">
        <v>38</v>
      </c>
      <c r="O15" s="56" t="s">
        <v>37</v>
      </c>
      <c r="P15" t="s">
        <v>34</v>
      </c>
      <c r="Q15" s="22" t="s">
        <v>131</v>
      </c>
      <c r="R15" t="s">
        <v>132</v>
      </c>
      <c r="S15" s="23"/>
      <c r="T15" s="23"/>
      <c r="U15" s="23"/>
      <c r="BT15" s="55"/>
    </row>
    <row r="16" spans="1:21" ht="12.75">
      <c r="A16" s="37">
        <v>10</v>
      </c>
      <c r="B16" s="47" t="s">
        <v>80</v>
      </c>
      <c r="C16" s="47" t="s">
        <v>70</v>
      </c>
      <c r="D16" s="47" t="s">
        <v>60</v>
      </c>
      <c r="E16" s="47" t="s">
        <v>50</v>
      </c>
      <c r="F16" s="85" t="s">
        <v>39</v>
      </c>
      <c r="G16" s="85" t="s">
        <v>39</v>
      </c>
      <c r="H16" s="85" t="s">
        <v>39</v>
      </c>
      <c r="J16" s="37">
        <v>10</v>
      </c>
      <c r="K16" s="57" t="s">
        <v>120</v>
      </c>
      <c r="L16" s="57" t="s">
        <v>110</v>
      </c>
      <c r="M16" s="57" t="s">
        <v>100</v>
      </c>
      <c r="N16" s="57" t="s">
        <v>90</v>
      </c>
      <c r="O16" s="57" t="s">
        <v>120</v>
      </c>
      <c r="P16" s="85" t="s">
        <v>39</v>
      </c>
      <c r="Q16" s="85" t="s">
        <v>39</v>
      </c>
      <c r="R16" s="85" t="s">
        <v>39</v>
      </c>
      <c r="S16" s="24"/>
      <c r="T16" s="23"/>
      <c r="U16" s="23"/>
    </row>
    <row r="17" spans="1:72" ht="12.75">
      <c r="A17" s="37">
        <v>35.01</v>
      </c>
      <c r="B17" s="47" t="s">
        <v>80</v>
      </c>
      <c r="C17" s="47" t="s">
        <v>70</v>
      </c>
      <c r="D17" s="47" t="s">
        <v>60</v>
      </c>
      <c r="E17" s="47" t="s">
        <v>50</v>
      </c>
      <c r="F17" s="85" t="s">
        <v>39</v>
      </c>
      <c r="G17" s="85" t="s">
        <v>39</v>
      </c>
      <c r="H17" s="85" t="s">
        <v>39</v>
      </c>
      <c r="J17">
        <v>35.01</v>
      </c>
      <c r="K17" s="57" t="s">
        <v>120</v>
      </c>
      <c r="L17" s="57" t="s">
        <v>110</v>
      </c>
      <c r="M17" s="57" t="s">
        <v>100</v>
      </c>
      <c r="N17" s="57" t="s">
        <v>90</v>
      </c>
      <c r="O17" s="57" t="s">
        <v>120</v>
      </c>
      <c r="P17" s="85" t="s">
        <v>39</v>
      </c>
      <c r="Q17" s="85" t="s">
        <v>39</v>
      </c>
      <c r="R17" s="85" t="s">
        <v>39</v>
      </c>
      <c r="S17" s="24"/>
      <c r="T17" s="23"/>
      <c r="U17" s="23"/>
      <c r="AV17" s="22"/>
      <c r="AW17" s="22"/>
      <c r="BG17" s="55"/>
      <c r="BS17" s="22"/>
      <c r="BT17" s="47"/>
    </row>
    <row r="18" spans="1:72" ht="12.75">
      <c r="A18" s="37">
        <v>40.01</v>
      </c>
      <c r="B18" s="47" t="s">
        <v>80</v>
      </c>
      <c r="C18" s="47" t="s">
        <v>70</v>
      </c>
      <c r="D18" s="47" t="s">
        <v>60</v>
      </c>
      <c r="E18" s="47" t="s">
        <v>50</v>
      </c>
      <c r="F18" s="85" t="s">
        <v>39</v>
      </c>
      <c r="G18" s="85" t="s">
        <v>39</v>
      </c>
      <c r="H18" s="85" t="s">
        <v>39</v>
      </c>
      <c r="J18" s="25">
        <v>40.01</v>
      </c>
      <c r="K18" s="57" t="s">
        <v>120</v>
      </c>
      <c r="L18" s="57" t="s">
        <v>110</v>
      </c>
      <c r="M18" s="57" t="s">
        <v>101</v>
      </c>
      <c r="N18" s="57" t="s">
        <v>91</v>
      </c>
      <c r="O18" s="57" t="s">
        <v>120</v>
      </c>
      <c r="P18" s="85" t="s">
        <v>39</v>
      </c>
      <c r="Q18" s="85" t="s">
        <v>39</v>
      </c>
      <c r="R18" s="85" t="s">
        <v>39</v>
      </c>
      <c r="S18" s="24"/>
      <c r="T18" s="23"/>
      <c r="U18" s="23"/>
      <c r="AV18" s="22"/>
      <c r="AW18" s="22"/>
      <c r="BS18" s="22"/>
      <c r="BT18" s="47"/>
    </row>
    <row r="19" spans="1:72" ht="12.75">
      <c r="A19" s="37">
        <v>45.01</v>
      </c>
      <c r="B19" s="47" t="s">
        <v>80</v>
      </c>
      <c r="C19" s="47" t="s">
        <v>70</v>
      </c>
      <c r="D19" s="47" t="s">
        <v>60</v>
      </c>
      <c r="E19" s="47" t="s">
        <v>50</v>
      </c>
      <c r="F19" s="85" t="s">
        <v>39</v>
      </c>
      <c r="G19" s="85" t="s">
        <v>39</v>
      </c>
      <c r="H19" s="85" t="s">
        <v>39</v>
      </c>
      <c r="J19">
        <v>45.01</v>
      </c>
      <c r="K19" s="57" t="s">
        <v>121</v>
      </c>
      <c r="L19" s="57" t="s">
        <v>111</v>
      </c>
      <c r="M19" s="57" t="s">
        <v>109</v>
      </c>
      <c r="N19" s="57" t="s">
        <v>92</v>
      </c>
      <c r="O19" s="57" t="s">
        <v>121</v>
      </c>
      <c r="P19" s="85" t="s">
        <v>39</v>
      </c>
      <c r="Q19" s="85" t="s">
        <v>39</v>
      </c>
      <c r="R19" s="85" t="s">
        <v>39</v>
      </c>
      <c r="S19" s="24"/>
      <c r="T19" s="23"/>
      <c r="U19" s="23"/>
      <c r="AV19" s="22"/>
      <c r="AW19" s="22"/>
      <c r="BG19" s="55"/>
      <c r="BS19" s="22"/>
      <c r="BT19" s="47"/>
    </row>
    <row r="20" spans="1:72" ht="12.75">
      <c r="A20" s="37">
        <v>49.01</v>
      </c>
      <c r="B20" s="47" t="s">
        <v>80</v>
      </c>
      <c r="C20" s="47" t="s">
        <v>70</v>
      </c>
      <c r="D20" s="47" t="s">
        <v>61</v>
      </c>
      <c r="E20" s="47" t="s">
        <v>51</v>
      </c>
      <c r="F20" s="85" t="s">
        <v>39</v>
      </c>
      <c r="G20" s="85" t="s">
        <v>39</v>
      </c>
      <c r="H20" s="85" t="s">
        <v>39</v>
      </c>
      <c r="J20">
        <v>49.01</v>
      </c>
      <c r="K20" s="57" t="s">
        <v>122</v>
      </c>
      <c r="L20" s="57" t="s">
        <v>112</v>
      </c>
      <c r="M20" s="57" t="s">
        <v>93</v>
      </c>
      <c r="N20" s="57" t="s">
        <v>102</v>
      </c>
      <c r="O20" s="57" t="s">
        <v>122</v>
      </c>
      <c r="P20" s="85" t="s">
        <v>39</v>
      </c>
      <c r="Q20" s="85" t="s">
        <v>39</v>
      </c>
      <c r="R20" s="85" t="s">
        <v>39</v>
      </c>
      <c r="S20" s="24"/>
      <c r="T20" s="23"/>
      <c r="U20" s="23"/>
      <c r="BS20" s="22"/>
      <c r="BT20" s="47"/>
    </row>
    <row r="21" spans="1:72" ht="12.75">
      <c r="A21" s="37">
        <v>55.01</v>
      </c>
      <c r="B21" s="47" t="s">
        <v>81</v>
      </c>
      <c r="C21" s="47" t="s">
        <v>71</v>
      </c>
      <c r="D21" s="47" t="s">
        <v>62</v>
      </c>
      <c r="E21" s="47" t="s">
        <v>52</v>
      </c>
      <c r="F21" s="85" t="s">
        <v>39</v>
      </c>
      <c r="G21" s="85" t="s">
        <v>39</v>
      </c>
      <c r="H21" s="85" t="s">
        <v>39</v>
      </c>
      <c r="J21">
        <v>55.01</v>
      </c>
      <c r="K21" s="57" t="s">
        <v>123</v>
      </c>
      <c r="L21" s="57" t="s">
        <v>113</v>
      </c>
      <c r="M21" s="57" t="s">
        <v>103</v>
      </c>
      <c r="N21" s="57" t="s">
        <v>94</v>
      </c>
      <c r="O21" s="57" t="s">
        <v>123</v>
      </c>
      <c r="P21" s="85" t="s">
        <v>39</v>
      </c>
      <c r="Q21" s="85" t="s">
        <v>39</v>
      </c>
      <c r="R21" s="85" t="s">
        <v>39</v>
      </c>
      <c r="S21" s="24"/>
      <c r="T21" s="23"/>
      <c r="U21" s="23"/>
      <c r="BG21" s="55"/>
      <c r="BT21" s="47"/>
    </row>
    <row r="22" spans="1:21" ht="12.75">
      <c r="A22" s="37">
        <v>61.01</v>
      </c>
      <c r="B22" s="47" t="s">
        <v>82</v>
      </c>
      <c r="C22" s="47" t="s">
        <v>72</v>
      </c>
      <c r="D22" s="47" t="s">
        <v>63</v>
      </c>
      <c r="E22" s="47" t="s">
        <v>53</v>
      </c>
      <c r="F22" s="85" t="s">
        <v>39</v>
      </c>
      <c r="G22" s="85" t="s">
        <v>39</v>
      </c>
      <c r="H22" s="85" t="s">
        <v>39</v>
      </c>
      <c r="J22">
        <v>59.01</v>
      </c>
      <c r="K22" s="57" t="s">
        <v>124</v>
      </c>
      <c r="L22" s="57" t="s">
        <v>114</v>
      </c>
      <c r="M22" s="57" t="s">
        <v>104</v>
      </c>
      <c r="N22" s="57" t="s">
        <v>95</v>
      </c>
      <c r="O22" s="57" t="s">
        <v>124</v>
      </c>
      <c r="P22" s="85" t="s">
        <v>39</v>
      </c>
      <c r="Q22" s="85" t="s">
        <v>39</v>
      </c>
      <c r="R22" s="85" t="s">
        <v>39</v>
      </c>
      <c r="S22" s="24"/>
      <c r="T22" s="23"/>
      <c r="U22" s="23"/>
    </row>
    <row r="23" spans="1:59" ht="12.75">
      <c r="A23" s="37">
        <v>67.01</v>
      </c>
      <c r="B23" s="47" t="s">
        <v>83</v>
      </c>
      <c r="C23" s="47" t="s">
        <v>73</v>
      </c>
      <c r="D23" s="47" t="s">
        <v>64</v>
      </c>
      <c r="E23" s="47" t="s">
        <v>54</v>
      </c>
      <c r="F23" s="85" t="s">
        <v>39</v>
      </c>
      <c r="G23" s="85" t="s">
        <v>39</v>
      </c>
      <c r="H23" s="85" t="s">
        <v>39</v>
      </c>
      <c r="J23">
        <v>64.01</v>
      </c>
      <c r="K23" s="57" t="s">
        <v>125</v>
      </c>
      <c r="L23" s="57" t="s">
        <v>115</v>
      </c>
      <c r="M23" s="57" t="s">
        <v>105</v>
      </c>
      <c r="N23" s="57" t="s">
        <v>96</v>
      </c>
      <c r="O23" s="57" t="s">
        <v>125</v>
      </c>
      <c r="P23" s="85" t="s">
        <v>39</v>
      </c>
      <c r="Q23" s="85" t="s">
        <v>39</v>
      </c>
      <c r="R23" s="85" t="s">
        <v>39</v>
      </c>
      <c r="S23" s="24"/>
      <c r="T23" s="23"/>
      <c r="U23" s="23"/>
      <c r="BG23" s="55"/>
    </row>
    <row r="24" spans="1:21" ht="12.75">
      <c r="A24" s="37">
        <v>73.01</v>
      </c>
      <c r="B24" s="47" t="s">
        <v>84</v>
      </c>
      <c r="C24" s="47" t="s">
        <v>74</v>
      </c>
      <c r="D24" s="47" t="s">
        <v>65</v>
      </c>
      <c r="E24" s="47" t="s">
        <v>55</v>
      </c>
      <c r="F24" s="85" t="s">
        <v>39</v>
      </c>
      <c r="G24" s="85" t="s">
        <v>39</v>
      </c>
      <c r="H24" s="85" t="s">
        <v>39</v>
      </c>
      <c r="J24">
        <v>71.01</v>
      </c>
      <c r="K24" s="57" t="s">
        <v>126</v>
      </c>
      <c r="L24" s="57" t="s">
        <v>116</v>
      </c>
      <c r="M24" s="57" t="s">
        <v>106</v>
      </c>
      <c r="N24" s="57" t="s">
        <v>97</v>
      </c>
      <c r="O24" s="57" t="s">
        <v>126</v>
      </c>
      <c r="P24" s="85" t="s">
        <v>39</v>
      </c>
      <c r="Q24" s="85" t="s">
        <v>39</v>
      </c>
      <c r="R24" s="85" t="s">
        <v>39</v>
      </c>
      <c r="S24" s="24"/>
      <c r="T24" s="23"/>
      <c r="U24" s="23"/>
    </row>
    <row r="25" spans="1:59" ht="12.75">
      <c r="A25" s="37">
        <v>81.01</v>
      </c>
      <c r="B25" s="47" t="s">
        <v>85</v>
      </c>
      <c r="C25" s="47" t="s">
        <v>75</v>
      </c>
      <c r="D25" s="47" t="s">
        <v>66</v>
      </c>
      <c r="E25" s="47" t="s">
        <v>56</v>
      </c>
      <c r="F25" s="85" t="s">
        <v>39</v>
      </c>
      <c r="G25" s="85" t="s">
        <v>39</v>
      </c>
      <c r="H25" s="85" t="s">
        <v>39</v>
      </c>
      <c r="J25">
        <v>76.01</v>
      </c>
      <c r="K25" s="57" t="s">
        <v>127</v>
      </c>
      <c r="L25" s="57" t="s">
        <v>117</v>
      </c>
      <c r="M25" s="57" t="s">
        <v>107</v>
      </c>
      <c r="N25" s="57" t="s">
        <v>98</v>
      </c>
      <c r="O25" s="57" t="s">
        <v>127</v>
      </c>
      <c r="P25" s="85" t="s">
        <v>39</v>
      </c>
      <c r="Q25" s="85" t="s">
        <v>39</v>
      </c>
      <c r="R25" s="85" t="s">
        <v>39</v>
      </c>
      <c r="S25" s="24"/>
      <c r="T25" s="23"/>
      <c r="U25" s="23"/>
      <c r="BG25" s="55"/>
    </row>
    <row r="26" spans="1:21" ht="12.75">
      <c r="A26" s="37">
        <v>89.01</v>
      </c>
      <c r="B26" s="47" t="s">
        <v>86</v>
      </c>
      <c r="C26" s="47" t="s">
        <v>76</v>
      </c>
      <c r="D26" s="47" t="s">
        <v>67</v>
      </c>
      <c r="E26" s="47" t="s">
        <v>57</v>
      </c>
      <c r="F26" s="85" t="s">
        <v>39</v>
      </c>
      <c r="G26" s="85" t="s">
        <v>39</v>
      </c>
      <c r="H26" s="85" t="s">
        <v>39</v>
      </c>
      <c r="J26">
        <v>81.01</v>
      </c>
      <c r="K26" s="57" t="s">
        <v>128</v>
      </c>
      <c r="L26" s="57" t="s">
        <v>118</v>
      </c>
      <c r="M26" s="57" t="s">
        <v>108</v>
      </c>
      <c r="N26" s="57" t="s">
        <v>99</v>
      </c>
      <c r="O26" s="57" t="s">
        <v>128</v>
      </c>
      <c r="P26" s="85" t="s">
        <v>39</v>
      </c>
      <c r="Q26" s="85" t="s">
        <v>39</v>
      </c>
      <c r="R26" s="85" t="s">
        <v>39</v>
      </c>
      <c r="S26" s="24"/>
      <c r="T26" s="23"/>
      <c r="U26" s="23"/>
    </row>
    <row r="27" spans="1:59" ht="12.75">
      <c r="A27" s="37">
        <v>96.01</v>
      </c>
      <c r="B27" s="47" t="s">
        <v>87</v>
      </c>
      <c r="C27" s="47" t="s">
        <v>77</v>
      </c>
      <c r="D27" s="47" t="s">
        <v>68</v>
      </c>
      <c r="E27" s="47" t="s">
        <v>58</v>
      </c>
      <c r="F27" s="85" t="s">
        <v>39</v>
      </c>
      <c r="G27" s="85" t="s">
        <v>39</v>
      </c>
      <c r="H27" s="85" t="s">
        <v>39</v>
      </c>
      <c r="J27">
        <v>87.01</v>
      </c>
      <c r="K27" s="57" t="s">
        <v>129</v>
      </c>
      <c r="L27" s="57" t="s">
        <v>119</v>
      </c>
      <c r="M27" s="57" t="s">
        <v>108</v>
      </c>
      <c r="N27" s="57" t="s">
        <v>99</v>
      </c>
      <c r="O27" s="57" t="s">
        <v>129</v>
      </c>
      <c r="P27" s="85" t="s">
        <v>39</v>
      </c>
      <c r="Q27" s="85" t="s">
        <v>39</v>
      </c>
      <c r="R27" s="85" t="s">
        <v>39</v>
      </c>
      <c r="S27" s="24"/>
      <c r="T27" s="23"/>
      <c r="U27" s="23"/>
      <c r="BG27" s="55"/>
    </row>
    <row r="28" spans="1:21" ht="12.75">
      <c r="A28" s="37">
        <v>102.01</v>
      </c>
      <c r="B28" s="47" t="s">
        <v>88</v>
      </c>
      <c r="C28" s="47" t="s">
        <v>78</v>
      </c>
      <c r="D28" s="47" t="s">
        <v>69</v>
      </c>
      <c r="E28" s="47" t="s">
        <v>59</v>
      </c>
      <c r="F28" s="85" t="s">
        <v>39</v>
      </c>
      <c r="G28" s="85" t="s">
        <v>39</v>
      </c>
      <c r="H28" s="85" t="s">
        <v>39</v>
      </c>
      <c r="K28" s="85"/>
      <c r="L28" s="24"/>
      <c r="M28" s="24"/>
      <c r="N28" s="24"/>
      <c r="O28" s="24"/>
      <c r="P28" s="24"/>
      <c r="Q28" s="24"/>
      <c r="R28" s="24"/>
      <c r="S28" s="24"/>
      <c r="T28" s="23"/>
      <c r="U28" s="23"/>
    </row>
    <row r="29" spans="1:59" ht="12.75">
      <c r="A29" s="37">
        <v>109.1</v>
      </c>
      <c r="B29" s="47" t="s">
        <v>89</v>
      </c>
      <c r="C29" s="47" t="s">
        <v>79</v>
      </c>
      <c r="D29" s="47" t="s">
        <v>69</v>
      </c>
      <c r="E29" s="47" t="s">
        <v>59</v>
      </c>
      <c r="F29" s="85" t="s">
        <v>39</v>
      </c>
      <c r="G29" s="85" t="s">
        <v>39</v>
      </c>
      <c r="H29" s="85" t="s">
        <v>39</v>
      </c>
      <c r="K29" s="85"/>
      <c r="L29" s="24"/>
      <c r="M29" s="24"/>
      <c r="N29" s="24"/>
      <c r="O29" s="24"/>
      <c r="P29" s="24"/>
      <c r="Q29" s="24"/>
      <c r="R29" s="24"/>
      <c r="S29" s="24"/>
      <c r="T29" s="23"/>
      <c r="U29" s="23"/>
      <c r="AV29" s="22"/>
      <c r="AW29" s="22"/>
      <c r="BG29" s="55"/>
    </row>
    <row r="30" spans="13:21" ht="12.75">
      <c r="M30" s="23"/>
      <c r="O30" s="24"/>
      <c r="P30" s="24"/>
      <c r="Q30" s="24"/>
      <c r="R30" s="24"/>
      <c r="S30" s="24"/>
      <c r="T30" s="23"/>
      <c r="U30" s="23"/>
    </row>
    <row r="31" spans="13:59" ht="12.75">
      <c r="M31" s="23"/>
      <c r="N31" s="24"/>
      <c r="O31" s="24"/>
      <c r="P31" s="24"/>
      <c r="Q31" s="24"/>
      <c r="R31" s="24"/>
      <c r="S31" s="24"/>
      <c r="T31" s="23"/>
      <c r="U31" s="23"/>
      <c r="BG31" s="55"/>
    </row>
    <row r="32" spans="13:21" ht="12.75">
      <c r="M32" s="23"/>
      <c r="N32" s="24"/>
      <c r="O32" s="24"/>
      <c r="P32" s="24"/>
      <c r="Q32" s="24"/>
      <c r="R32" s="24"/>
      <c r="S32" s="24"/>
      <c r="T32" s="23"/>
      <c r="U32" s="23"/>
    </row>
    <row r="33" spans="13:59" ht="12.75">
      <c r="M33" s="23"/>
      <c r="N33" s="24"/>
      <c r="O33" s="24"/>
      <c r="P33" s="24"/>
      <c r="Q33" s="24"/>
      <c r="R33" s="24"/>
      <c r="S33" s="24"/>
      <c r="T33" s="23"/>
      <c r="U33" s="23"/>
      <c r="BG33" s="55"/>
    </row>
    <row r="35" spans="11:59" ht="12.75">
      <c r="K35" s="23"/>
      <c r="M35" s="56"/>
      <c r="BG35" s="55"/>
    </row>
    <row r="36" spans="11:13" ht="12.75">
      <c r="K36" s="85"/>
      <c r="M36" s="57"/>
    </row>
    <row r="37" spans="11:59" ht="12.75">
      <c r="K37" s="85"/>
      <c r="M37" s="57"/>
      <c r="BG37" s="55"/>
    </row>
    <row r="38" spans="11:13" ht="12.75">
      <c r="K38" s="85"/>
      <c r="M38" s="57"/>
    </row>
    <row r="39" spans="11:13" ht="12.75">
      <c r="K39" s="85"/>
      <c r="M39" s="57"/>
    </row>
    <row r="40" spans="11:13" ht="12.75">
      <c r="K40" s="85"/>
      <c r="M40" s="57"/>
    </row>
    <row r="41" spans="11:13" ht="12.75">
      <c r="K41" s="85"/>
      <c r="M41" s="57"/>
    </row>
    <row r="42" spans="11:13" ht="12.75">
      <c r="K42" s="85"/>
      <c r="M42" s="57"/>
    </row>
    <row r="43" spans="11:13" ht="12.75">
      <c r="K43" s="85"/>
      <c r="M43" s="57"/>
    </row>
    <row r="44" spans="11:13" ht="12.75">
      <c r="K44" s="85"/>
      <c r="M44" s="57"/>
    </row>
    <row r="45" spans="4:13" ht="12.75">
      <c r="D45" s="47"/>
      <c r="K45" s="85"/>
      <c r="M45" s="57"/>
    </row>
    <row r="46" spans="11:13" ht="12.75">
      <c r="K46" s="85"/>
      <c r="M46" s="57"/>
    </row>
    <row r="47" spans="11:13" ht="12.75">
      <c r="K47" s="85"/>
      <c r="M47" s="57"/>
    </row>
    <row r="49" ht="12.75">
      <c r="B49" t="s">
        <v>133</v>
      </c>
    </row>
    <row r="50" spans="2:3" ht="12.75">
      <c r="B50">
        <v>99</v>
      </c>
      <c r="C50" t="s">
        <v>37</v>
      </c>
    </row>
    <row r="51" spans="2:3" ht="12.75">
      <c r="B51">
        <v>20</v>
      </c>
      <c r="C51" t="s">
        <v>36</v>
      </c>
    </row>
    <row r="52" spans="2:3" ht="12.75">
      <c r="B52">
        <v>17</v>
      </c>
      <c r="C52" t="s">
        <v>134</v>
      </c>
    </row>
    <row r="53" spans="2:3" ht="12.75">
      <c r="B53">
        <v>15</v>
      </c>
      <c r="C53" t="s">
        <v>135</v>
      </c>
    </row>
    <row r="54" spans="2:3" ht="12.75">
      <c r="B54">
        <v>13</v>
      </c>
      <c r="C54" t="s">
        <v>34</v>
      </c>
    </row>
    <row r="55" spans="2:3" ht="12.75">
      <c r="B55">
        <v>10</v>
      </c>
      <c r="C55" s="22" t="s">
        <v>131</v>
      </c>
    </row>
    <row r="56" spans="2:3" ht="12.75">
      <c r="B56">
        <v>9</v>
      </c>
      <c r="C56" t="s">
        <v>132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FFHM;clement.adam@wanadoo.fr</dc:creator>
  <cp:keywords/>
  <dc:description/>
  <cp:lastModifiedBy>Lebaigue</cp:lastModifiedBy>
  <cp:lastPrinted>2017-09-19T09:23:09Z</cp:lastPrinted>
  <dcterms:created xsi:type="dcterms:W3CDTF">2004-10-09T07:29:01Z</dcterms:created>
  <dcterms:modified xsi:type="dcterms:W3CDTF">2019-04-08T06:40:23Z</dcterms:modified>
  <cp:category/>
  <cp:version/>
  <cp:contentType/>
  <cp:contentStatus/>
</cp:coreProperties>
</file>