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lbenga\Downloads\"/>
    </mc:Choice>
  </mc:AlternateContent>
  <xr:revisionPtr revIDLastSave="0" documentId="13_ncr:1_{FE191F73-A065-4B82-8100-AAE002BD44EC}" xr6:coauthVersionLast="43" xr6:coauthVersionMax="43" xr10:uidLastSave="{00000000-0000-0000-0000-000000000000}"/>
  <bookViews>
    <workbookView xWindow="-110" yWindow="-110" windowWidth="19420" windowHeight="10420" activeTab="1" xr2:uid="{00000000-000D-0000-FFFF-FFFF00000000}"/>
  </bookViews>
  <sheets>
    <sheet name="FEMININES" sheetId="3" r:id="rId1"/>
    <sheet name="MASCULINS" sheetId="5" r:id="rId2"/>
    <sheet name="Minimas" sheetId="4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xlnm.Print_Area" localSheetId="0">FEMININES!$A$1:$X$86</definedName>
    <definedName name="_xlnm.Print_Area" localSheetId="1">MASCULINS!$A$1:$X$190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150" i="5" l="1"/>
  <c r="AJ150" i="5"/>
  <c r="AN150" i="5" s="1"/>
  <c r="AI150" i="5"/>
  <c r="AH150" i="5"/>
  <c r="AG150" i="5"/>
  <c r="AF150" i="5"/>
  <c r="AE150" i="5"/>
  <c r="AD150" i="5"/>
  <c r="AC150" i="5"/>
  <c r="AB150" i="5"/>
  <c r="U111" i="5"/>
  <c r="AJ111" i="5"/>
  <c r="AN111" i="5" s="1"/>
  <c r="AI111" i="5"/>
  <c r="AH111" i="5"/>
  <c r="AG111" i="5"/>
  <c r="AF111" i="5"/>
  <c r="AE111" i="5"/>
  <c r="AD111" i="5"/>
  <c r="AC111" i="5"/>
  <c r="AB111" i="5"/>
  <c r="AJ109" i="3"/>
  <c r="AN109" i="3" s="1"/>
  <c r="AI109" i="3"/>
  <c r="AH109" i="3"/>
  <c r="AG109" i="3"/>
  <c r="AF109" i="3"/>
  <c r="AE109" i="3"/>
  <c r="AD109" i="3"/>
  <c r="AC109" i="3"/>
  <c r="AB109" i="3"/>
  <c r="AJ105" i="3"/>
  <c r="AN105" i="3" s="1"/>
  <c r="AI105" i="3"/>
  <c r="AH105" i="3"/>
  <c r="AG105" i="3"/>
  <c r="AF105" i="3"/>
  <c r="AE105" i="3"/>
  <c r="AD105" i="3"/>
  <c r="AC105" i="3"/>
  <c r="AB105" i="3"/>
  <c r="AJ26" i="3"/>
  <c r="AN26" i="3" s="1"/>
  <c r="AI26" i="3"/>
  <c r="AH26" i="3"/>
  <c r="AG26" i="3"/>
  <c r="AF26" i="3"/>
  <c r="AE26" i="3"/>
  <c r="AD26" i="3"/>
  <c r="AC26" i="3"/>
  <c r="AB26" i="3"/>
  <c r="AK150" i="5" l="1"/>
  <c r="AM150" i="5" s="1"/>
  <c r="AK111" i="5"/>
  <c r="AM111" i="5" s="1"/>
  <c r="AK109" i="3"/>
  <c r="AM109" i="3" s="1"/>
  <c r="AK105" i="3"/>
  <c r="AM105" i="3" s="1"/>
  <c r="AK26" i="3"/>
  <c r="AM26" i="3" s="1"/>
  <c r="AB13" i="5"/>
  <c r="S13" i="5" s="1"/>
  <c r="AA13" i="5"/>
  <c r="O13" i="5" s="1"/>
  <c r="T13" i="5" s="1"/>
  <c r="W13" i="5" s="1"/>
  <c r="V13" i="5"/>
  <c r="T8" i="5"/>
  <c r="T18" i="5"/>
  <c r="T17" i="5"/>
  <c r="AB18" i="5"/>
  <c r="S18" i="5" s="1"/>
  <c r="AA18" i="5"/>
  <c r="O18" i="5" s="1"/>
  <c r="AB17" i="5"/>
  <c r="S17" i="5" s="1"/>
  <c r="AA17" i="5"/>
  <c r="O17" i="5" s="1"/>
  <c r="AB16" i="5"/>
  <c r="AA16" i="5"/>
  <c r="O16" i="5" s="1"/>
  <c r="AB15" i="5"/>
  <c r="AA15" i="5"/>
  <c r="AB14" i="5"/>
  <c r="S14" i="5" s="1"/>
  <c r="AA14" i="5"/>
  <c r="O14" i="5" s="1"/>
  <c r="AB12" i="5"/>
  <c r="AA12" i="5"/>
  <c r="AB11" i="5"/>
  <c r="S11" i="5" s="1"/>
  <c r="AA11" i="5"/>
  <c r="O11" i="5" s="1"/>
  <c r="AB10" i="5"/>
  <c r="S10" i="5" s="1"/>
  <c r="AA10" i="5"/>
  <c r="O10" i="5" s="1"/>
  <c r="AB9" i="5"/>
  <c r="AA9" i="5"/>
  <c r="O9" i="5" s="1"/>
  <c r="O15" i="5"/>
  <c r="O12" i="5"/>
  <c r="V18" i="5"/>
  <c r="V17" i="5"/>
  <c r="V15" i="5"/>
  <c r="V12" i="5"/>
  <c r="V9" i="5"/>
  <c r="AB8" i="5"/>
  <c r="S8" i="5" s="1"/>
  <c r="AA8" i="5"/>
  <c r="O8" i="5" s="1"/>
  <c r="V8" i="5"/>
  <c r="AB7" i="3"/>
  <c r="O241" i="5" l="1"/>
  <c r="S241" i="5"/>
  <c r="V241" i="5"/>
  <c r="O238" i="5"/>
  <c r="S238" i="5"/>
  <c r="V238" i="5"/>
  <c r="T238" i="5" l="1"/>
  <c r="W238" i="5" s="1"/>
  <c r="T241" i="5"/>
  <c r="AC241" i="5" s="1"/>
  <c r="V141" i="3"/>
  <c r="O51" i="3"/>
  <c r="S51" i="3"/>
  <c r="V51" i="3"/>
  <c r="W241" i="5" l="1"/>
  <c r="AI238" i="5"/>
  <c r="AH238" i="5"/>
  <c r="AF238" i="5"/>
  <c r="AC238" i="5"/>
  <c r="AD238" i="5"/>
  <c r="AG238" i="5"/>
  <c r="AH241" i="5"/>
  <c r="AE238" i="5"/>
  <c r="AB238" i="5"/>
  <c r="AJ238" i="5"/>
  <c r="AG241" i="5"/>
  <c r="AF241" i="5"/>
  <c r="AE241" i="5"/>
  <c r="AB241" i="5"/>
  <c r="AJ241" i="5"/>
  <c r="AD241" i="5"/>
  <c r="AI241" i="5"/>
  <c r="T51" i="3"/>
  <c r="AE51" i="3" s="1"/>
  <c r="S301" i="5"/>
  <c r="O301" i="5"/>
  <c r="S298" i="5"/>
  <c r="O298" i="5"/>
  <c r="S289" i="5"/>
  <c r="O289" i="5"/>
  <c r="S281" i="5"/>
  <c r="O281" i="5"/>
  <c r="S269" i="5"/>
  <c r="O269" i="5"/>
  <c r="S217" i="5"/>
  <c r="O217" i="5"/>
  <c r="V301" i="5"/>
  <c r="V298" i="5"/>
  <c r="V289" i="5"/>
  <c r="V281" i="5"/>
  <c r="V269" i="5"/>
  <c r="V217" i="5"/>
  <c r="S252" i="5"/>
  <c r="O252" i="5"/>
  <c r="S156" i="5"/>
  <c r="O156" i="5"/>
  <c r="S174" i="5"/>
  <c r="O174" i="5"/>
  <c r="S163" i="5"/>
  <c r="O163" i="5"/>
  <c r="S170" i="5"/>
  <c r="O170" i="5"/>
  <c r="S175" i="5"/>
  <c r="O175" i="5"/>
  <c r="S128" i="5"/>
  <c r="O128" i="5"/>
  <c r="S123" i="5"/>
  <c r="O123" i="5"/>
  <c r="S119" i="5"/>
  <c r="O119" i="5"/>
  <c r="E27" i="5"/>
  <c r="AN238" i="5" l="1"/>
  <c r="AK238" i="5"/>
  <c r="AM238" i="5" s="1"/>
  <c r="AK241" i="5"/>
  <c r="AM241" i="5" s="1"/>
  <c r="AN241" i="5"/>
  <c r="T281" i="5"/>
  <c r="W281" i="5" s="1"/>
  <c r="T123" i="5"/>
  <c r="T163" i="5"/>
  <c r="T128" i="5"/>
  <c r="T174" i="5"/>
  <c r="T301" i="5"/>
  <c r="AJ301" i="5" s="1"/>
  <c r="T175" i="5"/>
  <c r="T156" i="5"/>
  <c r="T170" i="5"/>
  <c r="T252" i="5"/>
  <c r="T298" i="5"/>
  <c r="W298" i="5" s="1"/>
  <c r="T289" i="5"/>
  <c r="W289" i="5" s="1"/>
  <c r="T217" i="5"/>
  <c r="AC217" i="5" s="1"/>
  <c r="W51" i="3"/>
  <c r="AH51" i="3"/>
  <c r="AF51" i="3"/>
  <c r="AG51" i="3"/>
  <c r="AI51" i="3"/>
  <c r="AD51" i="3"/>
  <c r="AB51" i="3"/>
  <c r="AJ51" i="3"/>
  <c r="AC51" i="3"/>
  <c r="S27" i="5"/>
  <c r="O27" i="5"/>
  <c r="T269" i="5"/>
  <c r="AG269" i="5" s="1"/>
  <c r="T119" i="5"/>
  <c r="U238" i="5" l="1"/>
  <c r="U241" i="5"/>
  <c r="AG298" i="5"/>
  <c r="AE281" i="5"/>
  <c r="AC281" i="5"/>
  <c r="AJ281" i="5"/>
  <c r="AB281" i="5"/>
  <c r="AG281" i="5"/>
  <c r="AG289" i="5"/>
  <c r="AH281" i="5"/>
  <c r="AD281" i="5"/>
  <c r="W301" i="5"/>
  <c r="AC289" i="5"/>
  <c r="AF298" i="5"/>
  <c r="AF281" i="5"/>
  <c r="AI281" i="5"/>
  <c r="AJ298" i="5"/>
  <c r="AH289" i="5"/>
  <c r="AG301" i="5"/>
  <c r="AH298" i="5"/>
  <c r="AC301" i="5"/>
  <c r="AE298" i="5"/>
  <c r="AH301" i="5"/>
  <c r="AC298" i="5"/>
  <c r="AE301" i="5"/>
  <c r="AI301" i="5"/>
  <c r="AB298" i="5"/>
  <c r="AI298" i="5"/>
  <c r="AB301" i="5"/>
  <c r="AD298" i="5"/>
  <c r="AF217" i="5"/>
  <c r="AD301" i="5"/>
  <c r="AF301" i="5"/>
  <c r="AD217" i="5"/>
  <c r="W217" i="5"/>
  <c r="AI217" i="5"/>
  <c r="AE217" i="5"/>
  <c r="AB217" i="5"/>
  <c r="AH217" i="5"/>
  <c r="AG217" i="5"/>
  <c r="AJ289" i="5"/>
  <c r="AF289" i="5"/>
  <c r="AB289" i="5"/>
  <c r="AI289" i="5"/>
  <c r="AE289" i="5"/>
  <c r="AD289" i="5"/>
  <c r="AE269" i="5"/>
  <c r="AC269" i="5"/>
  <c r="AB269" i="5"/>
  <c r="AH269" i="5"/>
  <c r="AJ217" i="5"/>
  <c r="AF269" i="5"/>
  <c r="AD269" i="5"/>
  <c r="W269" i="5"/>
  <c r="AI269" i="5"/>
  <c r="AJ269" i="5"/>
  <c r="AK51" i="3"/>
  <c r="AM51" i="3" s="1"/>
  <c r="AN51" i="3"/>
  <c r="T27" i="5"/>
  <c r="AN281" i="5" l="1"/>
  <c r="AK281" i="5"/>
  <c r="AM281" i="5" s="1"/>
  <c r="AK298" i="5"/>
  <c r="AM298" i="5" s="1"/>
  <c r="AN298" i="5"/>
  <c r="AN301" i="5"/>
  <c r="AK301" i="5"/>
  <c r="AM301" i="5" s="1"/>
  <c r="AN217" i="5"/>
  <c r="AN289" i="5"/>
  <c r="AK217" i="5"/>
  <c r="AM217" i="5" s="1"/>
  <c r="AK289" i="5"/>
  <c r="AM289" i="5" s="1"/>
  <c r="AK269" i="5"/>
  <c r="AM269" i="5" s="1"/>
  <c r="AN269" i="5"/>
  <c r="U51" i="3"/>
  <c r="U281" i="5" l="1"/>
  <c r="U298" i="5"/>
  <c r="U301" i="5"/>
  <c r="U289" i="5"/>
  <c r="U217" i="5"/>
  <c r="U269" i="5"/>
  <c r="W252" i="5"/>
  <c r="V252" i="5"/>
  <c r="AJ252" i="5" s="1"/>
  <c r="W156" i="5"/>
  <c r="V156" i="5"/>
  <c r="AE156" i="5" s="1"/>
  <c r="W174" i="5"/>
  <c r="V174" i="5"/>
  <c r="AD174" i="5" s="1"/>
  <c r="W163" i="5"/>
  <c r="V163" i="5"/>
  <c r="AC163" i="5" s="1"/>
  <c r="W170" i="5"/>
  <c r="V170" i="5"/>
  <c r="AD170" i="5" s="1"/>
  <c r="W175" i="5"/>
  <c r="V175" i="5"/>
  <c r="AC175" i="5" s="1"/>
  <c r="W128" i="5"/>
  <c r="V128" i="5"/>
  <c r="AJ128" i="5" s="1"/>
  <c r="W123" i="5"/>
  <c r="V123" i="5"/>
  <c r="AI123" i="5" s="1"/>
  <c r="W119" i="5"/>
  <c r="V119" i="5"/>
  <c r="AH119" i="5" s="1"/>
  <c r="S72" i="5"/>
  <c r="O72" i="5"/>
  <c r="S62" i="5"/>
  <c r="O62" i="5"/>
  <c r="S36" i="5"/>
  <c r="O36" i="5"/>
  <c r="S35" i="5"/>
  <c r="O35" i="5"/>
  <c r="S20" i="5"/>
  <c r="O20" i="5"/>
  <c r="T20" i="5" s="1"/>
  <c r="S112" i="3"/>
  <c r="O112" i="3"/>
  <c r="S96" i="3"/>
  <c r="O96" i="3"/>
  <c r="S95" i="3"/>
  <c r="O95" i="3"/>
  <c r="S60" i="3"/>
  <c r="O60" i="3"/>
  <c r="S44" i="3"/>
  <c r="O44" i="3"/>
  <c r="S19" i="3"/>
  <c r="O19" i="3"/>
  <c r="S11" i="3"/>
  <c r="O11" i="3"/>
  <c r="T96" i="3" l="1"/>
  <c r="T112" i="3"/>
  <c r="T95" i="3"/>
  <c r="T19" i="3"/>
  <c r="T60" i="3"/>
  <c r="T11" i="3"/>
  <c r="AC252" i="5"/>
  <c r="AD252" i="5"/>
  <c r="AE252" i="5"/>
  <c r="AD119" i="5"/>
  <c r="AC170" i="5"/>
  <c r="AD163" i="5"/>
  <c r="AE174" i="5"/>
  <c r="AF156" i="5"/>
  <c r="AF252" i="5"/>
  <c r="AE119" i="5"/>
  <c r="AC128" i="5"/>
  <c r="AD175" i="5"/>
  <c r="AE170" i="5"/>
  <c r="AE163" i="5"/>
  <c r="AF174" i="5"/>
  <c r="AG119" i="5"/>
  <c r="AB123" i="5"/>
  <c r="AD128" i="5"/>
  <c r="AE175" i="5"/>
  <c r="AF170" i="5"/>
  <c r="AF163" i="5"/>
  <c r="AG174" i="5"/>
  <c r="AB119" i="5"/>
  <c r="AI119" i="5"/>
  <c r="AC123" i="5"/>
  <c r="AG128" i="5"/>
  <c r="AI170" i="5"/>
  <c r="AJ119" i="5"/>
  <c r="AJ123" i="5"/>
  <c r="AI128" i="5"/>
  <c r="AG252" i="5"/>
  <c r="AH252" i="5"/>
  <c r="AI252" i="5"/>
  <c r="AB252" i="5"/>
  <c r="AG156" i="5"/>
  <c r="AG163" i="5"/>
  <c r="AH174" i="5"/>
  <c r="AI156" i="5"/>
  <c r="AI174" i="5"/>
  <c r="AB156" i="5"/>
  <c r="AJ156" i="5"/>
  <c r="AH156" i="5"/>
  <c r="AH163" i="5"/>
  <c r="AI163" i="5"/>
  <c r="AB174" i="5"/>
  <c r="AJ174" i="5"/>
  <c r="AC156" i="5"/>
  <c r="AB163" i="5"/>
  <c r="AJ163" i="5"/>
  <c r="AC174" i="5"/>
  <c r="AD156" i="5"/>
  <c r="AC119" i="5"/>
  <c r="AD123" i="5"/>
  <c r="AE128" i="5"/>
  <c r="AF175" i="5"/>
  <c r="AG170" i="5"/>
  <c r="AE123" i="5"/>
  <c r="AF128" i="5"/>
  <c r="AG175" i="5"/>
  <c r="AH170" i="5"/>
  <c r="AH175" i="5"/>
  <c r="AF123" i="5"/>
  <c r="AF119" i="5"/>
  <c r="AG123" i="5"/>
  <c r="AH128" i="5"/>
  <c r="AI175" i="5"/>
  <c r="AB170" i="5"/>
  <c r="AJ170" i="5"/>
  <c r="AH123" i="5"/>
  <c r="AB175" i="5"/>
  <c r="AJ175" i="5"/>
  <c r="AB128" i="5"/>
  <c r="T35" i="5"/>
  <c r="T36" i="5"/>
  <c r="T62" i="5"/>
  <c r="T72" i="5"/>
  <c r="T44" i="3"/>
  <c r="AN252" i="5" l="1"/>
  <c r="AN128" i="5"/>
  <c r="AN119" i="5"/>
  <c r="AK119" i="5"/>
  <c r="AM119" i="5" s="1"/>
  <c r="AK175" i="5"/>
  <c r="AM175" i="5" s="1"/>
  <c r="AN175" i="5"/>
  <c r="AK174" i="5"/>
  <c r="AM174" i="5" s="1"/>
  <c r="AN174" i="5"/>
  <c r="AK128" i="5"/>
  <c r="AM128" i="5" s="1"/>
  <c r="AK252" i="5"/>
  <c r="AM252" i="5" s="1"/>
  <c r="AK170" i="5"/>
  <c r="AM170" i="5" s="1"/>
  <c r="AN170" i="5"/>
  <c r="AK163" i="5"/>
  <c r="AM163" i="5" s="1"/>
  <c r="AN163" i="5"/>
  <c r="AN156" i="5"/>
  <c r="AK156" i="5"/>
  <c r="AM156" i="5" s="1"/>
  <c r="AK123" i="5"/>
  <c r="AM123" i="5" s="1"/>
  <c r="AN123" i="5"/>
  <c r="W112" i="3"/>
  <c r="V112" i="3"/>
  <c r="AF112" i="3" s="1"/>
  <c r="W96" i="3"/>
  <c r="V96" i="3"/>
  <c r="AH96" i="3" s="1"/>
  <c r="W95" i="3"/>
  <c r="V95" i="3"/>
  <c r="AC95" i="3" s="1"/>
  <c r="U252" i="5" l="1"/>
  <c r="U128" i="5"/>
  <c r="U156" i="5"/>
  <c r="U119" i="5"/>
  <c r="U123" i="5"/>
  <c r="U174" i="5"/>
  <c r="U163" i="5"/>
  <c r="U170" i="5"/>
  <c r="U175" i="5"/>
  <c r="AF96" i="3"/>
  <c r="AJ95" i="3"/>
  <c r="AI95" i="3"/>
  <c r="AB95" i="3"/>
  <c r="AD95" i="3"/>
  <c r="AB96" i="3"/>
  <c r="AJ96" i="3"/>
  <c r="AH112" i="3"/>
  <c r="AE95" i="3"/>
  <c r="AC96" i="3"/>
  <c r="AI112" i="3"/>
  <c r="AI96" i="3"/>
  <c r="AG112" i="3"/>
  <c r="AF95" i="3"/>
  <c r="AD96" i="3"/>
  <c r="AG95" i="3"/>
  <c r="AC112" i="3"/>
  <c r="AH95" i="3"/>
  <c r="AD112" i="3"/>
  <c r="AB112" i="3"/>
  <c r="AJ112" i="3"/>
  <c r="AE96" i="3"/>
  <c r="AG96" i="3"/>
  <c r="AE112" i="3"/>
  <c r="W309" i="5"/>
  <c r="V309" i="5"/>
  <c r="AE309" i="5" s="1"/>
  <c r="W308" i="5"/>
  <c r="V308" i="5"/>
  <c r="AC308" i="5" s="1"/>
  <c r="V307" i="5"/>
  <c r="V27" i="5"/>
  <c r="V72" i="5"/>
  <c r="V62" i="5"/>
  <c r="V36" i="5"/>
  <c r="V35" i="5"/>
  <c r="AG35" i="5" s="1"/>
  <c r="V20" i="5"/>
  <c r="AG308" i="5" l="1"/>
  <c r="AG309" i="5"/>
  <c r="AK96" i="3"/>
  <c r="AM96" i="3" s="1"/>
  <c r="AN96" i="3"/>
  <c r="AN112" i="3"/>
  <c r="AK112" i="3"/>
  <c r="AM112" i="3" s="1"/>
  <c r="AK95" i="3"/>
  <c r="AM95" i="3" s="1"/>
  <c r="AN95" i="3"/>
  <c r="AI308" i="5"/>
  <c r="AI307" i="5"/>
  <c r="W307" i="5"/>
  <c r="AH307" i="5"/>
  <c r="AC307" i="5"/>
  <c r="AG307" i="5"/>
  <c r="AF307" i="5"/>
  <c r="AE307" i="5"/>
  <c r="AD307" i="5"/>
  <c r="AJ307" i="5"/>
  <c r="AB307" i="5"/>
  <c r="AC27" i="5"/>
  <c r="AJ27" i="5"/>
  <c r="AB27" i="5"/>
  <c r="AI27" i="5"/>
  <c r="W27" i="5"/>
  <c r="AH27" i="5"/>
  <c r="AF27" i="5"/>
  <c r="AG27" i="5"/>
  <c r="AD27" i="5"/>
  <c r="AE27" i="5"/>
  <c r="AH308" i="5"/>
  <c r="AF309" i="5"/>
  <c r="AH309" i="5"/>
  <c r="AB308" i="5"/>
  <c r="AJ308" i="5"/>
  <c r="AI309" i="5"/>
  <c r="AD308" i="5"/>
  <c r="AB309" i="5"/>
  <c r="AJ309" i="5"/>
  <c r="AE308" i="5"/>
  <c r="AC309" i="5"/>
  <c r="AF308" i="5"/>
  <c r="AD309" i="5"/>
  <c r="AE36" i="5"/>
  <c r="AC36" i="5"/>
  <c r="AJ36" i="5"/>
  <c r="AB36" i="5"/>
  <c r="AG36" i="5"/>
  <c r="AI36" i="5"/>
  <c r="W36" i="5"/>
  <c r="AH36" i="5"/>
  <c r="AD36" i="5"/>
  <c r="AF36" i="5"/>
  <c r="AI20" i="5"/>
  <c r="W20" i="5"/>
  <c r="AG20" i="5"/>
  <c r="AF20" i="5"/>
  <c r="AH20" i="5"/>
  <c r="AE20" i="5"/>
  <c r="AD20" i="5"/>
  <c r="AC20" i="5"/>
  <c r="AJ20" i="5"/>
  <c r="AB20" i="5"/>
  <c r="AI62" i="5"/>
  <c r="W62" i="5"/>
  <c r="AH62" i="5"/>
  <c r="AG62" i="5"/>
  <c r="AF62" i="5"/>
  <c r="AE62" i="5"/>
  <c r="AD62" i="5"/>
  <c r="AC62" i="5"/>
  <c r="AJ62" i="5"/>
  <c r="AB62" i="5"/>
  <c r="AE72" i="5"/>
  <c r="AD72" i="5"/>
  <c r="AC72" i="5"/>
  <c r="AJ72" i="5"/>
  <c r="AB72" i="5"/>
  <c r="AI72" i="5"/>
  <c r="W72" i="5"/>
  <c r="AG72" i="5"/>
  <c r="AH72" i="5"/>
  <c r="AF72" i="5"/>
  <c r="AH35" i="5"/>
  <c r="AB35" i="5"/>
  <c r="AJ35" i="5"/>
  <c r="AC35" i="5"/>
  <c r="AF35" i="5"/>
  <c r="W35" i="5"/>
  <c r="AI35" i="5"/>
  <c r="AD35" i="5"/>
  <c r="AE35" i="5"/>
  <c r="U112" i="3" l="1"/>
  <c r="U96" i="3"/>
  <c r="U95" i="3"/>
  <c r="AK27" i="5"/>
  <c r="AM27" i="5" s="1"/>
  <c r="AN27" i="5"/>
  <c r="AN307" i="5"/>
  <c r="AK307" i="5"/>
  <c r="AM307" i="5" s="1"/>
  <c r="AN309" i="5"/>
  <c r="AK309" i="5"/>
  <c r="AM309" i="5" s="1"/>
  <c r="AN308" i="5"/>
  <c r="AK308" i="5"/>
  <c r="AM308" i="5" s="1"/>
  <c r="AN72" i="5"/>
  <c r="AK72" i="5"/>
  <c r="AM72" i="5" s="1"/>
  <c r="AN20" i="5"/>
  <c r="AK20" i="5"/>
  <c r="AM20" i="5" s="1"/>
  <c r="AN36" i="5"/>
  <c r="AK36" i="5"/>
  <c r="AM36" i="5" s="1"/>
  <c r="AN35" i="5"/>
  <c r="AK35" i="5"/>
  <c r="AM35" i="5" s="1"/>
  <c r="AK62" i="5"/>
  <c r="AM62" i="5" s="1"/>
  <c r="AN62" i="5"/>
  <c r="U35" i="5" l="1"/>
  <c r="U309" i="5"/>
  <c r="U307" i="5"/>
  <c r="U36" i="5"/>
  <c r="U72" i="5"/>
  <c r="U20" i="5"/>
  <c r="U308" i="5"/>
  <c r="U27" i="5"/>
  <c r="U62" i="5"/>
  <c r="V78" i="5" l="1"/>
  <c r="S78" i="5"/>
  <c r="O78" i="5"/>
  <c r="AN156" i="3"/>
  <c r="AK156" i="3"/>
  <c r="AM156" i="3" s="1"/>
  <c r="W156" i="3"/>
  <c r="V156" i="3"/>
  <c r="T156" i="3"/>
  <c r="S156" i="3"/>
  <c r="O156" i="3"/>
  <c r="AN155" i="3"/>
  <c r="AK155" i="3"/>
  <c r="AM155" i="3" s="1"/>
  <c r="W155" i="3"/>
  <c r="V155" i="3"/>
  <c r="T155" i="3"/>
  <c r="S155" i="3"/>
  <c r="O155" i="3"/>
  <c r="AN154" i="3"/>
  <c r="AK154" i="3"/>
  <c r="AM154" i="3" s="1"/>
  <c r="W154" i="3"/>
  <c r="V154" i="3"/>
  <c r="T154" i="3"/>
  <c r="S154" i="3"/>
  <c r="O154" i="3"/>
  <c r="AN153" i="3"/>
  <c r="AK153" i="3"/>
  <c r="AM153" i="3" s="1"/>
  <c r="W153" i="3"/>
  <c r="V153" i="3"/>
  <c r="T153" i="3"/>
  <c r="S153" i="3"/>
  <c r="O153" i="3"/>
  <c r="AN152" i="3"/>
  <c r="AK152" i="3"/>
  <c r="AM152" i="3" s="1"/>
  <c r="W152" i="3"/>
  <c r="V152" i="3"/>
  <c r="T152" i="3"/>
  <c r="S152" i="3"/>
  <c r="O152" i="3"/>
  <c r="AN151" i="3"/>
  <c r="AK151" i="3"/>
  <c r="AM151" i="3" s="1"/>
  <c r="W151" i="3"/>
  <c r="V151" i="3"/>
  <c r="T151" i="3"/>
  <c r="S151" i="3"/>
  <c r="O151" i="3"/>
  <c r="AN150" i="3"/>
  <c r="AK150" i="3"/>
  <c r="AM150" i="3" s="1"/>
  <c r="W150" i="3"/>
  <c r="V150" i="3"/>
  <c r="T150" i="3"/>
  <c r="S150" i="3"/>
  <c r="O150" i="3"/>
  <c r="AN149" i="3"/>
  <c r="AK149" i="3"/>
  <c r="AM149" i="3" s="1"/>
  <c r="W149" i="3"/>
  <c r="V149" i="3"/>
  <c r="T149" i="3"/>
  <c r="S149" i="3"/>
  <c r="O149" i="3"/>
  <c r="AN148" i="3"/>
  <c r="AK148" i="3"/>
  <c r="AM148" i="3" s="1"/>
  <c r="W148" i="3"/>
  <c r="V148" i="3"/>
  <c r="T148" i="3"/>
  <c r="S148" i="3"/>
  <c r="O148" i="3"/>
  <c r="AN147" i="3"/>
  <c r="AK147" i="3"/>
  <c r="AM147" i="3" s="1"/>
  <c r="W147" i="3"/>
  <c r="V147" i="3"/>
  <c r="T147" i="3"/>
  <c r="S147" i="3"/>
  <c r="O147" i="3"/>
  <c r="AN146" i="3"/>
  <c r="AK146" i="3"/>
  <c r="AM146" i="3" s="1"/>
  <c r="W146" i="3"/>
  <c r="V146" i="3"/>
  <c r="T146" i="3"/>
  <c r="S146" i="3"/>
  <c r="O146" i="3"/>
  <c r="AN145" i="3"/>
  <c r="AK145" i="3"/>
  <c r="AM145" i="3" s="1"/>
  <c r="W145" i="3"/>
  <c r="V145" i="3"/>
  <c r="T145" i="3"/>
  <c r="S145" i="3"/>
  <c r="O145" i="3"/>
  <c r="AN144" i="3"/>
  <c r="AK144" i="3"/>
  <c r="AM144" i="3" s="1"/>
  <c r="W144" i="3"/>
  <c r="V144" i="3"/>
  <c r="T144" i="3"/>
  <c r="S144" i="3"/>
  <c r="O144" i="3"/>
  <c r="W60" i="3"/>
  <c r="V60" i="3"/>
  <c r="AI60" i="3" s="1"/>
  <c r="W44" i="3"/>
  <c r="V44" i="3"/>
  <c r="AJ44" i="3" s="1"/>
  <c r="W19" i="3"/>
  <c r="V19" i="3"/>
  <c r="AE19" i="3" s="1"/>
  <c r="W11" i="3"/>
  <c r="V11" i="3"/>
  <c r="AE11" i="3" s="1"/>
  <c r="V73" i="3"/>
  <c r="S73" i="3"/>
  <c r="O73" i="3"/>
  <c r="V72" i="3"/>
  <c r="S72" i="3"/>
  <c r="O72" i="3"/>
  <c r="V71" i="3"/>
  <c r="S71" i="3"/>
  <c r="O71" i="3"/>
  <c r="V46" i="3"/>
  <c r="S46" i="3"/>
  <c r="O46" i="3"/>
  <c r="U145" i="3" l="1"/>
  <c r="AH150" i="3"/>
  <c r="U153" i="3"/>
  <c r="AE152" i="3"/>
  <c r="U155" i="3"/>
  <c r="AG151" i="3"/>
  <c r="AG146" i="3"/>
  <c r="AC154" i="3"/>
  <c r="AG149" i="3"/>
  <c r="AE148" i="3"/>
  <c r="AH146" i="3"/>
  <c r="AE147" i="3"/>
  <c r="U149" i="3"/>
  <c r="AG155" i="3"/>
  <c r="AG145" i="3"/>
  <c r="AG153" i="3"/>
  <c r="AC150" i="3"/>
  <c r="U151" i="3"/>
  <c r="AD144" i="3"/>
  <c r="AG150" i="3"/>
  <c r="AH154" i="3"/>
  <c r="AJ145" i="3"/>
  <c r="AC19" i="3"/>
  <c r="AD145" i="3"/>
  <c r="U144" i="3"/>
  <c r="AE156" i="3"/>
  <c r="AC146" i="3"/>
  <c r="AI149" i="3"/>
  <c r="AI153" i="3"/>
  <c r="AI44" i="3"/>
  <c r="AE146" i="3"/>
  <c r="AF147" i="3"/>
  <c r="AD148" i="3"/>
  <c r="AJ149" i="3"/>
  <c r="AB150" i="3"/>
  <c r="AJ153" i="3"/>
  <c r="AB154" i="3"/>
  <c r="AE144" i="3"/>
  <c r="AC145" i="3"/>
  <c r="AI146" i="3"/>
  <c r="AE150" i="3"/>
  <c r="AF151" i="3"/>
  <c r="AE154" i="3"/>
  <c r="AF155" i="3"/>
  <c r="AJ146" i="3"/>
  <c r="AG147" i="3"/>
  <c r="AC149" i="3"/>
  <c r="AC153" i="3"/>
  <c r="AG154" i="3"/>
  <c r="AE145" i="3"/>
  <c r="U146" i="3"/>
  <c r="U147" i="3"/>
  <c r="U148" i="3"/>
  <c r="AD149" i="3"/>
  <c r="AI150" i="3"/>
  <c r="U152" i="3"/>
  <c r="AD153" i="3"/>
  <c r="AI154" i="3"/>
  <c r="U156" i="3"/>
  <c r="AE149" i="3"/>
  <c r="AJ154" i="3"/>
  <c r="AJ150" i="3"/>
  <c r="AE153" i="3"/>
  <c r="AI145" i="3"/>
  <c r="AB146" i="3"/>
  <c r="U150" i="3"/>
  <c r="U154" i="3"/>
  <c r="AD19" i="3"/>
  <c r="AB44" i="3"/>
  <c r="AG60" i="3"/>
  <c r="AC44" i="3"/>
  <c r="AD44" i="3"/>
  <c r="AE44" i="3"/>
  <c r="T78" i="5"/>
  <c r="W78" i="5" s="1"/>
  <c r="T73" i="3"/>
  <c r="W73" i="3" s="1"/>
  <c r="T72" i="3"/>
  <c r="W72" i="3" s="1"/>
  <c r="T71" i="3"/>
  <c r="AF71" i="3" s="1"/>
  <c r="T46" i="3"/>
  <c r="AD46" i="3" s="1"/>
  <c r="AH155" i="3"/>
  <c r="AI147" i="3"/>
  <c r="AI151" i="3"/>
  <c r="AG152" i="3"/>
  <c r="AI155" i="3"/>
  <c r="AG156" i="3"/>
  <c r="AH147" i="3"/>
  <c r="AF148" i="3"/>
  <c r="AF156" i="3"/>
  <c r="AG144" i="3"/>
  <c r="AG148" i="3"/>
  <c r="AH144" i="3"/>
  <c r="AF145" i="3"/>
  <c r="AD146" i="3"/>
  <c r="AB147" i="3"/>
  <c r="AJ147" i="3"/>
  <c r="AH148" i="3"/>
  <c r="AF149" i="3"/>
  <c r="AD150" i="3"/>
  <c r="AB151" i="3"/>
  <c r="AJ151" i="3"/>
  <c r="AH152" i="3"/>
  <c r="AF153" i="3"/>
  <c r="AD154" i="3"/>
  <c r="AB155" i="3"/>
  <c r="AJ155" i="3"/>
  <c r="AH156" i="3"/>
  <c r="AF144" i="3"/>
  <c r="AH151" i="3"/>
  <c r="AI144" i="3"/>
  <c r="AC147" i="3"/>
  <c r="AI148" i="3"/>
  <c r="AC151" i="3"/>
  <c r="AI152" i="3"/>
  <c r="AC155" i="3"/>
  <c r="AI156" i="3"/>
  <c r="AB144" i="3"/>
  <c r="AJ144" i="3"/>
  <c r="AH145" i="3"/>
  <c r="AF146" i="3"/>
  <c r="AD147" i="3"/>
  <c r="AB148" i="3"/>
  <c r="AJ148" i="3"/>
  <c r="AH149" i="3"/>
  <c r="AF150" i="3"/>
  <c r="AD151" i="3"/>
  <c r="AB152" i="3"/>
  <c r="AJ152" i="3"/>
  <c r="AH153" i="3"/>
  <c r="AF154" i="3"/>
  <c r="AD155" i="3"/>
  <c r="AB156" i="3"/>
  <c r="AJ156" i="3"/>
  <c r="AC144" i="3"/>
  <c r="AC148" i="3"/>
  <c r="AE155" i="3"/>
  <c r="AC156" i="3"/>
  <c r="AF152" i="3"/>
  <c r="AE151" i="3"/>
  <c r="AC152" i="3"/>
  <c r="AB145" i="3"/>
  <c r="AB149" i="3"/>
  <c r="AD152" i="3"/>
  <c r="AB153" i="3"/>
  <c r="AD156" i="3"/>
  <c r="AH60" i="3"/>
  <c r="AG11" i="3"/>
  <c r="AH11" i="3"/>
  <c r="AF19" i="3"/>
  <c r="AC60" i="3"/>
  <c r="AJ11" i="3"/>
  <c r="AC11" i="3"/>
  <c r="AI19" i="3"/>
  <c r="AG44" i="3"/>
  <c r="AE60" i="3"/>
  <c r="AJ60" i="3"/>
  <c r="AB11" i="3"/>
  <c r="AD60" i="3"/>
  <c r="AD11" i="3"/>
  <c r="AB19" i="3"/>
  <c r="AJ19" i="3"/>
  <c r="AH44" i="3"/>
  <c r="AF60" i="3"/>
  <c r="AF11" i="3"/>
  <c r="AB60" i="3"/>
  <c r="AI11" i="3"/>
  <c r="AG19" i="3"/>
  <c r="AH19" i="3"/>
  <c r="AF44" i="3"/>
  <c r="V48" i="3"/>
  <c r="S48" i="3"/>
  <c r="O48" i="3"/>
  <c r="AK44" i="3" l="1"/>
  <c r="AM44" i="3" s="1"/>
  <c r="AN44" i="3"/>
  <c r="AN60" i="3"/>
  <c r="AK60" i="3"/>
  <c r="AM60" i="3" s="1"/>
  <c r="AN11" i="3"/>
  <c r="AK11" i="3"/>
  <c r="AM11" i="3" s="1"/>
  <c r="AN19" i="3"/>
  <c r="AK19" i="3"/>
  <c r="AM19" i="3" s="1"/>
  <c r="AB78" i="5"/>
  <c r="AI78" i="5"/>
  <c r="AF78" i="5"/>
  <c r="AE78" i="5"/>
  <c r="AD78" i="5"/>
  <c r="AH78" i="5"/>
  <c r="AG78" i="5"/>
  <c r="AC78" i="5"/>
  <c r="AJ78" i="5"/>
  <c r="AF73" i="3"/>
  <c r="AH73" i="3"/>
  <c r="AJ73" i="3"/>
  <c r="AE73" i="3"/>
  <c r="AC73" i="3"/>
  <c r="AB73" i="3"/>
  <c r="AI73" i="3"/>
  <c r="AD73" i="3"/>
  <c r="AG73" i="3"/>
  <c r="AD72" i="3"/>
  <c r="AF72" i="3"/>
  <c r="AH72" i="3"/>
  <c r="AJ72" i="3"/>
  <c r="AG72" i="3"/>
  <c r="AI72" i="3"/>
  <c r="AB72" i="3"/>
  <c r="AE72" i="3"/>
  <c r="AC72" i="3"/>
  <c r="W71" i="3"/>
  <c r="AH71" i="3"/>
  <c r="AC71" i="3"/>
  <c r="AB71" i="3"/>
  <c r="AD71" i="3"/>
  <c r="AE71" i="3"/>
  <c r="AG71" i="3"/>
  <c r="AI71" i="3"/>
  <c r="AJ71" i="3"/>
  <c r="W46" i="3"/>
  <c r="AF46" i="3"/>
  <c r="AB46" i="3"/>
  <c r="AH46" i="3"/>
  <c r="AI46" i="3"/>
  <c r="AG46" i="3"/>
  <c r="AC46" i="3"/>
  <c r="AE46" i="3"/>
  <c r="AJ46" i="3"/>
  <c r="T48" i="3"/>
  <c r="AE48" i="3" s="1"/>
  <c r="V51" i="5"/>
  <c r="S51" i="5"/>
  <c r="O51" i="5"/>
  <c r="V50" i="5"/>
  <c r="S50" i="5"/>
  <c r="O50" i="5"/>
  <c r="V26" i="5"/>
  <c r="S26" i="5"/>
  <c r="O26" i="5"/>
  <c r="V19" i="5"/>
  <c r="S19" i="5"/>
  <c r="O19" i="5"/>
  <c r="V28" i="5"/>
  <c r="S28" i="5"/>
  <c r="O28" i="5"/>
  <c r="V74" i="5"/>
  <c r="S74" i="5"/>
  <c r="O74" i="5"/>
  <c r="V53" i="5"/>
  <c r="S53" i="5"/>
  <c r="O53" i="5"/>
  <c r="V67" i="5"/>
  <c r="S67" i="5"/>
  <c r="O67" i="5"/>
  <c r="V230" i="5"/>
  <c r="S230" i="5"/>
  <c r="O230" i="5"/>
  <c r="V49" i="5"/>
  <c r="S49" i="5"/>
  <c r="O49" i="5"/>
  <c r="V81" i="5"/>
  <c r="S81" i="5"/>
  <c r="O81" i="5"/>
  <c r="V66" i="5"/>
  <c r="S66" i="5"/>
  <c r="O66" i="5"/>
  <c r="V38" i="5"/>
  <c r="S38" i="5"/>
  <c r="O38" i="5"/>
  <c r="V20" i="3"/>
  <c r="S20" i="3"/>
  <c r="O20" i="3"/>
  <c r="V22" i="3"/>
  <c r="S22" i="3"/>
  <c r="O22" i="3"/>
  <c r="V38" i="3"/>
  <c r="S38" i="3"/>
  <c r="O38" i="3"/>
  <c r="V23" i="3"/>
  <c r="S23" i="3"/>
  <c r="O23" i="3"/>
  <c r="V28" i="3"/>
  <c r="S28" i="3"/>
  <c r="O28" i="3"/>
  <c r="V30" i="3"/>
  <c r="S30" i="3"/>
  <c r="O30" i="3"/>
  <c r="V123" i="3"/>
  <c r="S123" i="3"/>
  <c r="O123" i="3"/>
  <c r="V42" i="3"/>
  <c r="S42" i="3"/>
  <c r="O42" i="3"/>
  <c r="V39" i="3"/>
  <c r="S39" i="3"/>
  <c r="O39" i="3"/>
  <c r="V29" i="3"/>
  <c r="S29" i="3"/>
  <c r="O29" i="3"/>
  <c r="U44" i="3" l="1"/>
  <c r="W48" i="3"/>
  <c r="U60" i="3"/>
  <c r="U19" i="3"/>
  <c r="U11" i="3"/>
  <c r="AN78" i="5"/>
  <c r="AK78" i="5"/>
  <c r="AM78" i="5" s="1"/>
  <c r="T51" i="5"/>
  <c r="W51" i="5" s="1"/>
  <c r="T50" i="5"/>
  <c r="W50" i="5" s="1"/>
  <c r="T26" i="5"/>
  <c r="AE26" i="5" s="1"/>
  <c r="T19" i="5"/>
  <c r="W19" i="5" s="1"/>
  <c r="AN73" i="3"/>
  <c r="AK73" i="3"/>
  <c r="AM73" i="3" s="1"/>
  <c r="AK72" i="3"/>
  <c r="AM72" i="3" s="1"/>
  <c r="AN72" i="3"/>
  <c r="AK71" i="3"/>
  <c r="AM71" i="3" s="1"/>
  <c r="AN71" i="3"/>
  <c r="AN46" i="3"/>
  <c r="AK46" i="3"/>
  <c r="AM46" i="3" s="1"/>
  <c r="AJ48" i="3"/>
  <c r="AG48" i="3"/>
  <c r="AC48" i="3"/>
  <c r="AF48" i="3"/>
  <c r="AH48" i="3"/>
  <c r="AB48" i="3"/>
  <c r="AD48" i="3"/>
  <c r="AI48" i="3"/>
  <c r="T20" i="3"/>
  <c r="AE20" i="3" s="1"/>
  <c r="T28" i="5"/>
  <c r="W28" i="5" s="1"/>
  <c r="T74" i="5"/>
  <c r="W74" i="5" s="1"/>
  <c r="T53" i="5"/>
  <c r="W53" i="5" s="1"/>
  <c r="T22" i="3"/>
  <c r="AJ22" i="3" s="1"/>
  <c r="T38" i="3"/>
  <c r="AE38" i="3" s="1"/>
  <c r="T23" i="3"/>
  <c r="AF23" i="3" s="1"/>
  <c r="T28" i="3"/>
  <c r="W28" i="3" s="1"/>
  <c r="T30" i="3"/>
  <c r="AE30" i="3" s="1"/>
  <c r="T67" i="5"/>
  <c r="AD67" i="5" s="1"/>
  <c r="T230" i="5"/>
  <c r="W230" i="5" s="1"/>
  <c r="T49" i="5"/>
  <c r="AE49" i="5" s="1"/>
  <c r="T81" i="5"/>
  <c r="AC81" i="5" s="1"/>
  <c r="T66" i="5"/>
  <c r="W66" i="5" s="1"/>
  <c r="T38" i="5"/>
  <c r="AH38" i="5" s="1"/>
  <c r="T123" i="3"/>
  <c r="AD123" i="3" s="1"/>
  <c r="T42" i="3"/>
  <c r="AE42" i="3" s="1"/>
  <c r="T39" i="3"/>
  <c r="W39" i="3" s="1"/>
  <c r="T29" i="3"/>
  <c r="AD29" i="3" s="1"/>
  <c r="V255" i="5"/>
  <c r="S255" i="5"/>
  <c r="O255" i="5"/>
  <c r="V296" i="5"/>
  <c r="S296" i="5"/>
  <c r="O296" i="5"/>
  <c r="V274" i="5"/>
  <c r="S274" i="5"/>
  <c r="O274" i="5"/>
  <c r="V84" i="5"/>
  <c r="S84" i="5"/>
  <c r="O84" i="5"/>
  <c r="V299" i="5"/>
  <c r="S299" i="5"/>
  <c r="O299" i="5"/>
  <c r="V92" i="5"/>
  <c r="S92" i="5"/>
  <c r="O92" i="5"/>
  <c r="V82" i="5"/>
  <c r="S82" i="5"/>
  <c r="O82" i="5"/>
  <c r="V97" i="3"/>
  <c r="S97" i="3"/>
  <c r="O97" i="3"/>
  <c r="V91" i="3"/>
  <c r="S91" i="3"/>
  <c r="O91" i="3"/>
  <c r="V119" i="3"/>
  <c r="S119" i="3"/>
  <c r="O119" i="3"/>
  <c r="AF42" i="3" l="1"/>
  <c r="W23" i="3"/>
  <c r="W81" i="5"/>
  <c r="W38" i="5"/>
  <c r="AB42" i="3"/>
  <c r="AH42" i="3"/>
  <c r="AG42" i="3"/>
  <c r="AI42" i="3"/>
  <c r="AC42" i="3"/>
  <c r="U72" i="3"/>
  <c r="W123" i="3"/>
  <c r="AJ42" i="3"/>
  <c r="W42" i="3"/>
  <c r="U78" i="5"/>
  <c r="AC51" i="5"/>
  <c r="AG51" i="5"/>
  <c r="AF51" i="5"/>
  <c r="AI51" i="5"/>
  <c r="AH51" i="5"/>
  <c r="AJ51" i="5"/>
  <c r="AE51" i="5"/>
  <c r="AB51" i="5"/>
  <c r="AD51" i="5"/>
  <c r="AJ50" i="5"/>
  <c r="AB50" i="5"/>
  <c r="AE50" i="5"/>
  <c r="AD50" i="5"/>
  <c r="AC50" i="5"/>
  <c r="AF50" i="5"/>
  <c r="AI50" i="5"/>
  <c r="AH50" i="5"/>
  <c r="AG50" i="5"/>
  <c r="AI26" i="5"/>
  <c r="AJ26" i="5"/>
  <c r="AB26" i="5"/>
  <c r="AG26" i="5"/>
  <c r="AH26" i="5"/>
  <c r="AF26" i="5"/>
  <c r="W26" i="5"/>
  <c r="AD26" i="5"/>
  <c r="AC26" i="5"/>
  <c r="AB19" i="5"/>
  <c r="AI19" i="5"/>
  <c r="AG19" i="5"/>
  <c r="AF19" i="5"/>
  <c r="AH19" i="5"/>
  <c r="AJ19" i="5"/>
  <c r="AC19" i="5"/>
  <c r="AD19" i="5"/>
  <c r="AE19" i="5"/>
  <c r="U73" i="3"/>
  <c r="U71" i="3"/>
  <c r="U46" i="3"/>
  <c r="AK48" i="3"/>
  <c r="AM48" i="3" s="1"/>
  <c r="AN48" i="3"/>
  <c r="AD20" i="3"/>
  <c r="AC20" i="3"/>
  <c r="AJ20" i="3"/>
  <c r="AB20" i="3"/>
  <c r="W20" i="3"/>
  <c r="AH20" i="3"/>
  <c r="AF20" i="3"/>
  <c r="AI20" i="3"/>
  <c r="AG20" i="3"/>
  <c r="AH28" i="5"/>
  <c r="AJ28" i="5"/>
  <c r="AF28" i="5"/>
  <c r="AG28" i="5"/>
  <c r="AD28" i="5"/>
  <c r="AB28" i="5"/>
  <c r="AE28" i="5"/>
  <c r="AI28" i="5"/>
  <c r="AC28" i="5"/>
  <c r="AB74" i="5"/>
  <c r="AF74" i="5"/>
  <c r="AI74" i="5"/>
  <c r="AE74" i="5"/>
  <c r="AC74" i="5"/>
  <c r="AJ74" i="5"/>
  <c r="AH74" i="5"/>
  <c r="AG74" i="5"/>
  <c r="AD74" i="5"/>
  <c r="AH53" i="5"/>
  <c r="AJ53" i="5"/>
  <c r="AB53" i="5"/>
  <c r="AI53" i="5"/>
  <c r="AG53" i="5"/>
  <c r="AE53" i="5"/>
  <c r="AF53" i="5"/>
  <c r="AD53" i="5"/>
  <c r="AC53" i="5"/>
  <c r="AB22" i="3"/>
  <c r="W22" i="3"/>
  <c r="AD22" i="3"/>
  <c r="AG22" i="3"/>
  <c r="AE22" i="3"/>
  <c r="AF22" i="3"/>
  <c r="AI22" i="3"/>
  <c r="AH22" i="3"/>
  <c r="AC22" i="3"/>
  <c r="AG38" i="3"/>
  <c r="AD38" i="3"/>
  <c r="AF38" i="3"/>
  <c r="W38" i="3"/>
  <c r="AB38" i="3"/>
  <c r="AC38" i="3"/>
  <c r="AJ38" i="3"/>
  <c r="AI38" i="3"/>
  <c r="AH38" i="3"/>
  <c r="AH23" i="3"/>
  <c r="AE23" i="3"/>
  <c r="AI23" i="3"/>
  <c r="AD23" i="3"/>
  <c r="AC23" i="3"/>
  <c r="AJ23" i="3"/>
  <c r="AB23" i="3"/>
  <c r="AG23" i="3"/>
  <c r="AC28" i="3"/>
  <c r="AI28" i="3"/>
  <c r="AB28" i="3"/>
  <c r="AE28" i="3"/>
  <c r="AJ28" i="3"/>
  <c r="AH28" i="3"/>
  <c r="AF28" i="3"/>
  <c r="AD28" i="3"/>
  <c r="AG28" i="3"/>
  <c r="AD30" i="3"/>
  <c r="AC30" i="3"/>
  <c r="AJ30" i="3"/>
  <c r="AB30" i="3"/>
  <c r="W30" i="3"/>
  <c r="AG30" i="3"/>
  <c r="AI30" i="3"/>
  <c r="AH30" i="3"/>
  <c r="AF30" i="3"/>
  <c r="AG67" i="5"/>
  <c r="AF67" i="5"/>
  <c r="AC67" i="5"/>
  <c r="AJ67" i="5"/>
  <c r="AB67" i="5"/>
  <c r="AI67" i="5"/>
  <c r="AE67" i="5"/>
  <c r="AH67" i="5"/>
  <c r="W67" i="5"/>
  <c r="AC230" i="5"/>
  <c r="AJ230" i="5"/>
  <c r="AH230" i="5"/>
  <c r="AD230" i="5"/>
  <c r="AF230" i="5"/>
  <c r="AB230" i="5"/>
  <c r="AI230" i="5"/>
  <c r="AE230" i="5"/>
  <c r="AG230" i="5"/>
  <c r="W49" i="5"/>
  <c r="AF49" i="5"/>
  <c r="AC49" i="5"/>
  <c r="AH49" i="5"/>
  <c r="AI49" i="5"/>
  <c r="AD49" i="5"/>
  <c r="AJ49" i="5"/>
  <c r="AB49" i="5"/>
  <c r="AG49" i="5"/>
  <c r="AI81" i="5"/>
  <c r="AG81" i="5"/>
  <c r="AH81" i="5"/>
  <c r="AJ81" i="5"/>
  <c r="AD81" i="5"/>
  <c r="AB81" i="5"/>
  <c r="AF81" i="5"/>
  <c r="AE81" i="5"/>
  <c r="AC66" i="5"/>
  <c r="AB66" i="5"/>
  <c r="AJ66" i="5"/>
  <c r="AI66" i="5"/>
  <c r="AG66" i="5"/>
  <c r="AF66" i="5"/>
  <c r="AD66" i="5"/>
  <c r="AH66" i="5"/>
  <c r="AE66" i="5"/>
  <c r="AJ38" i="5"/>
  <c r="AD38" i="5"/>
  <c r="AB38" i="5"/>
  <c r="AG38" i="5"/>
  <c r="AE38" i="5"/>
  <c r="AC38" i="5"/>
  <c r="AF38" i="5"/>
  <c r="AI38" i="5"/>
  <c r="AB123" i="3"/>
  <c r="AH123" i="3"/>
  <c r="AC123" i="3"/>
  <c r="AJ123" i="3"/>
  <c r="AF123" i="3"/>
  <c r="AI123" i="3"/>
  <c r="AE123" i="3"/>
  <c r="AG123" i="3"/>
  <c r="AD42" i="3"/>
  <c r="AH39" i="3"/>
  <c r="AF39" i="3"/>
  <c r="AB39" i="3"/>
  <c r="AI39" i="3"/>
  <c r="AG39" i="3"/>
  <c r="AC39" i="3"/>
  <c r="AE39" i="3"/>
  <c r="AD39" i="3"/>
  <c r="AJ39" i="3"/>
  <c r="AF29" i="3"/>
  <c r="AE29" i="3"/>
  <c r="AG29" i="3"/>
  <c r="AC29" i="3"/>
  <c r="AJ29" i="3"/>
  <c r="AB29" i="3"/>
  <c r="W29" i="3"/>
  <c r="AI29" i="3"/>
  <c r="AH29" i="3"/>
  <c r="T255" i="5"/>
  <c r="AG255" i="5" s="1"/>
  <c r="T296" i="5"/>
  <c r="AG296" i="5" s="1"/>
  <c r="T274" i="5"/>
  <c r="AC274" i="5" s="1"/>
  <c r="T84" i="5"/>
  <c r="W84" i="5" s="1"/>
  <c r="T299" i="5"/>
  <c r="AB299" i="5" s="1"/>
  <c r="T92" i="5"/>
  <c r="AB92" i="5" s="1"/>
  <c r="T82" i="5"/>
  <c r="AE82" i="5" s="1"/>
  <c r="T97" i="3"/>
  <c r="AC97" i="3" s="1"/>
  <c r="T91" i="3"/>
  <c r="AG91" i="3" s="1"/>
  <c r="T119" i="3"/>
  <c r="AB119" i="3" s="1"/>
  <c r="V11" i="5"/>
  <c r="AK42" i="3" l="1"/>
  <c r="AM42" i="3" s="1"/>
  <c r="W274" i="5"/>
  <c r="W255" i="5"/>
  <c r="T11" i="5"/>
  <c r="W11" i="5" s="1"/>
  <c r="AN74" i="5"/>
  <c r="W91" i="3"/>
  <c r="W97" i="3"/>
  <c r="W119" i="3"/>
  <c r="AN42" i="3"/>
  <c r="AK19" i="5"/>
  <c r="AM19" i="5" s="1"/>
  <c r="AN26" i="5"/>
  <c r="AK51" i="5"/>
  <c r="AM51" i="5" s="1"/>
  <c r="AN51" i="5"/>
  <c r="AN50" i="5"/>
  <c r="AK50" i="5"/>
  <c r="AM50" i="5" s="1"/>
  <c r="AK26" i="5"/>
  <c r="AM26" i="5" s="1"/>
  <c r="AN19" i="5"/>
  <c r="U48" i="3"/>
  <c r="AK20" i="3"/>
  <c r="AM20" i="3" s="1"/>
  <c r="AN20" i="3"/>
  <c r="AN28" i="5"/>
  <c r="AK28" i="5"/>
  <c r="AM28" i="5" s="1"/>
  <c r="AK74" i="5"/>
  <c r="AM74" i="5" s="1"/>
  <c r="AK53" i="5"/>
  <c r="AM53" i="5" s="1"/>
  <c r="AN53" i="5"/>
  <c r="AK22" i="3"/>
  <c r="AM22" i="3" s="1"/>
  <c r="AN22" i="3"/>
  <c r="AK38" i="3"/>
  <c r="AM38" i="3" s="1"/>
  <c r="AN38" i="3"/>
  <c r="AN23" i="3"/>
  <c r="AK23" i="3"/>
  <c r="AM23" i="3" s="1"/>
  <c r="AK28" i="3"/>
  <c r="AM28" i="3" s="1"/>
  <c r="AN28" i="3"/>
  <c r="AN30" i="3"/>
  <c r="AK30" i="3"/>
  <c r="AM30" i="3" s="1"/>
  <c r="W296" i="5"/>
  <c r="AN67" i="5"/>
  <c r="AK67" i="5"/>
  <c r="AM67" i="5" s="1"/>
  <c r="AN230" i="5"/>
  <c r="AK230" i="5"/>
  <c r="AM230" i="5" s="1"/>
  <c r="AN49" i="5"/>
  <c r="AK49" i="5"/>
  <c r="AM49" i="5" s="1"/>
  <c r="AN81" i="5"/>
  <c r="AK81" i="5"/>
  <c r="AM81" i="5" s="1"/>
  <c r="AN66" i="5"/>
  <c r="AK66" i="5"/>
  <c r="AM66" i="5" s="1"/>
  <c r="AK38" i="5"/>
  <c r="AM38" i="5" s="1"/>
  <c r="AN38" i="5"/>
  <c r="AK123" i="3"/>
  <c r="AM123" i="3" s="1"/>
  <c r="AN123" i="3"/>
  <c r="AK39" i="3"/>
  <c r="AM39" i="3" s="1"/>
  <c r="AN39" i="3"/>
  <c r="AK29" i="3"/>
  <c r="AM29" i="3" s="1"/>
  <c r="AN29" i="3"/>
  <c r="AB255" i="5"/>
  <c r="AH255" i="5"/>
  <c r="AI255" i="5"/>
  <c r="AJ255" i="5"/>
  <c r="AC255" i="5"/>
  <c r="AD255" i="5"/>
  <c r="AE255" i="5"/>
  <c r="AF255" i="5"/>
  <c r="AB296" i="5"/>
  <c r="AJ296" i="5"/>
  <c r="AI296" i="5"/>
  <c r="AD296" i="5"/>
  <c r="AH296" i="5"/>
  <c r="AC296" i="5"/>
  <c r="AF296" i="5"/>
  <c r="AE296" i="5"/>
  <c r="AI274" i="5"/>
  <c r="AE274" i="5"/>
  <c r="AG274" i="5"/>
  <c r="AB274" i="5"/>
  <c r="AJ274" i="5"/>
  <c r="AF274" i="5"/>
  <c r="AD274" i="5"/>
  <c r="AH274" i="5"/>
  <c r="AC84" i="5"/>
  <c r="AH84" i="5"/>
  <c r="AF84" i="5"/>
  <c r="AG84" i="5"/>
  <c r="AB84" i="5"/>
  <c r="AI84" i="5"/>
  <c r="AJ84" i="5"/>
  <c r="AD84" i="5"/>
  <c r="AE84" i="5"/>
  <c r="W92" i="5"/>
  <c r="W82" i="5"/>
  <c r="W299" i="5"/>
  <c r="AG299" i="5"/>
  <c r="AJ299" i="5"/>
  <c r="AH299" i="5"/>
  <c r="AE299" i="5"/>
  <c r="AC299" i="5"/>
  <c r="AF299" i="5"/>
  <c r="AD299" i="5"/>
  <c r="AI299" i="5"/>
  <c r="AJ92" i="5"/>
  <c r="AF92" i="5"/>
  <c r="AG92" i="5"/>
  <c r="AE92" i="5"/>
  <c r="AC92" i="5"/>
  <c r="AI92" i="5"/>
  <c r="AH92" i="5"/>
  <c r="AD92" i="5"/>
  <c r="AB82" i="5"/>
  <c r="AJ82" i="5"/>
  <c r="AG82" i="5"/>
  <c r="AD82" i="5"/>
  <c r="AI82" i="5"/>
  <c r="AH82" i="5"/>
  <c r="AC82" i="5"/>
  <c r="AF82" i="5"/>
  <c r="AJ97" i="3"/>
  <c r="AG97" i="3"/>
  <c r="AD97" i="3"/>
  <c r="AH97" i="3"/>
  <c r="AB97" i="3"/>
  <c r="AI97" i="3"/>
  <c r="AF97" i="3"/>
  <c r="AE97" i="3"/>
  <c r="AB91" i="3"/>
  <c r="AC91" i="3"/>
  <c r="AJ91" i="3"/>
  <c r="AH91" i="3"/>
  <c r="AD91" i="3"/>
  <c r="AI91" i="3"/>
  <c r="AE91" i="3"/>
  <c r="AF91" i="3"/>
  <c r="AJ119" i="3"/>
  <c r="AH119" i="3"/>
  <c r="AE119" i="3"/>
  <c r="AC119" i="3"/>
  <c r="AD119" i="3"/>
  <c r="AF119" i="3"/>
  <c r="AG119" i="3"/>
  <c r="AI119" i="3"/>
  <c r="V265" i="5"/>
  <c r="S265" i="5"/>
  <c r="O265" i="5"/>
  <c r="V120" i="5"/>
  <c r="S120" i="5"/>
  <c r="O120" i="5"/>
  <c r="V48" i="5"/>
  <c r="S48" i="5"/>
  <c r="O48" i="5"/>
  <c r="V46" i="5"/>
  <c r="S46" i="5"/>
  <c r="O46" i="5"/>
  <c r="U42" i="3" l="1"/>
  <c r="U23" i="3"/>
  <c r="U30" i="3"/>
  <c r="U50" i="5"/>
  <c r="U74" i="5"/>
  <c r="U19" i="5"/>
  <c r="U28" i="5"/>
  <c r="U26" i="5"/>
  <c r="U38" i="3"/>
  <c r="U51" i="5"/>
  <c r="U20" i="3"/>
  <c r="U53" i="5"/>
  <c r="U22" i="3"/>
  <c r="U28" i="3"/>
  <c r="U67" i="5"/>
  <c r="U230" i="5"/>
  <c r="U49" i="5"/>
  <c r="U81" i="5"/>
  <c r="U66" i="5"/>
  <c r="U38" i="5"/>
  <c r="U123" i="3"/>
  <c r="U39" i="3"/>
  <c r="U29" i="3"/>
  <c r="AK255" i="5"/>
  <c r="AM255" i="5" s="1"/>
  <c r="AN255" i="5"/>
  <c r="AK296" i="5"/>
  <c r="AM296" i="5" s="1"/>
  <c r="AN296" i="5"/>
  <c r="AN274" i="5"/>
  <c r="AK274" i="5"/>
  <c r="AM274" i="5" s="1"/>
  <c r="AN84" i="5"/>
  <c r="AK84" i="5"/>
  <c r="AM84" i="5" s="1"/>
  <c r="AN299" i="5"/>
  <c r="AK299" i="5"/>
  <c r="AM299" i="5" s="1"/>
  <c r="AN92" i="5"/>
  <c r="AK92" i="5"/>
  <c r="AM92" i="5" s="1"/>
  <c r="AN82" i="5"/>
  <c r="AK82" i="5"/>
  <c r="AM82" i="5" s="1"/>
  <c r="AK97" i="3"/>
  <c r="AM97" i="3" s="1"/>
  <c r="AN97" i="3"/>
  <c r="AK91" i="3"/>
  <c r="AM91" i="3" s="1"/>
  <c r="AN91" i="3"/>
  <c r="AN119" i="3"/>
  <c r="AK119" i="3"/>
  <c r="AM119" i="3" s="1"/>
  <c r="T265" i="5"/>
  <c r="AJ265" i="5" s="1"/>
  <c r="T48" i="5"/>
  <c r="AI48" i="5" s="1"/>
  <c r="T120" i="5"/>
  <c r="W120" i="5" s="1"/>
  <c r="T46" i="5"/>
  <c r="AC46" i="5" s="1"/>
  <c r="AJ120" i="5" l="1"/>
  <c r="AD120" i="5"/>
  <c r="AJ48" i="5"/>
  <c r="AD48" i="5"/>
  <c r="AC120" i="5"/>
  <c r="AF48" i="5"/>
  <c r="AB48" i="5"/>
  <c r="AF46" i="5"/>
  <c r="AB120" i="5"/>
  <c r="AF120" i="5"/>
  <c r="AE120" i="5"/>
  <c r="AH46" i="5"/>
  <c r="AH120" i="5"/>
  <c r="AG120" i="5"/>
  <c r="AI120" i="5"/>
  <c r="AC48" i="5"/>
  <c r="AC265" i="5"/>
  <c r="AD265" i="5"/>
  <c r="AE265" i="5"/>
  <c r="AH265" i="5"/>
  <c r="W265" i="5"/>
  <c r="AF265" i="5"/>
  <c r="U296" i="5"/>
  <c r="U92" i="5"/>
  <c r="AI265" i="5"/>
  <c r="AG48" i="5"/>
  <c r="AE48" i="5"/>
  <c r="AG265" i="5"/>
  <c r="AH48" i="5"/>
  <c r="AB265" i="5"/>
  <c r="W48" i="5"/>
  <c r="U255" i="5"/>
  <c r="U274" i="5"/>
  <c r="U299" i="5"/>
  <c r="U84" i="5"/>
  <c r="U82" i="5"/>
  <c r="U97" i="3"/>
  <c r="U91" i="3"/>
  <c r="U119" i="3"/>
  <c r="AB46" i="5"/>
  <c r="AD46" i="5"/>
  <c r="AG46" i="5"/>
  <c r="AE46" i="5"/>
  <c r="AI46" i="5"/>
  <c r="W46" i="5"/>
  <c r="AJ46" i="5"/>
  <c r="AK120" i="5" l="1"/>
  <c r="AM120" i="5" s="1"/>
  <c r="AN120" i="5"/>
  <c r="AK48" i="5"/>
  <c r="AM48" i="5" s="1"/>
  <c r="AN48" i="5"/>
  <c r="AN265" i="5"/>
  <c r="AK265" i="5"/>
  <c r="AM265" i="5" s="1"/>
  <c r="AN46" i="5"/>
  <c r="AK46" i="5"/>
  <c r="AM46" i="5" s="1"/>
  <c r="U265" i="5" l="1"/>
  <c r="U120" i="5"/>
  <c r="U48" i="5"/>
  <c r="U46" i="5"/>
  <c r="V54" i="5"/>
  <c r="S54" i="5"/>
  <c r="O54" i="5"/>
  <c r="T54" i="5" l="1"/>
  <c r="AF54" i="5" s="1"/>
  <c r="W54" i="5" l="1"/>
  <c r="AG54" i="5"/>
  <c r="AI54" i="5"/>
  <c r="AB54" i="5"/>
  <c r="AJ54" i="5"/>
  <c r="AD54" i="5"/>
  <c r="AH54" i="5"/>
  <c r="AE54" i="5"/>
  <c r="AC54" i="5"/>
  <c r="V25" i="5"/>
  <c r="S25" i="5"/>
  <c r="O25" i="5"/>
  <c r="V108" i="3"/>
  <c r="S108" i="3"/>
  <c r="O108" i="3"/>
  <c r="V101" i="3"/>
  <c r="S101" i="3"/>
  <c r="O101" i="3"/>
  <c r="V85" i="3"/>
  <c r="S85" i="3"/>
  <c r="O85" i="3"/>
  <c r="V78" i="3"/>
  <c r="S78" i="3"/>
  <c r="O78" i="3"/>
  <c r="V74" i="3"/>
  <c r="S74" i="3"/>
  <c r="O74" i="3"/>
  <c r="AK54" i="5" l="1"/>
  <c r="AM54" i="5" s="1"/>
  <c r="AN54" i="5"/>
  <c r="T85" i="3"/>
  <c r="AF85" i="3" s="1"/>
  <c r="T108" i="3"/>
  <c r="AC108" i="3" s="1"/>
  <c r="T78" i="3"/>
  <c r="AG78" i="3" s="1"/>
  <c r="V146" i="5"/>
  <c r="V103" i="5"/>
  <c r="T25" i="5"/>
  <c r="W25" i="5" s="1"/>
  <c r="V91" i="5"/>
  <c r="T74" i="3"/>
  <c r="AE74" i="3" s="1"/>
  <c r="T101" i="3"/>
  <c r="AJ101" i="3" s="1"/>
  <c r="V41" i="3"/>
  <c r="AF108" i="3" l="1"/>
  <c r="AH108" i="3"/>
  <c r="AH74" i="3"/>
  <c r="AD85" i="3"/>
  <c r="AB85" i="3"/>
  <c r="AI85" i="3"/>
  <c r="AH85" i="3"/>
  <c r="AJ85" i="3"/>
  <c r="AG85" i="3"/>
  <c r="AG108" i="3"/>
  <c r="W85" i="3"/>
  <c r="AE85" i="3"/>
  <c r="U54" i="5"/>
  <c r="AC85" i="3"/>
  <c r="AB108" i="3"/>
  <c r="AF74" i="3"/>
  <c r="AI74" i="3"/>
  <c r="AI108" i="3"/>
  <c r="AD108" i="3"/>
  <c r="W108" i="3"/>
  <c r="AJ108" i="3"/>
  <c r="AE108" i="3"/>
  <c r="AC74" i="3"/>
  <c r="AD25" i="5"/>
  <c r="AE78" i="3"/>
  <c r="AD74" i="3"/>
  <c r="AG74" i="3"/>
  <c r="AH78" i="3"/>
  <c r="AB74" i="3"/>
  <c r="AF78" i="3"/>
  <c r="AJ74" i="3"/>
  <c r="W74" i="3"/>
  <c r="AB78" i="3"/>
  <c r="AB25" i="5"/>
  <c r="AC101" i="3"/>
  <c r="AE101" i="3"/>
  <c r="AF101" i="3"/>
  <c r="AD78" i="3"/>
  <c r="AI78" i="3"/>
  <c r="AJ78" i="3"/>
  <c r="AC78" i="3"/>
  <c r="W78" i="3"/>
  <c r="AC146" i="5"/>
  <c r="AJ146" i="5"/>
  <c r="AB146" i="5"/>
  <c r="AD146" i="5"/>
  <c r="AI146" i="5"/>
  <c r="AH146" i="5"/>
  <c r="AE146" i="5"/>
  <c r="AG146" i="5"/>
  <c r="AF146" i="5"/>
  <c r="AE25" i="5"/>
  <c r="AF25" i="5"/>
  <c r="AI25" i="5"/>
  <c r="AH25" i="5"/>
  <c r="AJ25" i="5"/>
  <c r="AC25" i="5"/>
  <c r="AD103" i="5"/>
  <c r="AC103" i="5"/>
  <c r="AJ103" i="5"/>
  <c r="AB103" i="5"/>
  <c r="AI103" i="5"/>
  <c r="AH103" i="5"/>
  <c r="AG103" i="5"/>
  <c r="AF103" i="5"/>
  <c r="AE103" i="5"/>
  <c r="AG25" i="5"/>
  <c r="AC91" i="5"/>
  <c r="AH91" i="5"/>
  <c r="AE91" i="5"/>
  <c r="AD91" i="5"/>
  <c r="AJ91" i="5"/>
  <c r="AB91" i="5"/>
  <c r="AI91" i="5"/>
  <c r="AG91" i="5"/>
  <c r="AF91" i="5"/>
  <c r="AG101" i="3"/>
  <c r="W101" i="3"/>
  <c r="AI101" i="3"/>
  <c r="AH101" i="3"/>
  <c r="AB101" i="3"/>
  <c r="AD101" i="3"/>
  <c r="AE41" i="3"/>
  <c r="AD41" i="3"/>
  <c r="AC41" i="3"/>
  <c r="AJ41" i="3"/>
  <c r="AB41" i="3"/>
  <c r="AF41" i="3"/>
  <c r="AI41" i="3"/>
  <c r="AH41" i="3"/>
  <c r="AG41" i="3"/>
  <c r="AN74" i="3" l="1"/>
  <c r="AN85" i="3"/>
  <c r="AK85" i="3"/>
  <c r="AM85" i="3" s="1"/>
  <c r="AK74" i="3"/>
  <c r="AM74" i="3" s="1"/>
  <c r="AK108" i="3"/>
  <c r="AM108" i="3" s="1"/>
  <c r="AN108" i="3"/>
  <c r="AN78" i="3"/>
  <c r="AN25" i="5"/>
  <c r="AK25" i="5"/>
  <c r="AM25" i="5" s="1"/>
  <c r="AK101" i="3"/>
  <c r="AM101" i="3" s="1"/>
  <c r="AK78" i="3"/>
  <c r="AM78" i="3" s="1"/>
  <c r="AN101" i="3"/>
  <c r="AK146" i="5"/>
  <c r="AM146" i="5" s="1"/>
  <c r="AN146" i="5"/>
  <c r="AK103" i="5"/>
  <c r="AM103" i="5" s="1"/>
  <c r="AN103" i="5"/>
  <c r="AK91" i="5"/>
  <c r="AM91" i="5" s="1"/>
  <c r="AN91" i="5"/>
  <c r="AN41" i="3"/>
  <c r="AK41" i="3"/>
  <c r="AM41" i="3" s="1"/>
  <c r="U74" i="3" l="1"/>
  <c r="U108" i="3"/>
  <c r="U85" i="3"/>
  <c r="U25" i="5"/>
  <c r="U101" i="3"/>
  <c r="U78" i="3"/>
  <c r="U146" i="5"/>
  <c r="U103" i="5"/>
  <c r="U91" i="5"/>
  <c r="U41" i="3"/>
  <c r="V52" i="3"/>
  <c r="S52" i="3"/>
  <c r="O52" i="3"/>
  <c r="V49" i="3"/>
  <c r="S49" i="3"/>
  <c r="O49" i="3"/>
  <c r="V55" i="3"/>
  <c r="S55" i="3"/>
  <c r="O55" i="3"/>
  <c r="V37" i="3"/>
  <c r="S37" i="3"/>
  <c r="O37" i="3"/>
  <c r="T55" i="3" l="1"/>
  <c r="AD55" i="3" s="1"/>
  <c r="T52" i="3"/>
  <c r="AJ52" i="3" s="1"/>
  <c r="T37" i="3"/>
  <c r="AF37" i="3" s="1"/>
  <c r="T49" i="3"/>
  <c r="AF49" i="3" s="1"/>
  <c r="AG55" i="3" l="1"/>
  <c r="AF55" i="3"/>
  <c r="AC55" i="3"/>
  <c r="AH55" i="3"/>
  <c r="W55" i="3"/>
  <c r="AB55" i="3"/>
  <c r="AJ55" i="3"/>
  <c r="AE55" i="3"/>
  <c r="AI55" i="3"/>
  <c r="AI49" i="3"/>
  <c r="AJ49" i="3"/>
  <c r="AC49" i="3"/>
  <c r="AD49" i="3"/>
  <c r="AF52" i="3"/>
  <c r="AG52" i="3"/>
  <c r="W49" i="3"/>
  <c r="AH52" i="3"/>
  <c r="AB49" i="3"/>
  <c r="W52" i="3"/>
  <c r="AI52" i="3"/>
  <c r="AC52" i="3"/>
  <c r="AD52" i="3"/>
  <c r="AE52" i="3"/>
  <c r="AG49" i="3"/>
  <c r="AH37" i="3"/>
  <c r="AB37" i="3"/>
  <c r="AB52" i="3"/>
  <c r="AE49" i="3"/>
  <c r="AH49" i="3"/>
  <c r="AC37" i="3"/>
  <c r="W37" i="3"/>
  <c r="AG37" i="3"/>
  <c r="AI37" i="3"/>
  <c r="AD37" i="3"/>
  <c r="AE37" i="3"/>
  <c r="AJ37" i="3"/>
  <c r="AN55" i="3" l="1"/>
  <c r="AK55" i="3"/>
  <c r="AM55" i="3" s="1"/>
  <c r="AK52" i="3"/>
  <c r="AM52" i="3" s="1"/>
  <c r="AN52" i="3"/>
  <c r="AK49" i="3"/>
  <c r="AM49" i="3" s="1"/>
  <c r="AN49" i="3"/>
  <c r="AK37" i="3"/>
  <c r="AM37" i="3" s="1"/>
  <c r="AN37" i="3"/>
  <c r="U55" i="3" l="1"/>
  <c r="U52" i="3"/>
  <c r="U49" i="3"/>
  <c r="U37" i="3"/>
  <c r="V33" i="5"/>
  <c r="S33" i="5"/>
  <c r="O33" i="5"/>
  <c r="V30" i="5"/>
  <c r="S30" i="5"/>
  <c r="O30" i="5"/>
  <c r="T30" i="5" l="1"/>
  <c r="AF30" i="5" s="1"/>
  <c r="T33" i="5"/>
  <c r="AD33" i="5" s="1"/>
  <c r="AB30" i="5" l="1"/>
  <c r="AJ30" i="5"/>
  <c r="W33" i="5"/>
  <c r="AC33" i="5"/>
  <c r="AG33" i="5"/>
  <c r="AB33" i="5"/>
  <c r="AE33" i="5"/>
  <c r="AJ33" i="5"/>
  <c r="AF33" i="5"/>
  <c r="AI33" i="5"/>
  <c r="AH33" i="5"/>
  <c r="AG30" i="5"/>
  <c r="AH30" i="5"/>
  <c r="W30" i="5"/>
  <c r="AD30" i="5"/>
  <c r="AE30" i="5"/>
  <c r="AC30" i="5"/>
  <c r="AI30" i="5"/>
  <c r="AK33" i="5" l="1"/>
  <c r="AM33" i="5" s="1"/>
  <c r="AN30" i="5"/>
  <c r="AN33" i="5"/>
  <c r="AK30" i="5"/>
  <c r="AM30" i="5" s="1"/>
  <c r="U30" i="5" l="1"/>
  <c r="U33" i="5"/>
  <c r="V288" i="5"/>
  <c r="S288" i="5"/>
  <c r="O288" i="5"/>
  <c r="V212" i="5"/>
  <c r="S212" i="5"/>
  <c r="O212" i="5"/>
  <c r="V152" i="5"/>
  <c r="S152" i="5"/>
  <c r="O152" i="5"/>
  <c r="T212" i="5" l="1"/>
  <c r="W212" i="5" s="1"/>
  <c r="T152" i="5"/>
  <c r="W152" i="5" s="1"/>
  <c r="T288" i="5"/>
  <c r="AC288" i="5" s="1"/>
  <c r="AD212" i="5" l="1"/>
  <c r="AI212" i="5"/>
  <c r="AE212" i="5"/>
  <c r="AG212" i="5"/>
  <c r="AD288" i="5"/>
  <c r="AF288" i="5"/>
  <c r="AH288" i="5"/>
  <c r="AF152" i="5"/>
  <c r="AI152" i="5"/>
  <c r="AG288" i="5"/>
  <c r="W288" i="5"/>
  <c r="AB288" i="5"/>
  <c r="AJ288" i="5"/>
  <c r="AC212" i="5"/>
  <c r="AI288" i="5"/>
  <c r="AE288" i="5"/>
  <c r="AJ212" i="5"/>
  <c r="AH212" i="5"/>
  <c r="AD152" i="5"/>
  <c r="AB212" i="5"/>
  <c r="AF212" i="5"/>
  <c r="AB152" i="5"/>
  <c r="AJ152" i="5"/>
  <c r="AE152" i="5"/>
  <c r="AC152" i="5"/>
  <c r="AG152" i="5"/>
  <c r="AH152" i="5"/>
  <c r="AK288" i="5" l="1"/>
  <c r="AM288" i="5" s="1"/>
  <c r="AN288" i="5"/>
  <c r="AN212" i="5"/>
  <c r="AK152" i="5"/>
  <c r="AM152" i="5" s="1"/>
  <c r="AK212" i="5"/>
  <c r="AM212" i="5" s="1"/>
  <c r="AN152" i="5"/>
  <c r="U288" i="5" l="1"/>
  <c r="U152" i="5"/>
  <c r="U212" i="5"/>
  <c r="V14" i="5"/>
  <c r="V10" i="5"/>
  <c r="T10" i="5" l="1"/>
  <c r="W10" i="5" s="1"/>
  <c r="T14" i="5"/>
  <c r="W14" i="5" s="1"/>
  <c r="O60" i="5" l="1"/>
  <c r="S60" i="5"/>
  <c r="V60" i="5"/>
  <c r="O125" i="5"/>
  <c r="S125" i="5"/>
  <c r="V125" i="5"/>
  <c r="V142" i="3"/>
  <c r="S142" i="3"/>
  <c r="O142" i="3"/>
  <c r="V137" i="3"/>
  <c r="S137" i="3"/>
  <c r="O137" i="3"/>
  <c r="V112" i="5"/>
  <c r="S112" i="5"/>
  <c r="O112" i="5"/>
  <c r="V246" i="5"/>
  <c r="S246" i="5"/>
  <c r="O246" i="5"/>
  <c r="V294" i="5"/>
  <c r="S294" i="5"/>
  <c r="O294" i="5"/>
  <c r="V168" i="5"/>
  <c r="S168" i="5"/>
  <c r="O168" i="5"/>
  <c r="V59" i="5"/>
  <c r="S59" i="5"/>
  <c r="O59" i="5"/>
  <c r="V225" i="5"/>
  <c r="S225" i="5"/>
  <c r="O225" i="5"/>
  <c r="T137" i="3" l="1"/>
  <c r="W137" i="3" s="1"/>
  <c r="T125" i="5"/>
  <c r="W125" i="5" s="1"/>
  <c r="T168" i="5"/>
  <c r="W168" i="5" s="1"/>
  <c r="T142" i="3"/>
  <c r="AD142" i="3" s="1"/>
  <c r="T59" i="5"/>
  <c r="AG59" i="5" s="1"/>
  <c r="T246" i="5"/>
  <c r="AG246" i="5" s="1"/>
  <c r="T60" i="5"/>
  <c r="W60" i="5" s="1"/>
  <c r="T112" i="5"/>
  <c r="AI112" i="5" s="1"/>
  <c r="T225" i="5"/>
  <c r="AG225" i="5" s="1"/>
  <c r="T294" i="5"/>
  <c r="AD294" i="5" s="1"/>
  <c r="AC246" i="5" l="1"/>
  <c r="AH246" i="5"/>
  <c r="AE246" i="5"/>
  <c r="AB246" i="5"/>
  <c r="AF246" i="5"/>
  <c r="AD246" i="5"/>
  <c r="W246" i="5"/>
  <c r="AE168" i="5"/>
  <c r="AI246" i="5"/>
  <c r="AD168" i="5"/>
  <c r="AF168" i="5"/>
  <c r="AB168" i="5"/>
  <c r="AH168" i="5"/>
  <c r="AI168" i="5"/>
  <c r="AJ168" i="5"/>
  <c r="AC168" i="5"/>
  <c r="AG168" i="5"/>
  <c r="AD125" i="5"/>
  <c r="AJ125" i="5"/>
  <c r="W294" i="5"/>
  <c r="AE294" i="5"/>
  <c r="AB294" i="5"/>
  <c r="AI125" i="5"/>
  <c r="AG294" i="5"/>
  <c r="AB125" i="5"/>
  <c r="AC294" i="5"/>
  <c r="AF294" i="5"/>
  <c r="AH294" i="5"/>
  <c r="AJ294" i="5"/>
  <c r="AI294" i="5"/>
  <c r="AF60" i="5"/>
  <c r="AH225" i="5"/>
  <c r="AC137" i="3"/>
  <c r="AF137" i="3"/>
  <c r="AE137" i="3"/>
  <c r="AJ137" i="3"/>
  <c r="AB137" i="3"/>
  <c r="AG137" i="3"/>
  <c r="AB59" i="5"/>
  <c r="AC59" i="5"/>
  <c r="W59" i="5"/>
  <c r="AB112" i="5"/>
  <c r="AD59" i="5"/>
  <c r="AE59" i="5"/>
  <c r="AJ59" i="5"/>
  <c r="AF59" i="5"/>
  <c r="AJ60" i="5"/>
  <c r="AH60" i="5"/>
  <c r="AH59" i="5"/>
  <c r="AI59" i="5"/>
  <c r="W112" i="5"/>
  <c r="AE125" i="5"/>
  <c r="AC125" i="5"/>
  <c r="AB60" i="5"/>
  <c r="AE60" i="5"/>
  <c r="AJ246" i="5"/>
  <c r="AD137" i="3"/>
  <c r="AI137" i="3"/>
  <c r="AH137" i="3"/>
  <c r="W142" i="3"/>
  <c r="AB142" i="3"/>
  <c r="AE142" i="3"/>
  <c r="AH142" i="3"/>
  <c r="AI142" i="3"/>
  <c r="AJ142" i="3"/>
  <c r="AH125" i="5"/>
  <c r="AF125" i="5"/>
  <c r="AF142" i="3"/>
  <c r="AC142" i="3"/>
  <c r="AG125" i="5"/>
  <c r="AG142" i="3"/>
  <c r="AD60" i="5"/>
  <c r="AG60" i="5"/>
  <c r="AC60" i="5"/>
  <c r="AI60" i="5"/>
  <c r="AD112" i="5"/>
  <c r="AJ112" i="5"/>
  <c r="AE112" i="5"/>
  <c r="AC112" i="5"/>
  <c r="AF112" i="5"/>
  <c r="AG112" i="5"/>
  <c r="AH112" i="5"/>
  <c r="W225" i="5"/>
  <c r="AI225" i="5"/>
  <c r="AE225" i="5"/>
  <c r="AB225" i="5"/>
  <c r="AD225" i="5"/>
  <c r="AC225" i="5"/>
  <c r="AF225" i="5"/>
  <c r="AJ225" i="5"/>
  <c r="AN246" i="5" l="1"/>
  <c r="AK168" i="5"/>
  <c r="AM168" i="5" s="1"/>
  <c r="AN168" i="5"/>
  <c r="AN294" i="5"/>
  <c r="AK294" i="5"/>
  <c r="AM294" i="5" s="1"/>
  <c r="AN59" i="5"/>
  <c r="AK59" i="5"/>
  <c r="AM59" i="5" s="1"/>
  <c r="AN137" i="3"/>
  <c r="AK246" i="5"/>
  <c r="AM246" i="5" s="1"/>
  <c r="AK137" i="3"/>
  <c r="AM137" i="3" s="1"/>
  <c r="AK125" i="5"/>
  <c r="AM125" i="5" s="1"/>
  <c r="AN125" i="5"/>
  <c r="AK142" i="3"/>
  <c r="AM142" i="3" s="1"/>
  <c r="AN142" i="3"/>
  <c r="AK60" i="5"/>
  <c r="AM60" i="5" s="1"/>
  <c r="AN60" i="5"/>
  <c r="AN225" i="5"/>
  <c r="AK112" i="5"/>
  <c r="AM112" i="5" s="1"/>
  <c r="AN112" i="5"/>
  <c r="AK225" i="5"/>
  <c r="AM225" i="5" s="1"/>
  <c r="U246" i="5" l="1"/>
  <c r="U168" i="5"/>
  <c r="U294" i="5"/>
  <c r="U59" i="5"/>
  <c r="U137" i="3"/>
  <c r="U225" i="5"/>
  <c r="U125" i="5"/>
  <c r="U60" i="5"/>
  <c r="U142" i="3"/>
  <c r="U112" i="5"/>
  <c r="V43" i="5"/>
  <c r="S43" i="5"/>
  <c r="O43" i="5"/>
  <c r="V57" i="5"/>
  <c r="S57" i="5"/>
  <c r="O57" i="5"/>
  <c r="V23" i="5"/>
  <c r="S23" i="5"/>
  <c r="O23" i="5"/>
  <c r="V130" i="3"/>
  <c r="S130" i="3"/>
  <c r="O130" i="3"/>
  <c r="V120" i="3"/>
  <c r="S120" i="3"/>
  <c r="O120" i="3"/>
  <c r="V116" i="3"/>
  <c r="S116" i="3"/>
  <c r="O116" i="3"/>
  <c r="V87" i="3"/>
  <c r="S87" i="3"/>
  <c r="O87" i="3"/>
  <c r="V90" i="3"/>
  <c r="S90" i="3"/>
  <c r="O90" i="3"/>
  <c r="V43" i="3"/>
  <c r="S43" i="3"/>
  <c r="O43" i="3"/>
  <c r="V15" i="3"/>
  <c r="S15" i="3"/>
  <c r="O15" i="3"/>
  <c r="V16" i="3"/>
  <c r="S16" i="3"/>
  <c r="O16" i="3"/>
  <c r="V297" i="5"/>
  <c r="S297" i="5"/>
  <c r="O297" i="5"/>
  <c r="V182" i="5"/>
  <c r="S182" i="5"/>
  <c r="O182" i="5"/>
  <c r="V210" i="5"/>
  <c r="S210" i="5"/>
  <c r="O210" i="5"/>
  <c r="V140" i="5"/>
  <c r="S140" i="5"/>
  <c r="O140" i="5"/>
  <c r="V142" i="5"/>
  <c r="S142" i="5"/>
  <c r="O142" i="5"/>
  <c r="T116" i="3" l="1"/>
  <c r="AC116" i="3" s="1"/>
  <c r="T90" i="3"/>
  <c r="AG90" i="3" s="1"/>
  <c r="T182" i="5"/>
  <c r="AE182" i="5" s="1"/>
  <c r="T57" i="5"/>
  <c r="AJ57" i="5" s="1"/>
  <c r="T120" i="3"/>
  <c r="AG120" i="3" s="1"/>
  <c r="T87" i="3"/>
  <c r="AB87" i="3" s="1"/>
  <c r="T15" i="3"/>
  <c r="AG15" i="3" s="1"/>
  <c r="T130" i="3"/>
  <c r="AI130" i="3" s="1"/>
  <c r="T43" i="3"/>
  <c r="AB43" i="3" s="1"/>
  <c r="T43" i="5"/>
  <c r="AB43" i="5" s="1"/>
  <c r="T23" i="5"/>
  <c r="AD23" i="5" s="1"/>
  <c r="T210" i="5"/>
  <c r="AC210" i="5" s="1"/>
  <c r="T297" i="5"/>
  <c r="AG297" i="5" s="1"/>
  <c r="T16" i="3"/>
  <c r="AI16" i="3" s="1"/>
  <c r="T140" i="5"/>
  <c r="AE140" i="5" s="1"/>
  <c r="T142" i="5"/>
  <c r="AI142" i="5" s="1"/>
  <c r="AH182" i="5" l="1"/>
  <c r="W182" i="5"/>
  <c r="AJ182" i="5"/>
  <c r="AC182" i="5"/>
  <c r="AI182" i="5"/>
  <c r="AF297" i="5"/>
  <c r="AB297" i="5"/>
  <c r="AI297" i="5"/>
  <c r="AB182" i="5"/>
  <c r="AF182" i="5"/>
  <c r="AH57" i="5"/>
  <c r="AC297" i="5"/>
  <c r="AE297" i="5"/>
  <c r="AJ297" i="5"/>
  <c r="AG182" i="5"/>
  <c r="AB57" i="5"/>
  <c r="AD182" i="5"/>
  <c r="AD297" i="5"/>
  <c r="W297" i="5"/>
  <c r="AH297" i="5"/>
  <c r="W57" i="5"/>
  <c r="AF57" i="5"/>
  <c r="AI57" i="5"/>
  <c r="AE57" i="5"/>
  <c r="AG57" i="5"/>
  <c r="AD57" i="5"/>
  <c r="AB116" i="3"/>
  <c r="AE90" i="3"/>
  <c r="AJ43" i="5"/>
  <c r="AF116" i="3"/>
  <c r="AD90" i="3"/>
  <c r="AC90" i="3"/>
  <c r="AJ90" i="3"/>
  <c r="AI116" i="3"/>
  <c r="AE116" i="3"/>
  <c r="AD116" i="3"/>
  <c r="AJ116" i="3"/>
  <c r="W116" i="3"/>
  <c r="AG116" i="3"/>
  <c r="AF130" i="3"/>
  <c r="AH116" i="3"/>
  <c r="AB130" i="3"/>
  <c r="AC120" i="3"/>
  <c r="AJ130" i="3"/>
  <c r="AH130" i="3"/>
  <c r="AB90" i="3"/>
  <c r="AC130" i="3"/>
  <c r="AI43" i="3"/>
  <c r="AH43" i="3"/>
  <c r="AG43" i="3"/>
  <c r="W90" i="3"/>
  <c r="AD130" i="3"/>
  <c r="W120" i="3"/>
  <c r="AJ120" i="3"/>
  <c r="AH120" i="3"/>
  <c r="AD87" i="3"/>
  <c r="AF120" i="3"/>
  <c r="AE120" i="3"/>
  <c r="AB120" i="3"/>
  <c r="AD120" i="3"/>
  <c r="AH210" i="5"/>
  <c r="AI120" i="3"/>
  <c r="AH43" i="5"/>
  <c r="AC43" i="5"/>
  <c r="AG43" i="5"/>
  <c r="AB16" i="3"/>
  <c r="AH16" i="3"/>
  <c r="W15" i="3"/>
  <c r="AF43" i="5"/>
  <c r="AC57" i="5"/>
  <c r="AE15" i="3"/>
  <c r="AC15" i="3"/>
  <c r="AH15" i="3"/>
  <c r="AJ87" i="3"/>
  <c r="AD43" i="5"/>
  <c r="AF15" i="3"/>
  <c r="AD15" i="3"/>
  <c r="AJ15" i="3"/>
  <c r="AH87" i="3"/>
  <c r="AB15" i="3"/>
  <c r="AD140" i="5"/>
  <c r="AC140" i="5"/>
  <c r="W43" i="5"/>
  <c r="W16" i="3"/>
  <c r="W87" i="3"/>
  <c r="AG130" i="3"/>
  <c r="AE130" i="3"/>
  <c r="AI87" i="3"/>
  <c r="AE43" i="3"/>
  <c r="W130" i="3"/>
  <c r="AF87" i="3"/>
  <c r="AC87" i="3"/>
  <c r="AI15" i="3"/>
  <c r="AG87" i="3"/>
  <c r="AE87" i="3"/>
  <c r="AD16" i="3"/>
  <c r="AE16" i="3"/>
  <c r="AF90" i="3"/>
  <c r="AJ43" i="3"/>
  <c r="AC43" i="3"/>
  <c r="AH90" i="3"/>
  <c r="W43" i="3"/>
  <c r="AF43" i="3"/>
  <c r="AI90" i="3"/>
  <c r="AD43" i="3"/>
  <c r="AF16" i="3"/>
  <c r="AC16" i="3"/>
  <c r="AG210" i="5"/>
  <c r="AE210" i="5"/>
  <c r="W142" i="5"/>
  <c r="AI210" i="5"/>
  <c r="AD210" i="5"/>
  <c r="W210" i="5"/>
  <c r="AF210" i="5"/>
  <c r="AJ210" i="5"/>
  <c r="AG140" i="5"/>
  <c r="AB210" i="5"/>
  <c r="AG16" i="3"/>
  <c r="AE23" i="5"/>
  <c r="AB23" i="5"/>
  <c r="AJ16" i="3"/>
  <c r="AH23" i="5"/>
  <c r="AE43" i="5"/>
  <c r="AI43" i="5"/>
  <c r="AI23" i="5"/>
  <c r="W140" i="5"/>
  <c r="AC142" i="5"/>
  <c r="AJ23" i="5"/>
  <c r="AF140" i="5"/>
  <c r="AD142" i="5"/>
  <c r="AC23" i="5"/>
  <c r="AJ140" i="5"/>
  <c r="AH142" i="5"/>
  <c r="AF23" i="5"/>
  <c r="W23" i="5"/>
  <c r="AB140" i="5"/>
  <c r="AJ142" i="5"/>
  <c r="AG23" i="5"/>
  <c r="AE142" i="5"/>
  <c r="AI140" i="5"/>
  <c r="AH140" i="5"/>
  <c r="AF142" i="5"/>
  <c r="AG142" i="5"/>
  <c r="AB142" i="5"/>
  <c r="AN182" i="5" l="1"/>
  <c r="AK182" i="5"/>
  <c r="AM182" i="5" s="1"/>
  <c r="AN297" i="5"/>
  <c r="AK297" i="5"/>
  <c r="AM297" i="5" s="1"/>
  <c r="AN57" i="5"/>
  <c r="AK57" i="5"/>
  <c r="AM57" i="5" s="1"/>
  <c r="AN130" i="3"/>
  <c r="AK116" i="3"/>
  <c r="AM116" i="3" s="1"/>
  <c r="AN120" i="3"/>
  <c r="AN116" i="3"/>
  <c r="AK15" i="3"/>
  <c r="AM15" i="3" s="1"/>
  <c r="AK130" i="3"/>
  <c r="AM130" i="3" s="1"/>
  <c r="AK120" i="3"/>
  <c r="AM120" i="3" s="1"/>
  <c r="AN15" i="3"/>
  <c r="AK210" i="5"/>
  <c r="AM210" i="5" s="1"/>
  <c r="AN210" i="5"/>
  <c r="AK87" i="3"/>
  <c r="AM87" i="3" s="1"/>
  <c r="AN87" i="3"/>
  <c r="AN90" i="3"/>
  <c r="AN16" i="3"/>
  <c r="AK90" i="3"/>
  <c r="AM90" i="3" s="1"/>
  <c r="AK43" i="3"/>
  <c r="AM43" i="3" s="1"/>
  <c r="AN43" i="3"/>
  <c r="AK23" i="5"/>
  <c r="AM23" i="5" s="1"/>
  <c r="AK43" i="5"/>
  <c r="AM43" i="5" s="1"/>
  <c r="AK16" i="3"/>
  <c r="AM16" i="3" s="1"/>
  <c r="AN23" i="5"/>
  <c r="AN43" i="5"/>
  <c r="AK140" i="5"/>
  <c r="AM140" i="5" s="1"/>
  <c r="AN142" i="5"/>
  <c r="AN140" i="5"/>
  <c r="AK142" i="5"/>
  <c r="AM142" i="5" s="1"/>
  <c r="U182" i="5" l="1"/>
  <c r="U297" i="5"/>
  <c r="U57" i="5"/>
  <c r="U120" i="3"/>
  <c r="U130" i="3"/>
  <c r="U116" i="3"/>
  <c r="U15" i="3"/>
  <c r="U210" i="5"/>
  <c r="U87" i="3"/>
  <c r="U23" i="5"/>
  <c r="U90" i="3"/>
  <c r="U43" i="3"/>
  <c r="U43" i="5"/>
  <c r="U16" i="3"/>
  <c r="U140" i="5"/>
  <c r="U142" i="5"/>
  <c r="V89" i="3"/>
  <c r="S89" i="3"/>
  <c r="O89" i="3"/>
  <c r="V10" i="3"/>
  <c r="S10" i="3"/>
  <c r="O10" i="3"/>
  <c r="V266" i="5"/>
  <c r="S266" i="5"/>
  <c r="O266" i="5"/>
  <c r="T89" i="3" l="1"/>
  <c r="AI89" i="3" s="1"/>
  <c r="T10" i="3"/>
  <c r="W10" i="3" s="1"/>
  <c r="T266" i="5"/>
  <c r="W266" i="5" s="1"/>
  <c r="W89" i="3" l="1"/>
  <c r="AH10" i="3"/>
  <c r="AD10" i="3"/>
  <c r="AF10" i="3"/>
  <c r="AI10" i="3"/>
  <c r="AE10" i="3"/>
  <c r="AJ10" i="3"/>
  <c r="AB10" i="3"/>
  <c r="AF89" i="3"/>
  <c r="AJ89" i="3"/>
  <c r="AG89" i="3"/>
  <c r="AD89" i="3"/>
  <c r="AB89" i="3"/>
  <c r="AC89" i="3"/>
  <c r="AE89" i="3"/>
  <c r="AH89" i="3"/>
  <c r="AG10" i="3"/>
  <c r="AC10" i="3"/>
  <c r="AN10" i="3" l="1"/>
  <c r="AN89" i="3"/>
  <c r="AK89" i="3"/>
  <c r="AM89" i="3" s="1"/>
  <c r="AK10" i="3"/>
  <c r="AM10" i="3" s="1"/>
  <c r="U10" i="3" l="1"/>
  <c r="U89" i="3"/>
  <c r="V77" i="5"/>
  <c r="S77" i="5"/>
  <c r="O77" i="5"/>
  <c r="V63" i="5"/>
  <c r="S63" i="5"/>
  <c r="O63" i="5"/>
  <c r="V24" i="5"/>
  <c r="S24" i="5"/>
  <c r="O24" i="5"/>
  <c r="V37" i="5"/>
  <c r="S37" i="5"/>
  <c r="O37" i="5"/>
  <c r="T37" i="5" l="1"/>
  <c r="W37" i="5" s="1"/>
  <c r="T24" i="5"/>
  <c r="W24" i="5" s="1"/>
  <c r="T63" i="5"/>
  <c r="W63" i="5" s="1"/>
  <c r="T77" i="5"/>
  <c r="W77" i="5" s="1"/>
  <c r="V16" i="5"/>
  <c r="V285" i="5" l="1"/>
  <c r="S285" i="5"/>
  <c r="O285" i="5"/>
  <c r="V240" i="5"/>
  <c r="S240" i="5"/>
  <c r="O240" i="5"/>
  <c r="V179" i="5"/>
  <c r="S179" i="5"/>
  <c r="O179" i="5"/>
  <c r="T285" i="5" l="1"/>
  <c r="W285" i="5" s="1"/>
  <c r="T240" i="5"/>
  <c r="W240" i="5" s="1"/>
  <c r="T179" i="5"/>
  <c r="W179" i="5" s="1"/>
  <c r="V122" i="3" l="1"/>
  <c r="S122" i="3"/>
  <c r="O122" i="3"/>
  <c r="V98" i="3"/>
  <c r="S98" i="3"/>
  <c r="O98" i="3"/>
  <c r="V205" i="5"/>
  <c r="S205" i="5"/>
  <c r="O205" i="5"/>
  <c r="V259" i="5"/>
  <c r="S259" i="5"/>
  <c r="O259" i="5"/>
  <c r="V202" i="5"/>
  <c r="S202" i="5"/>
  <c r="O202" i="5"/>
  <c r="V31" i="3"/>
  <c r="S31" i="3"/>
  <c r="T31" i="3" s="1"/>
  <c r="V67" i="3"/>
  <c r="S67" i="3"/>
  <c r="O67" i="3"/>
  <c r="V256" i="5"/>
  <c r="S256" i="5"/>
  <c r="O256" i="5"/>
  <c r="V257" i="5"/>
  <c r="S257" i="5"/>
  <c r="O257" i="5"/>
  <c r="V258" i="5"/>
  <c r="S258" i="5"/>
  <c r="O258" i="5"/>
  <c r="V65" i="3"/>
  <c r="S65" i="3"/>
  <c r="O65" i="3"/>
  <c r="V63" i="3"/>
  <c r="S63" i="3"/>
  <c r="T63" i="3" s="1"/>
  <c r="V137" i="5"/>
  <c r="S137" i="5"/>
  <c r="O137" i="5"/>
  <c r="V254" i="5"/>
  <c r="S254" i="5"/>
  <c r="O254" i="5"/>
  <c r="V197" i="5"/>
  <c r="S197" i="5"/>
  <c r="O197" i="5"/>
  <c r="T98" i="3" l="1"/>
  <c r="AB98" i="3" s="1"/>
  <c r="T67" i="3"/>
  <c r="AJ67" i="3" s="1"/>
  <c r="T122" i="3"/>
  <c r="AD122" i="3" s="1"/>
  <c r="T65" i="3"/>
  <c r="AI65" i="3" s="1"/>
  <c r="AE31" i="3"/>
  <c r="T257" i="5"/>
  <c r="W257" i="5" s="1"/>
  <c r="T202" i="5"/>
  <c r="W202" i="5" s="1"/>
  <c r="T259" i="5"/>
  <c r="W259" i="5" s="1"/>
  <c r="T256" i="5"/>
  <c r="W256" i="5" s="1"/>
  <c r="T205" i="5"/>
  <c r="W205" i="5" s="1"/>
  <c r="T137" i="5"/>
  <c r="W137" i="5" s="1"/>
  <c r="AF31" i="3"/>
  <c r="W31" i="3"/>
  <c r="AI31" i="3"/>
  <c r="T258" i="5"/>
  <c r="W258" i="5" s="1"/>
  <c r="AB31" i="3"/>
  <c r="AJ31" i="3"/>
  <c r="AG31" i="3"/>
  <c r="AC31" i="3"/>
  <c r="AD31" i="3"/>
  <c r="AH31" i="3"/>
  <c r="T254" i="5"/>
  <c r="W254" i="5" s="1"/>
  <c r="AD63" i="3"/>
  <c r="AC63" i="3"/>
  <c r="AJ63" i="3"/>
  <c r="AB63" i="3"/>
  <c r="AG63" i="3"/>
  <c r="AF63" i="3"/>
  <c r="AE63" i="3"/>
  <c r="AI63" i="3"/>
  <c r="W63" i="3"/>
  <c r="AH63" i="3"/>
  <c r="T197" i="5"/>
  <c r="W197" i="5" s="1"/>
  <c r="W65" i="3" l="1"/>
  <c r="AI122" i="3"/>
  <c r="AD65" i="3"/>
  <c r="AG67" i="3"/>
  <c r="AG65" i="3"/>
  <c r="AB67" i="3"/>
  <c r="AB65" i="3"/>
  <c r="AC65" i="3"/>
  <c r="AJ65" i="3"/>
  <c r="AH65" i="3"/>
  <c r="AF65" i="3"/>
  <c r="AE65" i="3"/>
  <c r="AD67" i="3"/>
  <c r="AH67" i="3"/>
  <c r="AF98" i="3"/>
  <c r="AF67" i="3"/>
  <c r="AH98" i="3"/>
  <c r="AG98" i="3"/>
  <c r="AI98" i="3"/>
  <c r="AJ98" i="3"/>
  <c r="W98" i="3"/>
  <c r="AE98" i="3"/>
  <c r="AD98" i="3"/>
  <c r="AC98" i="3"/>
  <c r="AB122" i="3"/>
  <c r="W67" i="3"/>
  <c r="AE67" i="3"/>
  <c r="AC67" i="3"/>
  <c r="AJ122" i="3"/>
  <c r="AI67" i="3"/>
  <c r="AF122" i="3"/>
  <c r="AE122" i="3"/>
  <c r="AG122" i="3"/>
  <c r="AC122" i="3"/>
  <c r="AH122" i="3"/>
  <c r="W122" i="3"/>
  <c r="AN31" i="3"/>
  <c r="AK31" i="3"/>
  <c r="AM31" i="3" s="1"/>
  <c r="AN63" i="3"/>
  <c r="AK63" i="3"/>
  <c r="AM63" i="3" s="1"/>
  <c r="AN65" i="3" l="1"/>
  <c r="AK65" i="3"/>
  <c r="AM65" i="3" s="1"/>
  <c r="AN98" i="3"/>
  <c r="AN67" i="3"/>
  <c r="AK98" i="3"/>
  <c r="AM98" i="3" s="1"/>
  <c r="AK122" i="3"/>
  <c r="AM122" i="3" s="1"/>
  <c r="AN122" i="3"/>
  <c r="AK67" i="3"/>
  <c r="AM67" i="3" s="1"/>
  <c r="U31" i="3"/>
  <c r="U63" i="3"/>
  <c r="V139" i="3"/>
  <c r="S139" i="3"/>
  <c r="O139" i="3"/>
  <c r="V92" i="3"/>
  <c r="S92" i="3"/>
  <c r="O92" i="3"/>
  <c r="V185" i="5"/>
  <c r="S185" i="5"/>
  <c r="O185" i="5"/>
  <c r="V249" i="5"/>
  <c r="S249" i="5"/>
  <c r="O249" i="5"/>
  <c r="V291" i="5"/>
  <c r="S291" i="5"/>
  <c r="O291" i="5"/>
  <c r="V121" i="3"/>
  <c r="S121" i="3"/>
  <c r="T121" i="3" s="1"/>
  <c r="V133" i="3"/>
  <c r="S133" i="3"/>
  <c r="O133" i="3"/>
  <c r="V206" i="5"/>
  <c r="S206" i="5"/>
  <c r="O206" i="5"/>
  <c r="V199" i="5"/>
  <c r="S199" i="5"/>
  <c r="O199" i="5"/>
  <c r="V201" i="5"/>
  <c r="S201" i="5"/>
  <c r="O201" i="5"/>
  <c r="V94" i="3"/>
  <c r="S94" i="3"/>
  <c r="O94" i="3"/>
  <c r="V64" i="3"/>
  <c r="S64" i="3"/>
  <c r="O64" i="3"/>
  <c r="V198" i="5"/>
  <c r="S198" i="5"/>
  <c r="O198" i="5"/>
  <c r="V193" i="5"/>
  <c r="S193" i="5"/>
  <c r="O193" i="5"/>
  <c r="V135" i="5"/>
  <c r="S135" i="5"/>
  <c r="O135" i="5"/>
  <c r="V61" i="3"/>
  <c r="S61" i="3"/>
  <c r="O61" i="3"/>
  <c r="V115" i="3"/>
  <c r="S115" i="3"/>
  <c r="O115" i="3"/>
  <c r="V191" i="5"/>
  <c r="S191" i="5"/>
  <c r="O191" i="5"/>
  <c r="V58" i="5"/>
  <c r="S58" i="5"/>
  <c r="O58" i="5"/>
  <c r="V118" i="5"/>
  <c r="S118" i="5"/>
  <c r="O118" i="5"/>
  <c r="U65" i="3" l="1"/>
  <c r="U67" i="3"/>
  <c r="U98" i="3"/>
  <c r="U122" i="3"/>
  <c r="T139" i="3"/>
  <c r="AB139" i="3" s="1"/>
  <c r="AE121" i="3"/>
  <c r="T92" i="3"/>
  <c r="AG92" i="3" s="1"/>
  <c r="T64" i="3"/>
  <c r="AG64" i="3" s="1"/>
  <c r="T115" i="3"/>
  <c r="AE115" i="3" s="1"/>
  <c r="T291" i="5"/>
  <c r="W291" i="5" s="1"/>
  <c r="T133" i="3"/>
  <c r="AC133" i="3" s="1"/>
  <c r="T61" i="3"/>
  <c r="AB61" i="3" s="1"/>
  <c r="T94" i="3"/>
  <c r="AE94" i="3" s="1"/>
  <c r="T193" i="5"/>
  <c r="W193" i="5" s="1"/>
  <c r="T199" i="5"/>
  <c r="W199" i="5" s="1"/>
  <c r="T249" i="5"/>
  <c r="W249" i="5" s="1"/>
  <c r="T185" i="5"/>
  <c r="W185" i="5" s="1"/>
  <c r="T206" i="5"/>
  <c r="W206" i="5" s="1"/>
  <c r="AG121" i="3"/>
  <c r="AH121" i="3"/>
  <c r="AI121" i="3"/>
  <c r="T201" i="5"/>
  <c r="W201" i="5" s="1"/>
  <c r="AB121" i="3"/>
  <c r="AJ121" i="3"/>
  <c r="AF121" i="3"/>
  <c r="W121" i="3"/>
  <c r="AC121" i="3"/>
  <c r="AD121" i="3"/>
  <c r="T135" i="5"/>
  <c r="W135" i="5" s="1"/>
  <c r="T198" i="5"/>
  <c r="W198" i="5" s="1"/>
  <c r="T58" i="5"/>
  <c r="W58" i="5" s="1"/>
  <c r="T191" i="5"/>
  <c r="W191" i="5" s="1"/>
  <c r="T118" i="5"/>
  <c r="W118" i="5" s="1"/>
  <c r="AH61" i="3" l="1"/>
  <c r="AI61" i="3"/>
  <c r="W61" i="3"/>
  <c r="AJ61" i="3"/>
  <c r="AC92" i="3"/>
  <c r="AJ92" i="3"/>
  <c r="AF61" i="3"/>
  <c r="AE61" i="3"/>
  <c r="AG139" i="3"/>
  <c r="AC61" i="3"/>
  <c r="AI92" i="3"/>
  <c r="AG61" i="3"/>
  <c r="AI139" i="3"/>
  <c r="AD61" i="3"/>
  <c r="AI64" i="3"/>
  <c r="AF94" i="3"/>
  <c r="AF92" i="3"/>
  <c r="AE92" i="3"/>
  <c r="W94" i="3"/>
  <c r="AJ64" i="3"/>
  <c r="AH115" i="3"/>
  <c r="AF64" i="3"/>
  <c r="AH64" i="3"/>
  <c r="AE64" i="3"/>
  <c r="AB115" i="3"/>
  <c r="AD64" i="3"/>
  <c r="AJ115" i="3"/>
  <c r="W115" i="3"/>
  <c r="AC64" i="3"/>
  <c r="AI94" i="3"/>
  <c r="AJ94" i="3"/>
  <c r="AD94" i="3"/>
  <c r="AH94" i="3"/>
  <c r="AB94" i="3"/>
  <c r="AG94" i="3"/>
  <c r="AC94" i="3"/>
  <c r="AI115" i="3"/>
  <c r="AB92" i="3"/>
  <c r="W92" i="3"/>
  <c r="AC115" i="3"/>
  <c r="AH92" i="3"/>
  <c r="AD92" i="3"/>
  <c r="AE139" i="3"/>
  <c r="AJ139" i="3"/>
  <c r="AD115" i="3"/>
  <c r="AF115" i="3"/>
  <c r="AB64" i="3"/>
  <c r="AF139" i="3"/>
  <c r="AC139" i="3"/>
  <c r="AD139" i="3"/>
  <c r="AG115" i="3"/>
  <c r="W64" i="3"/>
  <c r="AH139" i="3"/>
  <c r="W139" i="3"/>
  <c r="AG133" i="3"/>
  <c r="AD133" i="3"/>
  <c r="W133" i="3"/>
  <c r="AI133" i="3"/>
  <c r="AH133" i="3"/>
  <c r="AE133" i="3"/>
  <c r="AB133" i="3"/>
  <c r="AF133" i="3"/>
  <c r="AJ133" i="3"/>
  <c r="AN121" i="3"/>
  <c r="AK121" i="3"/>
  <c r="AM121" i="3" s="1"/>
  <c r="AK61" i="3" l="1"/>
  <c r="AM61" i="3" s="1"/>
  <c r="AN61" i="3"/>
  <c r="AK64" i="3"/>
  <c r="AM64" i="3" s="1"/>
  <c r="AN92" i="3"/>
  <c r="AK92" i="3"/>
  <c r="AM92" i="3" s="1"/>
  <c r="AN64" i="3"/>
  <c r="AN115" i="3"/>
  <c r="AK94" i="3"/>
  <c r="AM94" i="3" s="1"/>
  <c r="AN94" i="3"/>
  <c r="AK115" i="3"/>
  <c r="AM115" i="3" s="1"/>
  <c r="AN139" i="3"/>
  <c r="AK139" i="3"/>
  <c r="AM139" i="3" s="1"/>
  <c r="AK133" i="3"/>
  <c r="AM133" i="3" s="1"/>
  <c r="AN133" i="3"/>
  <c r="U121" i="3"/>
  <c r="U61" i="3" l="1"/>
  <c r="U115" i="3"/>
  <c r="U92" i="3"/>
  <c r="U64" i="3"/>
  <c r="U139" i="3"/>
  <c r="U94" i="3"/>
  <c r="U133" i="3"/>
  <c r="V22" i="5"/>
  <c r="S22" i="5"/>
  <c r="O22" i="5"/>
  <c r="T22" i="5" l="1"/>
  <c r="W22" i="5" s="1"/>
  <c r="V129" i="3"/>
  <c r="S129" i="3"/>
  <c r="O129" i="3"/>
  <c r="V181" i="5"/>
  <c r="S181" i="5"/>
  <c r="O181" i="5"/>
  <c r="V139" i="5"/>
  <c r="S139" i="5"/>
  <c r="O139" i="5"/>
  <c r="V166" i="5"/>
  <c r="S166" i="5"/>
  <c r="O166" i="5"/>
  <c r="V158" i="5"/>
  <c r="S158" i="5"/>
  <c r="O158" i="5"/>
  <c r="V220" i="5"/>
  <c r="S220" i="5"/>
  <c r="O220" i="5"/>
  <c r="T129" i="3" l="1"/>
  <c r="AB129" i="3" s="1"/>
  <c r="T181" i="5"/>
  <c r="W181" i="5" s="1"/>
  <c r="T158" i="5"/>
  <c r="W158" i="5" s="1"/>
  <c r="T139" i="5"/>
  <c r="W139" i="5" s="1"/>
  <c r="T166" i="5"/>
  <c r="W166" i="5" s="1"/>
  <c r="T220" i="5"/>
  <c r="W220" i="5" s="1"/>
  <c r="AD129" i="3" l="1"/>
  <c r="AF129" i="3"/>
  <c r="AH129" i="3"/>
  <c r="W129" i="3"/>
  <c r="AG129" i="3"/>
  <c r="AI129" i="3"/>
  <c r="AJ129" i="3"/>
  <c r="AC129" i="3"/>
  <c r="AE129" i="3"/>
  <c r="AK129" i="3" l="1"/>
  <c r="AM129" i="3" s="1"/>
  <c r="AN129" i="3"/>
  <c r="V17" i="3"/>
  <c r="S17" i="3"/>
  <c r="O17" i="3"/>
  <c r="V18" i="3"/>
  <c r="S18" i="3"/>
  <c r="O18" i="3"/>
  <c r="V27" i="3"/>
  <c r="S27" i="3"/>
  <c r="O27" i="3"/>
  <c r="V33" i="3"/>
  <c r="S33" i="3"/>
  <c r="O33" i="3"/>
  <c r="V24" i="3"/>
  <c r="S24" i="3"/>
  <c r="O24" i="3"/>
  <c r="U129" i="3" l="1"/>
  <c r="T24" i="3"/>
  <c r="W24" i="3" s="1"/>
  <c r="T33" i="3"/>
  <c r="W33" i="3" s="1"/>
  <c r="T17" i="3"/>
  <c r="W17" i="3" s="1"/>
  <c r="T18" i="3"/>
  <c r="W18" i="3" s="1"/>
  <c r="T27" i="3"/>
  <c r="W27" i="3" s="1"/>
  <c r="V106" i="5" l="1"/>
  <c r="S106" i="5"/>
  <c r="O106" i="5"/>
  <c r="V141" i="5"/>
  <c r="S141" i="5"/>
  <c r="O141" i="5"/>
  <c r="V100" i="5"/>
  <c r="S100" i="5"/>
  <c r="O100" i="5"/>
  <c r="T100" i="5" l="1"/>
  <c r="AF100" i="5" s="1"/>
  <c r="T141" i="5"/>
  <c r="AG141" i="5" s="1"/>
  <c r="T106" i="5"/>
  <c r="AJ106" i="5" s="1"/>
  <c r="AH106" i="5" l="1"/>
  <c r="AD100" i="5"/>
  <c r="W106" i="5"/>
  <c r="AC106" i="5"/>
  <c r="W100" i="5"/>
  <c r="AI106" i="5"/>
  <c r="AC100" i="5"/>
  <c r="AB106" i="5"/>
  <c r="AE100" i="5"/>
  <c r="AF106" i="5"/>
  <c r="AI100" i="5"/>
  <c r="AE106" i="5"/>
  <c r="AG106" i="5"/>
  <c r="AD106" i="5"/>
  <c r="AH100" i="5"/>
  <c r="AJ100" i="5"/>
  <c r="AD141" i="5"/>
  <c r="AB100" i="5"/>
  <c r="AG100" i="5"/>
  <c r="AH141" i="5"/>
  <c r="W141" i="5"/>
  <c r="AE141" i="5"/>
  <c r="AI141" i="5"/>
  <c r="AB141" i="5"/>
  <c r="AF141" i="5"/>
  <c r="AJ141" i="5"/>
  <c r="AC141" i="5"/>
  <c r="AN106" i="5" l="1"/>
  <c r="AK106" i="5"/>
  <c r="AM106" i="5" s="1"/>
  <c r="AN100" i="5"/>
  <c r="AK100" i="5"/>
  <c r="AM100" i="5" s="1"/>
  <c r="AN141" i="5"/>
  <c r="AK141" i="5"/>
  <c r="AM141" i="5" s="1"/>
  <c r="U106" i="5" l="1"/>
  <c r="U100" i="5"/>
  <c r="U141" i="5"/>
  <c r="V126" i="3"/>
  <c r="S126" i="3"/>
  <c r="O126" i="3"/>
  <c r="V113" i="3"/>
  <c r="S113" i="3"/>
  <c r="O113" i="3"/>
  <c r="V106" i="3"/>
  <c r="S106" i="3"/>
  <c r="O106" i="3"/>
  <c r="V104" i="3"/>
  <c r="S104" i="3"/>
  <c r="O104" i="3"/>
  <c r="V76" i="3"/>
  <c r="S76" i="3"/>
  <c r="O76" i="3"/>
  <c r="V88" i="3"/>
  <c r="S88" i="3"/>
  <c r="O88" i="3"/>
  <c r="T113" i="3" l="1"/>
  <c r="AC113" i="3" s="1"/>
  <c r="T106" i="3"/>
  <c r="AF106" i="3" s="1"/>
  <c r="T76" i="3"/>
  <c r="AF76" i="3" s="1"/>
  <c r="T126" i="3"/>
  <c r="AJ126" i="3" s="1"/>
  <c r="T104" i="3"/>
  <c r="AI104" i="3" s="1"/>
  <c r="T88" i="3"/>
  <c r="AG88" i="3" s="1"/>
  <c r="AD113" i="3" l="1"/>
  <c r="AI113" i="3"/>
  <c r="AJ113" i="3"/>
  <c r="AB126" i="3"/>
  <c r="AF113" i="3"/>
  <c r="W113" i="3"/>
  <c r="AB113" i="3"/>
  <c r="AH113" i="3"/>
  <c r="AE113" i="3"/>
  <c r="AG113" i="3"/>
  <c r="W76" i="3"/>
  <c r="W126" i="3"/>
  <c r="AG126" i="3"/>
  <c r="AI126" i="3"/>
  <c r="AD126" i="3"/>
  <c r="AF126" i="3"/>
  <c r="AC126" i="3"/>
  <c r="AH76" i="3"/>
  <c r="W106" i="3"/>
  <c r="AJ76" i="3"/>
  <c r="AC106" i="3"/>
  <c r="AJ104" i="3"/>
  <c r="AF104" i="3"/>
  <c r="AH104" i="3"/>
  <c r="AC104" i="3"/>
  <c r="AE104" i="3"/>
  <c r="W104" i="3"/>
  <c r="AB104" i="3"/>
  <c r="AG104" i="3"/>
  <c r="AD104" i="3"/>
  <c r="AD88" i="3"/>
  <c r="AH88" i="3"/>
  <c r="AF88" i="3"/>
  <c r="AJ88" i="3"/>
  <c r="AE88" i="3"/>
  <c r="AI88" i="3"/>
  <c r="AB88" i="3"/>
  <c r="AE126" i="3"/>
  <c r="AH126" i="3"/>
  <c r="W88" i="3"/>
  <c r="AH106" i="3"/>
  <c r="AJ106" i="3"/>
  <c r="AE106" i="3"/>
  <c r="AB106" i="3"/>
  <c r="AG106" i="3"/>
  <c r="AD106" i="3"/>
  <c r="AI106" i="3"/>
  <c r="AC76" i="3"/>
  <c r="AE76" i="3"/>
  <c r="AB76" i="3"/>
  <c r="AG76" i="3"/>
  <c r="AD76" i="3"/>
  <c r="AI76" i="3"/>
  <c r="AC88" i="3"/>
  <c r="AN113" i="3" l="1"/>
  <c r="AK113" i="3"/>
  <c r="AM113" i="3" s="1"/>
  <c r="AK126" i="3"/>
  <c r="AM126" i="3" s="1"/>
  <c r="AK104" i="3"/>
  <c r="AM104" i="3" s="1"/>
  <c r="AN126" i="3"/>
  <c r="AN104" i="3"/>
  <c r="AN88" i="3"/>
  <c r="AK88" i="3"/>
  <c r="AM88" i="3" s="1"/>
  <c r="AN106" i="3"/>
  <c r="AN76" i="3"/>
  <c r="AK106" i="3"/>
  <c r="AM106" i="3" s="1"/>
  <c r="AK76" i="3"/>
  <c r="AM76" i="3" s="1"/>
  <c r="V219" i="5"/>
  <c r="S219" i="5"/>
  <c r="T219" i="5" s="1"/>
  <c r="V151" i="5"/>
  <c r="S151" i="5"/>
  <c r="O151" i="5"/>
  <c r="V153" i="5"/>
  <c r="S153" i="5"/>
  <c r="O153" i="5"/>
  <c r="V165" i="5"/>
  <c r="S165" i="5"/>
  <c r="O165" i="5"/>
  <c r="V76" i="5"/>
  <c r="S76" i="5"/>
  <c r="O76" i="5"/>
  <c r="V32" i="3"/>
  <c r="S32" i="3"/>
  <c r="O32" i="3"/>
  <c r="AN75" i="3"/>
  <c r="AK75" i="3"/>
  <c r="AM75" i="3" s="1"/>
  <c r="AJ75" i="3"/>
  <c r="AI75" i="3"/>
  <c r="AH75" i="3"/>
  <c r="AG75" i="3"/>
  <c r="AF75" i="3"/>
  <c r="AE75" i="3"/>
  <c r="AD75" i="3"/>
  <c r="AC75" i="3"/>
  <c r="AB75" i="3"/>
  <c r="V124" i="3"/>
  <c r="O124" i="3"/>
  <c r="T124" i="3" s="1"/>
  <c r="V107" i="3"/>
  <c r="S107" i="3"/>
  <c r="O107" i="3"/>
  <c r="V47" i="3"/>
  <c r="S47" i="3"/>
  <c r="O47" i="3"/>
  <c r="U113" i="3" l="1"/>
  <c r="U126" i="3"/>
  <c r="U104" i="3"/>
  <c r="U88" i="3"/>
  <c r="U76" i="3"/>
  <c r="U106" i="3"/>
  <c r="AJ219" i="5"/>
  <c r="AH219" i="5"/>
  <c r="AF219" i="5"/>
  <c r="AD219" i="5"/>
  <c r="AB219" i="5"/>
  <c r="AI219" i="5"/>
  <c r="AE219" i="5"/>
  <c r="W219" i="5"/>
  <c r="AG219" i="5"/>
  <c r="AC219" i="5"/>
  <c r="T151" i="5"/>
  <c r="AE151" i="5" s="1"/>
  <c r="T76" i="5"/>
  <c r="AE76" i="5" s="1"/>
  <c r="T165" i="5"/>
  <c r="AG165" i="5" s="1"/>
  <c r="T153" i="5"/>
  <c r="W153" i="5" s="1"/>
  <c r="T32" i="3"/>
  <c r="AG32" i="3" s="1"/>
  <c r="AI124" i="3"/>
  <c r="T107" i="3"/>
  <c r="AG107" i="3" s="1"/>
  <c r="T47" i="3"/>
  <c r="AG47" i="3" s="1"/>
  <c r="AB124" i="3"/>
  <c r="AD124" i="3"/>
  <c r="AF124" i="3"/>
  <c r="AH124" i="3"/>
  <c r="AJ124" i="3"/>
  <c r="W124" i="3"/>
  <c r="AC124" i="3"/>
  <c r="AE124" i="3"/>
  <c r="AG124" i="3"/>
  <c r="AD151" i="5" l="1"/>
  <c r="AF151" i="5"/>
  <c r="AG151" i="5"/>
  <c r="W151" i="5"/>
  <c r="AB151" i="5"/>
  <c r="AJ107" i="3"/>
  <c r="AI151" i="5"/>
  <c r="W107" i="3"/>
  <c r="AD32" i="3"/>
  <c r="AH32" i="3"/>
  <c r="AC32" i="3"/>
  <c r="AJ32" i="3"/>
  <c r="W32" i="3"/>
  <c r="AE32" i="3"/>
  <c r="AI32" i="3"/>
  <c r="AB107" i="3"/>
  <c r="AI107" i="3"/>
  <c r="AF32" i="3"/>
  <c r="AC107" i="3"/>
  <c r="AD107" i="3"/>
  <c r="AF107" i="3"/>
  <c r="AH107" i="3"/>
  <c r="AB32" i="3"/>
  <c r="AH151" i="5"/>
  <c r="AJ151" i="5"/>
  <c r="AC151" i="5"/>
  <c r="AC153" i="5"/>
  <c r="AE153" i="5"/>
  <c r="AH76" i="5"/>
  <c r="AF76" i="5"/>
  <c r="AB153" i="5"/>
  <c r="AG153" i="5"/>
  <c r="AD153" i="5"/>
  <c r="AI153" i="5"/>
  <c r="AF153" i="5"/>
  <c r="AH153" i="5"/>
  <c r="AJ153" i="5"/>
  <c r="AC165" i="5"/>
  <c r="AE47" i="3"/>
  <c r="AB76" i="5"/>
  <c r="AG76" i="5"/>
  <c r="AD165" i="5"/>
  <c r="AI47" i="3"/>
  <c r="AD76" i="5"/>
  <c r="AI76" i="5"/>
  <c r="AF165" i="5"/>
  <c r="AB165" i="5"/>
  <c r="AJ165" i="5"/>
  <c r="AE165" i="5"/>
  <c r="W76" i="5"/>
  <c r="AI165" i="5"/>
  <c r="AH165" i="5"/>
  <c r="AJ76" i="5"/>
  <c r="AH47" i="3"/>
  <c r="AE107" i="3"/>
  <c r="AC76" i="5"/>
  <c r="W165" i="5"/>
  <c r="AD47" i="3"/>
  <c r="W47" i="3"/>
  <c r="AK219" i="5"/>
  <c r="AM219" i="5" s="1"/>
  <c r="AN219" i="5"/>
  <c r="AB47" i="3"/>
  <c r="AF47" i="3"/>
  <c r="AJ47" i="3"/>
  <c r="AC47" i="3"/>
  <c r="AN124" i="3"/>
  <c r="AK124" i="3"/>
  <c r="AM124" i="3" s="1"/>
  <c r="AN107" i="3" l="1"/>
  <c r="AN32" i="3"/>
  <c r="AK107" i="3"/>
  <c r="AM107" i="3" s="1"/>
  <c r="AK32" i="3"/>
  <c r="AM32" i="3" s="1"/>
  <c r="AN151" i="5"/>
  <c r="AK151" i="5"/>
  <c r="AM151" i="5" s="1"/>
  <c r="AN47" i="3"/>
  <c r="AN153" i="5"/>
  <c r="AK153" i="5"/>
  <c r="AM153" i="5" s="1"/>
  <c r="AN76" i="5"/>
  <c r="AK76" i="5"/>
  <c r="AM76" i="5" s="1"/>
  <c r="AK165" i="5"/>
  <c r="AM165" i="5" s="1"/>
  <c r="AN165" i="5"/>
  <c r="AK47" i="3"/>
  <c r="AM47" i="3" s="1"/>
  <c r="U219" i="5"/>
  <c r="U124" i="3"/>
  <c r="U107" i="3" l="1"/>
  <c r="U32" i="3"/>
  <c r="U47" i="3"/>
  <c r="U151" i="5"/>
  <c r="U153" i="5"/>
  <c r="U76" i="5"/>
  <c r="U165" i="5"/>
  <c r="AA8" i="3"/>
  <c r="S8" i="3" s="1"/>
  <c r="Z8" i="3"/>
  <c r="O8" i="3" s="1"/>
  <c r="V8" i="3"/>
  <c r="S7" i="3"/>
  <c r="AA7" i="3"/>
  <c r="O7" i="3" s="1"/>
  <c r="V7" i="3"/>
  <c r="AB7" i="5"/>
  <c r="S7" i="5" s="1"/>
  <c r="AA7" i="5"/>
  <c r="O7" i="5" s="1"/>
  <c r="V7" i="5"/>
  <c r="T7" i="5" l="1"/>
  <c r="W7" i="5" s="1"/>
  <c r="T8" i="3"/>
  <c r="W8" i="3" s="1"/>
  <c r="T7" i="3"/>
  <c r="W7" i="3" s="1"/>
  <c r="V57" i="3"/>
  <c r="S57" i="3"/>
  <c r="O57" i="3"/>
  <c r="V105" i="3"/>
  <c r="S105" i="3"/>
  <c r="T105" i="3" s="1"/>
  <c r="W105" i="3" s="1"/>
  <c r="V109" i="3"/>
  <c r="S109" i="3"/>
  <c r="O109" i="3"/>
  <c r="V13" i="3"/>
  <c r="S13" i="3"/>
  <c r="O13" i="3"/>
  <c r="V21" i="3"/>
  <c r="S21" i="3"/>
  <c r="O21" i="3"/>
  <c r="V26" i="3"/>
  <c r="S26" i="3"/>
  <c r="O26" i="3"/>
  <c r="O155" i="5"/>
  <c r="S155" i="5"/>
  <c r="V155" i="5"/>
  <c r="O111" i="5"/>
  <c r="S111" i="5"/>
  <c r="V111" i="5"/>
  <c r="O150" i="5"/>
  <c r="S150" i="5"/>
  <c r="V150" i="5"/>
  <c r="T155" i="5" l="1"/>
  <c r="W155" i="5" s="1"/>
  <c r="T111" i="5"/>
  <c r="W111" i="5" s="1"/>
  <c r="T150" i="5"/>
  <c r="W150" i="5" s="1"/>
  <c r="T26" i="3"/>
  <c r="W26" i="3" s="1"/>
  <c r="T57" i="3"/>
  <c r="W57" i="3" s="1"/>
  <c r="T21" i="3"/>
  <c r="T13" i="3"/>
  <c r="T109" i="3"/>
  <c r="W109" i="3" s="1"/>
  <c r="V110" i="3"/>
  <c r="S110" i="3"/>
  <c r="O110" i="3"/>
  <c r="V53" i="3"/>
  <c r="S53" i="3"/>
  <c r="O53" i="3"/>
  <c r="V66" i="3"/>
  <c r="S66" i="3"/>
  <c r="O66" i="3"/>
  <c r="S141" i="3"/>
  <c r="O141" i="3"/>
  <c r="V173" i="5"/>
  <c r="S173" i="5"/>
  <c r="O173" i="5"/>
  <c r="V184" i="5"/>
  <c r="S184" i="5"/>
  <c r="O184" i="5"/>
  <c r="V196" i="5"/>
  <c r="S196" i="5"/>
  <c r="O196" i="5"/>
  <c r="V250" i="5"/>
  <c r="S250" i="5"/>
  <c r="O250" i="5"/>
  <c r="V253" i="5"/>
  <c r="S253" i="5"/>
  <c r="O253" i="5"/>
  <c r="V195" i="5"/>
  <c r="S195" i="5"/>
  <c r="O195" i="5"/>
  <c r="V190" i="5"/>
  <c r="S190" i="5"/>
  <c r="O190" i="5"/>
  <c r="V138" i="5"/>
  <c r="S138" i="5"/>
  <c r="O138" i="5"/>
  <c r="V131" i="5"/>
  <c r="S131" i="5"/>
  <c r="O131" i="5"/>
  <c r="V55" i="5"/>
  <c r="S55" i="5"/>
  <c r="O55" i="5"/>
  <c r="V42" i="5"/>
  <c r="S42" i="5"/>
  <c r="O42" i="5"/>
  <c r="V207" i="5"/>
  <c r="S207" i="5"/>
  <c r="O207" i="5"/>
  <c r="V69" i="5"/>
  <c r="S69" i="5"/>
  <c r="O69" i="5"/>
  <c r="V209" i="5"/>
  <c r="S209" i="5"/>
  <c r="O209" i="5"/>
  <c r="V64" i="5"/>
  <c r="S64" i="5"/>
  <c r="O64" i="5"/>
  <c r="V272" i="5"/>
  <c r="S272" i="5"/>
  <c r="O272" i="5"/>
  <c r="V244" i="5"/>
  <c r="S244" i="5"/>
  <c r="O244" i="5"/>
  <c r="V126" i="5"/>
  <c r="S126" i="5"/>
  <c r="O126" i="5"/>
  <c r="V283" i="5"/>
  <c r="S283" i="5"/>
  <c r="O283" i="5"/>
  <c r="T295" i="5"/>
  <c r="W295" i="5" s="1"/>
  <c r="W21" i="3" l="1"/>
  <c r="AI21" i="3"/>
  <c r="AF21" i="3"/>
  <c r="AD21" i="3"/>
  <c r="AH21" i="3"/>
  <c r="AJ21" i="3"/>
  <c r="AG21" i="3"/>
  <c r="AE21" i="3"/>
  <c r="AB21" i="3"/>
  <c r="AC21" i="3"/>
  <c r="W13" i="3"/>
  <c r="AJ13" i="3"/>
  <c r="AB13" i="3"/>
  <c r="AD13" i="3"/>
  <c r="AI13" i="3"/>
  <c r="AH13" i="3"/>
  <c r="AG13" i="3"/>
  <c r="AF13" i="3"/>
  <c r="AE13" i="3"/>
  <c r="AC13" i="3"/>
  <c r="T141" i="3"/>
  <c r="W141" i="3" s="1"/>
  <c r="T53" i="3"/>
  <c r="W53" i="3" s="1"/>
  <c r="T69" i="5"/>
  <c r="W69" i="5" s="1"/>
  <c r="T250" i="5"/>
  <c r="W250" i="5" s="1"/>
  <c r="T283" i="5"/>
  <c r="W283" i="5" s="1"/>
  <c r="T55" i="5"/>
  <c r="W55" i="5" s="1"/>
  <c r="T126" i="5"/>
  <c r="W126" i="5" s="1"/>
  <c r="T244" i="5"/>
  <c r="W244" i="5" s="1"/>
  <c r="T209" i="5"/>
  <c r="W209" i="5" s="1"/>
  <c r="T195" i="5"/>
  <c r="W195" i="5" s="1"/>
  <c r="T138" i="5"/>
  <c r="W138" i="5" s="1"/>
  <c r="T272" i="5"/>
  <c r="W272" i="5" s="1"/>
  <c r="T64" i="5"/>
  <c r="W64" i="5" s="1"/>
  <c r="T207" i="5"/>
  <c r="W207" i="5" s="1"/>
  <c r="T42" i="5"/>
  <c r="W42" i="5" s="1"/>
  <c r="T131" i="5"/>
  <c r="W131" i="5" s="1"/>
  <c r="T190" i="5"/>
  <c r="W190" i="5" s="1"/>
  <c r="T253" i="5"/>
  <c r="W253" i="5" s="1"/>
  <c r="T196" i="5"/>
  <c r="W196" i="5" s="1"/>
  <c r="T184" i="5"/>
  <c r="W184" i="5" s="1"/>
  <c r="T173" i="5"/>
  <c r="W173" i="5" s="1"/>
  <c r="T66" i="3"/>
  <c r="W66" i="3" s="1"/>
  <c r="T110" i="3"/>
  <c r="W110" i="3" s="1"/>
  <c r="AN21" i="3" l="1"/>
  <c r="AK21" i="3"/>
  <c r="AM21" i="3" s="1"/>
  <c r="AN13" i="3"/>
  <c r="AK13" i="3"/>
  <c r="AM13" i="3" s="1"/>
  <c r="U13" i="3" s="1"/>
  <c r="V214" i="5"/>
  <c r="S214" i="5"/>
  <c r="O214" i="5"/>
  <c r="V159" i="5"/>
  <c r="S159" i="5"/>
  <c r="O159" i="5"/>
  <c r="V130" i="5"/>
  <c r="S130" i="5"/>
  <c r="O130" i="5"/>
  <c r="V83" i="5"/>
  <c r="S83" i="5"/>
  <c r="O83" i="5"/>
  <c r="V203" i="5"/>
  <c r="S203" i="5"/>
  <c r="O203" i="5"/>
  <c r="V229" i="5"/>
  <c r="S229" i="5"/>
  <c r="O229" i="5"/>
  <c r="V127" i="5"/>
  <c r="S127" i="5"/>
  <c r="O127" i="5"/>
  <c r="V234" i="5"/>
  <c r="S234" i="5"/>
  <c r="O234" i="5"/>
  <c r="V121" i="5"/>
  <c r="S121" i="5"/>
  <c r="O121" i="5"/>
  <c r="V93" i="5"/>
  <c r="S93" i="5"/>
  <c r="O93" i="5"/>
  <c r="T234" i="5" l="1"/>
  <c r="W234" i="5" s="1"/>
  <c r="T229" i="5"/>
  <c r="W229" i="5" s="1"/>
  <c r="T83" i="5"/>
  <c r="W83" i="5" s="1"/>
  <c r="T159" i="5"/>
  <c r="W159" i="5" s="1"/>
  <c r="T214" i="5"/>
  <c r="W214" i="5" s="1"/>
  <c r="T93" i="5"/>
  <c r="W93" i="5" s="1"/>
  <c r="T121" i="5"/>
  <c r="W121" i="5" s="1"/>
  <c r="T127" i="5"/>
  <c r="W127" i="5" s="1"/>
  <c r="T203" i="5"/>
  <c r="W203" i="5" s="1"/>
  <c r="T130" i="5"/>
  <c r="W130" i="5" s="1"/>
  <c r="V127" i="3" l="1"/>
  <c r="S127" i="3"/>
  <c r="O127" i="3"/>
  <c r="T127" i="3" l="1"/>
  <c r="W127" i="3" s="1"/>
  <c r="S125" i="3"/>
  <c r="O125" i="3"/>
  <c r="S83" i="3" l="1"/>
  <c r="S268" i="5" l="1"/>
  <c r="S208" i="5"/>
  <c r="S105" i="5"/>
  <c r="S65" i="5"/>
  <c r="S89" i="5"/>
  <c r="S86" i="5"/>
  <c r="S145" i="5"/>
  <c r="S154" i="5"/>
  <c r="S148" i="5"/>
  <c r="S221" i="5"/>
  <c r="S213" i="5"/>
  <c r="AB24" i="3" l="1"/>
  <c r="AC24" i="3"/>
  <c r="AD24" i="3"/>
  <c r="AE24" i="3"/>
  <c r="AF24" i="3"/>
  <c r="AG24" i="3"/>
  <c r="AH24" i="3"/>
  <c r="AI24" i="3"/>
  <c r="AJ24" i="3"/>
  <c r="AB33" i="3"/>
  <c r="AC33" i="3"/>
  <c r="AD33" i="3"/>
  <c r="AE33" i="3"/>
  <c r="AF33" i="3"/>
  <c r="AG33" i="3"/>
  <c r="AH33" i="3"/>
  <c r="AI33" i="3"/>
  <c r="AJ33" i="3"/>
  <c r="AB27" i="3"/>
  <c r="AC27" i="3"/>
  <c r="AD27" i="3"/>
  <c r="AE27" i="3"/>
  <c r="AF27" i="3"/>
  <c r="AG27" i="3"/>
  <c r="AH27" i="3"/>
  <c r="AI27" i="3"/>
  <c r="AJ27" i="3"/>
  <c r="AB18" i="3"/>
  <c r="AC18" i="3"/>
  <c r="AD18" i="3"/>
  <c r="AE18" i="3"/>
  <c r="AF18" i="3"/>
  <c r="AG18" i="3"/>
  <c r="AH18" i="3"/>
  <c r="AI18" i="3"/>
  <c r="AJ18" i="3"/>
  <c r="AB17" i="3"/>
  <c r="AC17" i="3"/>
  <c r="AD17" i="3"/>
  <c r="AE17" i="3"/>
  <c r="AF17" i="3"/>
  <c r="AG17" i="3"/>
  <c r="AH17" i="3"/>
  <c r="AI17" i="3"/>
  <c r="AJ17" i="3"/>
  <c r="AB157" i="3"/>
  <c r="AC157" i="3"/>
  <c r="AD157" i="3"/>
  <c r="AE157" i="3"/>
  <c r="AF157" i="3"/>
  <c r="AG157" i="3"/>
  <c r="AH157" i="3"/>
  <c r="AI157" i="3"/>
  <c r="AJ157" i="3"/>
  <c r="AK157" i="3"/>
  <c r="AM157" i="3" s="1"/>
  <c r="AN157" i="3"/>
  <c r="AB158" i="3"/>
  <c r="AC158" i="3"/>
  <c r="AD158" i="3"/>
  <c r="AE158" i="3"/>
  <c r="AF158" i="3"/>
  <c r="AG158" i="3"/>
  <c r="AH158" i="3"/>
  <c r="AI158" i="3"/>
  <c r="AJ158" i="3"/>
  <c r="AK158" i="3"/>
  <c r="AM158" i="3" s="1"/>
  <c r="AN158" i="3"/>
  <c r="AB159" i="3"/>
  <c r="AC159" i="3"/>
  <c r="AD159" i="3"/>
  <c r="AE159" i="3"/>
  <c r="AF159" i="3"/>
  <c r="AG159" i="3"/>
  <c r="AH159" i="3"/>
  <c r="AI159" i="3"/>
  <c r="AJ159" i="3"/>
  <c r="AK159" i="3"/>
  <c r="AM159" i="3" s="1"/>
  <c r="AN159" i="3"/>
  <c r="AB160" i="3"/>
  <c r="AC160" i="3"/>
  <c r="AD160" i="3"/>
  <c r="AE160" i="3"/>
  <c r="AF160" i="3"/>
  <c r="AG160" i="3"/>
  <c r="AH160" i="3"/>
  <c r="AI160" i="3"/>
  <c r="AJ160" i="3"/>
  <c r="AK160" i="3"/>
  <c r="AM160" i="3" s="1"/>
  <c r="AN160" i="3"/>
  <c r="AB161" i="3"/>
  <c r="AC161" i="3"/>
  <c r="AD161" i="3"/>
  <c r="AE161" i="3"/>
  <c r="AF161" i="3"/>
  <c r="AG161" i="3"/>
  <c r="AH161" i="3"/>
  <c r="AI161" i="3"/>
  <c r="AJ161" i="3"/>
  <c r="AK161" i="3"/>
  <c r="AM161" i="3" s="1"/>
  <c r="AN161" i="3"/>
  <c r="AB162" i="3"/>
  <c r="AC162" i="3"/>
  <c r="AD162" i="3"/>
  <c r="AE162" i="3"/>
  <c r="AF162" i="3"/>
  <c r="AG162" i="3"/>
  <c r="AH162" i="3"/>
  <c r="AI162" i="3"/>
  <c r="AJ162" i="3"/>
  <c r="AK162" i="3"/>
  <c r="AM162" i="3" s="1"/>
  <c r="AN162" i="3"/>
  <c r="AB163" i="3"/>
  <c r="AC163" i="3"/>
  <c r="AD163" i="3"/>
  <c r="AE163" i="3"/>
  <c r="AF163" i="3"/>
  <c r="AG163" i="3"/>
  <c r="AH163" i="3"/>
  <c r="AI163" i="3"/>
  <c r="AJ163" i="3"/>
  <c r="AK163" i="3"/>
  <c r="AM163" i="3" s="1"/>
  <c r="AN163" i="3"/>
  <c r="AB164" i="3"/>
  <c r="AC164" i="3"/>
  <c r="AD164" i="3"/>
  <c r="AE164" i="3"/>
  <c r="AF164" i="3"/>
  <c r="AG164" i="3"/>
  <c r="AH164" i="3"/>
  <c r="AI164" i="3"/>
  <c r="AJ164" i="3"/>
  <c r="AK164" i="3"/>
  <c r="AM164" i="3" s="1"/>
  <c r="AN164" i="3"/>
  <c r="AB165" i="3"/>
  <c r="AC165" i="3"/>
  <c r="AD165" i="3"/>
  <c r="AE165" i="3"/>
  <c r="AF165" i="3"/>
  <c r="AG165" i="3"/>
  <c r="AH165" i="3"/>
  <c r="AI165" i="3"/>
  <c r="AJ165" i="3"/>
  <c r="AK165" i="3"/>
  <c r="AM165" i="3" s="1"/>
  <c r="AN165" i="3"/>
  <c r="AB166" i="3"/>
  <c r="AC166" i="3"/>
  <c r="AD166" i="3"/>
  <c r="AE166" i="3"/>
  <c r="AF166" i="3"/>
  <c r="AG166" i="3"/>
  <c r="AH166" i="3"/>
  <c r="AI166" i="3"/>
  <c r="AJ166" i="3"/>
  <c r="AK166" i="3"/>
  <c r="AM166" i="3" s="1"/>
  <c r="AN166" i="3"/>
  <c r="AB167" i="3"/>
  <c r="AC167" i="3"/>
  <c r="AD167" i="3"/>
  <c r="AE167" i="3"/>
  <c r="AF167" i="3"/>
  <c r="AG167" i="3"/>
  <c r="AH167" i="3"/>
  <c r="AI167" i="3"/>
  <c r="AJ167" i="3"/>
  <c r="AK167" i="3"/>
  <c r="AM167" i="3" s="1"/>
  <c r="AN167" i="3"/>
  <c r="AB168" i="3"/>
  <c r="AC168" i="3"/>
  <c r="AD168" i="3"/>
  <c r="AE168" i="3"/>
  <c r="AF168" i="3"/>
  <c r="AG168" i="3"/>
  <c r="AH168" i="3"/>
  <c r="AI168" i="3"/>
  <c r="AJ168" i="3"/>
  <c r="AK168" i="3"/>
  <c r="AM168" i="3" s="1"/>
  <c r="AN168" i="3"/>
  <c r="AB169" i="3"/>
  <c r="AC169" i="3"/>
  <c r="AD169" i="3"/>
  <c r="AE169" i="3"/>
  <c r="AF169" i="3"/>
  <c r="AG169" i="3"/>
  <c r="AH169" i="3"/>
  <c r="AI169" i="3"/>
  <c r="AJ169" i="3"/>
  <c r="AK169" i="3"/>
  <c r="AM169" i="3" s="1"/>
  <c r="AN169" i="3"/>
  <c r="AB170" i="3"/>
  <c r="AC170" i="3"/>
  <c r="AD170" i="3"/>
  <c r="AE170" i="3"/>
  <c r="AF170" i="3"/>
  <c r="AG170" i="3"/>
  <c r="AH170" i="3"/>
  <c r="AI170" i="3"/>
  <c r="AJ170" i="3"/>
  <c r="AK170" i="3"/>
  <c r="AM170" i="3" s="1"/>
  <c r="AN170" i="3"/>
  <c r="AB171" i="3"/>
  <c r="AC171" i="3"/>
  <c r="AD171" i="3"/>
  <c r="AE171" i="3"/>
  <c r="AF171" i="3"/>
  <c r="AG171" i="3"/>
  <c r="AH171" i="3"/>
  <c r="AI171" i="3"/>
  <c r="AJ171" i="3"/>
  <c r="AK171" i="3"/>
  <c r="AM171" i="3" s="1"/>
  <c r="AN171" i="3"/>
  <c r="AB172" i="3"/>
  <c r="AC172" i="3"/>
  <c r="AD172" i="3"/>
  <c r="AE172" i="3"/>
  <c r="AF172" i="3"/>
  <c r="AG172" i="3"/>
  <c r="AH172" i="3"/>
  <c r="AI172" i="3"/>
  <c r="AJ172" i="3"/>
  <c r="AK172" i="3"/>
  <c r="AM172" i="3" s="1"/>
  <c r="AN172" i="3"/>
  <c r="AB173" i="3"/>
  <c r="AC173" i="3"/>
  <c r="AD173" i="3"/>
  <c r="AE173" i="3"/>
  <c r="AF173" i="3"/>
  <c r="AG173" i="3"/>
  <c r="AH173" i="3"/>
  <c r="AI173" i="3"/>
  <c r="AJ173" i="3"/>
  <c r="AK173" i="3"/>
  <c r="AM173" i="3" s="1"/>
  <c r="AN173" i="3"/>
  <c r="AB174" i="3"/>
  <c r="AC174" i="3"/>
  <c r="AD174" i="3"/>
  <c r="AE174" i="3"/>
  <c r="AF174" i="3"/>
  <c r="AG174" i="3"/>
  <c r="AH174" i="3"/>
  <c r="AI174" i="3"/>
  <c r="AJ174" i="3"/>
  <c r="AK174" i="3"/>
  <c r="AM174" i="3" s="1"/>
  <c r="AN174" i="3"/>
  <c r="AB175" i="3"/>
  <c r="AC175" i="3"/>
  <c r="AD175" i="3"/>
  <c r="AE175" i="3"/>
  <c r="AF175" i="3"/>
  <c r="AG175" i="3"/>
  <c r="AH175" i="3"/>
  <c r="AI175" i="3"/>
  <c r="AJ175" i="3"/>
  <c r="AK175" i="3"/>
  <c r="AM175" i="3" s="1"/>
  <c r="AN175" i="3"/>
  <c r="AB176" i="3"/>
  <c r="AC176" i="3"/>
  <c r="AD176" i="3"/>
  <c r="AE176" i="3"/>
  <c r="AF176" i="3"/>
  <c r="AG176" i="3"/>
  <c r="AH176" i="3"/>
  <c r="AI176" i="3"/>
  <c r="AJ176" i="3"/>
  <c r="AK176" i="3"/>
  <c r="AM176" i="3" s="1"/>
  <c r="AN176" i="3"/>
  <c r="AB177" i="3"/>
  <c r="AC177" i="3"/>
  <c r="AD177" i="3"/>
  <c r="AE177" i="3"/>
  <c r="AF177" i="3"/>
  <c r="AG177" i="3"/>
  <c r="AH177" i="3"/>
  <c r="AI177" i="3"/>
  <c r="AJ177" i="3"/>
  <c r="AK177" i="3"/>
  <c r="AM177" i="3" s="1"/>
  <c r="AN177" i="3"/>
  <c r="AB178" i="3"/>
  <c r="AC178" i="3"/>
  <c r="AD178" i="3"/>
  <c r="AE178" i="3"/>
  <c r="AF178" i="3"/>
  <c r="AG178" i="3"/>
  <c r="AH178" i="3"/>
  <c r="AI178" i="3"/>
  <c r="AJ178" i="3"/>
  <c r="AK178" i="3"/>
  <c r="AM178" i="3" s="1"/>
  <c r="AN178" i="3"/>
  <c r="AB179" i="3"/>
  <c r="AC179" i="3"/>
  <c r="AD179" i="3"/>
  <c r="AE179" i="3"/>
  <c r="AF179" i="3"/>
  <c r="AG179" i="3"/>
  <c r="AH179" i="3"/>
  <c r="AI179" i="3"/>
  <c r="AJ179" i="3"/>
  <c r="AK179" i="3"/>
  <c r="AM179" i="3" s="1"/>
  <c r="AN179" i="3"/>
  <c r="AB180" i="3"/>
  <c r="AC180" i="3"/>
  <c r="AD180" i="3"/>
  <c r="AE180" i="3"/>
  <c r="AF180" i="3"/>
  <c r="AG180" i="3"/>
  <c r="AH180" i="3"/>
  <c r="AI180" i="3"/>
  <c r="AJ180" i="3"/>
  <c r="AK180" i="3"/>
  <c r="AM180" i="3" s="1"/>
  <c r="AN180" i="3"/>
  <c r="AB181" i="3"/>
  <c r="AC181" i="3"/>
  <c r="AD181" i="3"/>
  <c r="AE181" i="3"/>
  <c r="AF181" i="3"/>
  <c r="AG181" i="3"/>
  <c r="AH181" i="3"/>
  <c r="AI181" i="3"/>
  <c r="AJ181" i="3"/>
  <c r="AK181" i="3"/>
  <c r="AM181" i="3" s="1"/>
  <c r="AN181" i="3"/>
  <c r="AB182" i="3"/>
  <c r="AC182" i="3"/>
  <c r="AD182" i="3"/>
  <c r="AE182" i="3"/>
  <c r="AF182" i="3"/>
  <c r="AG182" i="3"/>
  <c r="AH182" i="3"/>
  <c r="AI182" i="3"/>
  <c r="AJ182" i="3"/>
  <c r="AK182" i="3"/>
  <c r="AM182" i="3" s="1"/>
  <c r="AN182" i="3"/>
  <c r="AB183" i="3"/>
  <c r="AC183" i="3"/>
  <c r="AD183" i="3"/>
  <c r="AE183" i="3"/>
  <c r="AF183" i="3"/>
  <c r="AG183" i="3"/>
  <c r="AH183" i="3"/>
  <c r="AI183" i="3"/>
  <c r="AJ183" i="3"/>
  <c r="AK183" i="3"/>
  <c r="AM183" i="3" s="1"/>
  <c r="AN183" i="3"/>
  <c r="AB184" i="3"/>
  <c r="AC184" i="3"/>
  <c r="AD184" i="3"/>
  <c r="AE184" i="3"/>
  <c r="AF184" i="3"/>
  <c r="AG184" i="3"/>
  <c r="AH184" i="3"/>
  <c r="AI184" i="3"/>
  <c r="AJ184" i="3"/>
  <c r="AK184" i="3"/>
  <c r="AM184" i="3" s="1"/>
  <c r="AN184" i="3"/>
  <c r="AB185" i="3"/>
  <c r="AC185" i="3"/>
  <c r="AD185" i="3"/>
  <c r="AE185" i="3"/>
  <c r="AF185" i="3"/>
  <c r="AG185" i="3"/>
  <c r="AH185" i="3"/>
  <c r="AI185" i="3"/>
  <c r="AJ185" i="3"/>
  <c r="AK185" i="3"/>
  <c r="AM185" i="3" s="1"/>
  <c r="AN185" i="3"/>
  <c r="AB186" i="3"/>
  <c r="AC186" i="3"/>
  <c r="AD186" i="3"/>
  <c r="AE186" i="3"/>
  <c r="AF186" i="3"/>
  <c r="AG186" i="3"/>
  <c r="AH186" i="3"/>
  <c r="AI186" i="3"/>
  <c r="AJ186" i="3"/>
  <c r="AK186" i="3"/>
  <c r="AM186" i="3" s="1"/>
  <c r="AN186" i="3"/>
  <c r="AB187" i="3"/>
  <c r="AC187" i="3"/>
  <c r="AD187" i="3"/>
  <c r="AE187" i="3"/>
  <c r="AF187" i="3"/>
  <c r="AG187" i="3"/>
  <c r="AH187" i="3"/>
  <c r="AI187" i="3"/>
  <c r="AJ187" i="3"/>
  <c r="AK187" i="3"/>
  <c r="AM187" i="3" s="1"/>
  <c r="AN187" i="3"/>
  <c r="AB188" i="3"/>
  <c r="AC188" i="3"/>
  <c r="AD188" i="3"/>
  <c r="AE188" i="3"/>
  <c r="AF188" i="3"/>
  <c r="AG188" i="3"/>
  <c r="AH188" i="3"/>
  <c r="AI188" i="3"/>
  <c r="AJ188" i="3"/>
  <c r="AK188" i="3"/>
  <c r="AM188" i="3" s="1"/>
  <c r="AN188" i="3"/>
  <c r="AB189" i="3"/>
  <c r="AC189" i="3"/>
  <c r="AD189" i="3"/>
  <c r="AE189" i="3"/>
  <c r="AF189" i="3"/>
  <c r="AG189" i="3"/>
  <c r="AH189" i="3"/>
  <c r="AI189" i="3"/>
  <c r="AJ189" i="3"/>
  <c r="AK189" i="3"/>
  <c r="AM189" i="3" s="1"/>
  <c r="AN189" i="3"/>
  <c r="AB190" i="3"/>
  <c r="AC190" i="3"/>
  <c r="AD190" i="3"/>
  <c r="AE190" i="3"/>
  <c r="AF190" i="3"/>
  <c r="AG190" i="3"/>
  <c r="AH190" i="3"/>
  <c r="AI190" i="3"/>
  <c r="AJ190" i="3"/>
  <c r="AK190" i="3"/>
  <c r="AM190" i="3" s="1"/>
  <c r="AN190" i="3"/>
  <c r="AB191" i="3"/>
  <c r="AC191" i="3"/>
  <c r="AD191" i="3"/>
  <c r="AE191" i="3"/>
  <c r="AF191" i="3"/>
  <c r="AG191" i="3"/>
  <c r="AH191" i="3"/>
  <c r="AI191" i="3"/>
  <c r="AJ191" i="3"/>
  <c r="AK191" i="3"/>
  <c r="AM191" i="3" s="1"/>
  <c r="AN191" i="3"/>
  <c r="AB192" i="3"/>
  <c r="AC192" i="3"/>
  <c r="AD192" i="3"/>
  <c r="AE192" i="3"/>
  <c r="AF192" i="3"/>
  <c r="AG192" i="3"/>
  <c r="AH192" i="3"/>
  <c r="AI192" i="3"/>
  <c r="AJ192" i="3"/>
  <c r="AK192" i="3"/>
  <c r="AM192" i="3" s="1"/>
  <c r="AN192" i="3"/>
  <c r="AB193" i="3"/>
  <c r="AC193" i="3"/>
  <c r="AD193" i="3"/>
  <c r="AE193" i="3"/>
  <c r="AF193" i="3"/>
  <c r="AG193" i="3"/>
  <c r="AH193" i="3"/>
  <c r="AI193" i="3"/>
  <c r="AJ193" i="3"/>
  <c r="AK193" i="3"/>
  <c r="AM193" i="3" s="1"/>
  <c r="AN193" i="3"/>
  <c r="AB194" i="3"/>
  <c r="AC194" i="3"/>
  <c r="AD194" i="3"/>
  <c r="AE194" i="3"/>
  <c r="AF194" i="3"/>
  <c r="AG194" i="3"/>
  <c r="AH194" i="3"/>
  <c r="AI194" i="3"/>
  <c r="AJ194" i="3"/>
  <c r="AK194" i="3"/>
  <c r="AM194" i="3" s="1"/>
  <c r="AN194" i="3"/>
  <c r="AB195" i="3"/>
  <c r="AC195" i="3"/>
  <c r="AD195" i="3"/>
  <c r="AE195" i="3"/>
  <c r="AF195" i="3"/>
  <c r="AG195" i="3"/>
  <c r="AH195" i="3"/>
  <c r="AI195" i="3"/>
  <c r="AJ195" i="3"/>
  <c r="AK195" i="3"/>
  <c r="AM195" i="3" s="1"/>
  <c r="AN195" i="3"/>
  <c r="AB196" i="3"/>
  <c r="AC196" i="3"/>
  <c r="AD196" i="3"/>
  <c r="AE196" i="3"/>
  <c r="AF196" i="3"/>
  <c r="AG196" i="3"/>
  <c r="AH196" i="3"/>
  <c r="AI196" i="3"/>
  <c r="AJ196" i="3"/>
  <c r="AK196" i="3"/>
  <c r="AM196" i="3" s="1"/>
  <c r="AN196" i="3"/>
  <c r="AB197" i="3"/>
  <c r="AC197" i="3"/>
  <c r="AD197" i="3"/>
  <c r="AE197" i="3"/>
  <c r="AF197" i="3"/>
  <c r="AG197" i="3"/>
  <c r="AH197" i="3"/>
  <c r="AI197" i="3"/>
  <c r="AJ197" i="3"/>
  <c r="AK197" i="3"/>
  <c r="AM197" i="3" s="1"/>
  <c r="AN197" i="3"/>
  <c r="AB198" i="3"/>
  <c r="AC198" i="3"/>
  <c r="AD198" i="3"/>
  <c r="AE198" i="3"/>
  <c r="AF198" i="3"/>
  <c r="AG198" i="3"/>
  <c r="AH198" i="3"/>
  <c r="AI198" i="3"/>
  <c r="AJ198" i="3"/>
  <c r="AK198" i="3"/>
  <c r="AM198" i="3" s="1"/>
  <c r="AN198" i="3"/>
  <c r="AB199" i="3"/>
  <c r="AC199" i="3"/>
  <c r="AD199" i="3"/>
  <c r="AE199" i="3"/>
  <c r="AF199" i="3"/>
  <c r="AG199" i="3"/>
  <c r="AH199" i="3"/>
  <c r="AI199" i="3"/>
  <c r="AJ199" i="3"/>
  <c r="AK199" i="3"/>
  <c r="AM199" i="3" s="1"/>
  <c r="AN199" i="3"/>
  <c r="AB200" i="3"/>
  <c r="AC200" i="3"/>
  <c r="AD200" i="3"/>
  <c r="AE200" i="3"/>
  <c r="AF200" i="3"/>
  <c r="AG200" i="3"/>
  <c r="AH200" i="3"/>
  <c r="AI200" i="3"/>
  <c r="AJ200" i="3"/>
  <c r="AK200" i="3"/>
  <c r="AM200" i="3" s="1"/>
  <c r="AN200" i="3"/>
  <c r="AB201" i="3"/>
  <c r="AC201" i="3"/>
  <c r="AD201" i="3"/>
  <c r="AE201" i="3"/>
  <c r="AF201" i="3"/>
  <c r="AG201" i="3"/>
  <c r="AH201" i="3"/>
  <c r="AI201" i="3"/>
  <c r="AJ201" i="3"/>
  <c r="AK201" i="3"/>
  <c r="AM201" i="3" s="1"/>
  <c r="AN201" i="3"/>
  <c r="AB202" i="3"/>
  <c r="AC202" i="3"/>
  <c r="AD202" i="3"/>
  <c r="AE202" i="3"/>
  <c r="AF202" i="3"/>
  <c r="AG202" i="3"/>
  <c r="AH202" i="3"/>
  <c r="AI202" i="3"/>
  <c r="AJ202" i="3"/>
  <c r="AK202" i="3"/>
  <c r="AM202" i="3" s="1"/>
  <c r="AN202" i="3"/>
  <c r="AB203" i="3"/>
  <c r="AC203" i="3"/>
  <c r="AD203" i="3"/>
  <c r="AE203" i="3"/>
  <c r="AF203" i="3"/>
  <c r="AG203" i="3"/>
  <c r="AH203" i="3"/>
  <c r="AI203" i="3"/>
  <c r="AJ203" i="3"/>
  <c r="AK203" i="3"/>
  <c r="AM203" i="3" s="1"/>
  <c r="AN203" i="3"/>
  <c r="AB204" i="3"/>
  <c r="AC204" i="3"/>
  <c r="AD204" i="3"/>
  <c r="AE204" i="3"/>
  <c r="AF204" i="3"/>
  <c r="AG204" i="3"/>
  <c r="AH204" i="3"/>
  <c r="AI204" i="3"/>
  <c r="AJ204" i="3"/>
  <c r="AK204" i="3"/>
  <c r="AM204" i="3" s="1"/>
  <c r="AN204" i="3"/>
  <c r="AB205" i="3"/>
  <c r="AC205" i="3"/>
  <c r="AD205" i="3"/>
  <c r="AE205" i="3"/>
  <c r="AF205" i="3"/>
  <c r="AG205" i="3"/>
  <c r="AH205" i="3"/>
  <c r="AI205" i="3"/>
  <c r="AJ205" i="3"/>
  <c r="AK205" i="3"/>
  <c r="AM205" i="3" s="1"/>
  <c r="AN205" i="3"/>
  <c r="AB206" i="3"/>
  <c r="AC206" i="3"/>
  <c r="AD206" i="3"/>
  <c r="AE206" i="3"/>
  <c r="AF206" i="3"/>
  <c r="AG206" i="3"/>
  <c r="AH206" i="3"/>
  <c r="AI206" i="3"/>
  <c r="AJ206" i="3"/>
  <c r="AK206" i="3"/>
  <c r="AM206" i="3" s="1"/>
  <c r="AN206" i="3"/>
  <c r="AB207" i="3"/>
  <c r="AC207" i="3"/>
  <c r="AD207" i="3"/>
  <c r="AE207" i="3"/>
  <c r="AF207" i="3"/>
  <c r="AG207" i="3"/>
  <c r="AH207" i="3"/>
  <c r="AI207" i="3"/>
  <c r="AJ207" i="3"/>
  <c r="AK207" i="3"/>
  <c r="AM207" i="3" s="1"/>
  <c r="AN207" i="3"/>
  <c r="AB208" i="3"/>
  <c r="AC208" i="3"/>
  <c r="AD208" i="3"/>
  <c r="AE208" i="3"/>
  <c r="AF208" i="3"/>
  <c r="AG208" i="3"/>
  <c r="AH208" i="3"/>
  <c r="AI208" i="3"/>
  <c r="AJ208" i="3"/>
  <c r="AK208" i="3"/>
  <c r="AM208" i="3" s="1"/>
  <c r="AN208" i="3"/>
  <c r="AB209" i="3"/>
  <c r="AC209" i="3"/>
  <c r="AD209" i="3"/>
  <c r="AE209" i="3"/>
  <c r="AF209" i="3"/>
  <c r="AG209" i="3"/>
  <c r="AH209" i="3"/>
  <c r="AI209" i="3"/>
  <c r="AJ209" i="3"/>
  <c r="AK209" i="3"/>
  <c r="AM209" i="3" s="1"/>
  <c r="AN209" i="3"/>
  <c r="AB210" i="3"/>
  <c r="AC210" i="3"/>
  <c r="AD210" i="3"/>
  <c r="AE210" i="3"/>
  <c r="AF210" i="3"/>
  <c r="AG210" i="3"/>
  <c r="AH210" i="3"/>
  <c r="AI210" i="3"/>
  <c r="AJ210" i="3"/>
  <c r="AK210" i="3"/>
  <c r="AM210" i="3" s="1"/>
  <c r="AN210" i="3"/>
  <c r="AB211" i="3"/>
  <c r="AC211" i="3"/>
  <c r="AD211" i="3"/>
  <c r="AE211" i="3"/>
  <c r="AF211" i="3"/>
  <c r="AG211" i="3"/>
  <c r="AH211" i="3"/>
  <c r="AI211" i="3"/>
  <c r="AJ211" i="3"/>
  <c r="AK211" i="3"/>
  <c r="AM211" i="3" s="1"/>
  <c r="AN211" i="3"/>
  <c r="AB212" i="3"/>
  <c r="AC212" i="3"/>
  <c r="AD212" i="3"/>
  <c r="AE212" i="3"/>
  <c r="AF212" i="3"/>
  <c r="AG212" i="3"/>
  <c r="AH212" i="3"/>
  <c r="AI212" i="3"/>
  <c r="AJ212" i="3"/>
  <c r="AK212" i="3"/>
  <c r="AM212" i="3" s="1"/>
  <c r="AN212" i="3"/>
  <c r="AB213" i="3"/>
  <c r="AC213" i="3"/>
  <c r="AD213" i="3"/>
  <c r="AE213" i="3"/>
  <c r="AF213" i="3"/>
  <c r="AG213" i="3"/>
  <c r="AH213" i="3"/>
  <c r="AI213" i="3"/>
  <c r="AJ213" i="3"/>
  <c r="AK213" i="3"/>
  <c r="AM213" i="3" s="1"/>
  <c r="AN213" i="3"/>
  <c r="AB214" i="3"/>
  <c r="AC214" i="3"/>
  <c r="AD214" i="3"/>
  <c r="AE214" i="3"/>
  <c r="AF214" i="3"/>
  <c r="AG214" i="3"/>
  <c r="AH214" i="3"/>
  <c r="AI214" i="3"/>
  <c r="AJ214" i="3"/>
  <c r="AK214" i="3"/>
  <c r="AM214" i="3" s="1"/>
  <c r="AN214" i="3"/>
  <c r="AB215" i="3"/>
  <c r="AC215" i="3"/>
  <c r="AD215" i="3"/>
  <c r="AE215" i="3"/>
  <c r="AF215" i="3"/>
  <c r="AG215" i="3"/>
  <c r="AH215" i="3"/>
  <c r="AI215" i="3"/>
  <c r="AJ215" i="3"/>
  <c r="AK215" i="3"/>
  <c r="AM215" i="3" s="1"/>
  <c r="AN215" i="3"/>
  <c r="AB216" i="3"/>
  <c r="AC216" i="3"/>
  <c r="AD216" i="3"/>
  <c r="AE216" i="3"/>
  <c r="AF216" i="3"/>
  <c r="AG216" i="3"/>
  <c r="AH216" i="3"/>
  <c r="AI216" i="3"/>
  <c r="AJ216" i="3"/>
  <c r="AK216" i="3"/>
  <c r="AM216" i="3" s="1"/>
  <c r="AN216" i="3"/>
  <c r="AB217" i="3"/>
  <c r="AC217" i="3"/>
  <c r="AD217" i="3"/>
  <c r="AE217" i="3"/>
  <c r="AF217" i="3"/>
  <c r="AG217" i="3"/>
  <c r="AH217" i="3"/>
  <c r="AI217" i="3"/>
  <c r="AJ217" i="3"/>
  <c r="AK217" i="3"/>
  <c r="AM217" i="3" s="1"/>
  <c r="AN217" i="3"/>
  <c r="AB218" i="3"/>
  <c r="AC218" i="3"/>
  <c r="AD218" i="3"/>
  <c r="AE218" i="3"/>
  <c r="AF218" i="3"/>
  <c r="AG218" i="3"/>
  <c r="AH218" i="3"/>
  <c r="AI218" i="3"/>
  <c r="AJ218" i="3"/>
  <c r="AK218" i="3"/>
  <c r="AM218" i="3" s="1"/>
  <c r="AN218" i="3"/>
  <c r="AB219" i="3"/>
  <c r="AC219" i="3"/>
  <c r="AD219" i="3"/>
  <c r="AE219" i="3"/>
  <c r="AF219" i="3"/>
  <c r="AG219" i="3"/>
  <c r="AH219" i="3"/>
  <c r="AI219" i="3"/>
  <c r="AJ219" i="3"/>
  <c r="AK219" i="3"/>
  <c r="AM219" i="3" s="1"/>
  <c r="AN219" i="3"/>
  <c r="AB220" i="3"/>
  <c r="AC220" i="3"/>
  <c r="AD220" i="3"/>
  <c r="AE220" i="3"/>
  <c r="AF220" i="3"/>
  <c r="AG220" i="3"/>
  <c r="AH220" i="3"/>
  <c r="AI220" i="3"/>
  <c r="AJ220" i="3"/>
  <c r="AK220" i="3"/>
  <c r="AM220" i="3" s="1"/>
  <c r="AN220" i="3"/>
  <c r="AB221" i="3"/>
  <c r="AC221" i="3"/>
  <c r="AD221" i="3"/>
  <c r="AE221" i="3"/>
  <c r="AF221" i="3"/>
  <c r="AG221" i="3"/>
  <c r="AH221" i="3"/>
  <c r="AI221" i="3"/>
  <c r="AJ221" i="3"/>
  <c r="AK221" i="3"/>
  <c r="AM221" i="3" s="1"/>
  <c r="AN221" i="3"/>
  <c r="AB222" i="3"/>
  <c r="AC222" i="3"/>
  <c r="AD222" i="3"/>
  <c r="AE222" i="3"/>
  <c r="AF222" i="3"/>
  <c r="AG222" i="3"/>
  <c r="AH222" i="3"/>
  <c r="AI222" i="3"/>
  <c r="AJ222" i="3"/>
  <c r="AK222" i="3"/>
  <c r="AM222" i="3" s="1"/>
  <c r="AN222" i="3"/>
  <c r="AB223" i="3"/>
  <c r="AC223" i="3"/>
  <c r="AD223" i="3"/>
  <c r="AE223" i="3"/>
  <c r="AF223" i="3"/>
  <c r="AG223" i="3"/>
  <c r="AH223" i="3"/>
  <c r="AI223" i="3"/>
  <c r="AJ223" i="3"/>
  <c r="AK223" i="3"/>
  <c r="AM223" i="3" s="1"/>
  <c r="AN223" i="3"/>
  <c r="AB224" i="3"/>
  <c r="AC224" i="3"/>
  <c r="AD224" i="3"/>
  <c r="AE224" i="3"/>
  <c r="AF224" i="3"/>
  <c r="AG224" i="3"/>
  <c r="AH224" i="3"/>
  <c r="AI224" i="3"/>
  <c r="AJ224" i="3"/>
  <c r="AK224" i="3"/>
  <c r="AM224" i="3" s="1"/>
  <c r="AN224" i="3"/>
  <c r="AB225" i="3"/>
  <c r="AC225" i="3"/>
  <c r="AD225" i="3"/>
  <c r="AE225" i="3"/>
  <c r="AF225" i="3"/>
  <c r="AG225" i="3"/>
  <c r="AH225" i="3"/>
  <c r="AI225" i="3"/>
  <c r="AJ225" i="3"/>
  <c r="AK225" i="3"/>
  <c r="AM225" i="3" s="1"/>
  <c r="AN225" i="3"/>
  <c r="AB226" i="3"/>
  <c r="AC226" i="3"/>
  <c r="AD226" i="3"/>
  <c r="AE226" i="3"/>
  <c r="AF226" i="3"/>
  <c r="AG226" i="3"/>
  <c r="AH226" i="3"/>
  <c r="AI226" i="3"/>
  <c r="AJ226" i="3"/>
  <c r="AK226" i="3"/>
  <c r="AM226" i="3" s="1"/>
  <c r="AN226" i="3"/>
  <c r="AB227" i="3"/>
  <c r="AC227" i="3"/>
  <c r="AD227" i="3"/>
  <c r="AE227" i="3"/>
  <c r="AF227" i="3"/>
  <c r="AG227" i="3"/>
  <c r="AH227" i="3"/>
  <c r="AI227" i="3"/>
  <c r="AJ227" i="3"/>
  <c r="AK227" i="3"/>
  <c r="AM227" i="3" s="1"/>
  <c r="AN227" i="3"/>
  <c r="AB228" i="3"/>
  <c r="AC228" i="3"/>
  <c r="AD228" i="3"/>
  <c r="AE228" i="3"/>
  <c r="AF228" i="3"/>
  <c r="AG228" i="3"/>
  <c r="AH228" i="3"/>
  <c r="AI228" i="3"/>
  <c r="AJ228" i="3"/>
  <c r="AK228" i="3"/>
  <c r="AM228" i="3" s="1"/>
  <c r="AN228" i="3"/>
  <c r="AB229" i="3"/>
  <c r="AC229" i="3"/>
  <c r="AD229" i="3"/>
  <c r="AE229" i="3"/>
  <c r="AF229" i="3"/>
  <c r="AG229" i="3"/>
  <c r="AH229" i="3"/>
  <c r="AI229" i="3"/>
  <c r="AJ229" i="3"/>
  <c r="AK229" i="3"/>
  <c r="AM229" i="3" s="1"/>
  <c r="AN229" i="3"/>
  <c r="AB230" i="3"/>
  <c r="AC230" i="3"/>
  <c r="AD230" i="3"/>
  <c r="AE230" i="3"/>
  <c r="AF230" i="3"/>
  <c r="AG230" i="3"/>
  <c r="AH230" i="3"/>
  <c r="AI230" i="3"/>
  <c r="AJ230" i="3"/>
  <c r="AK230" i="3"/>
  <c r="AM230" i="3" s="1"/>
  <c r="AN230" i="3"/>
  <c r="AB231" i="3"/>
  <c r="AC231" i="3"/>
  <c r="AD231" i="3"/>
  <c r="AE231" i="3"/>
  <c r="AF231" i="3"/>
  <c r="AG231" i="3"/>
  <c r="AH231" i="3"/>
  <c r="AI231" i="3"/>
  <c r="AJ231" i="3"/>
  <c r="AK231" i="3"/>
  <c r="AM231" i="3" s="1"/>
  <c r="AN231" i="3"/>
  <c r="AB232" i="3"/>
  <c r="AC232" i="3"/>
  <c r="AD232" i="3"/>
  <c r="AE232" i="3"/>
  <c r="AF232" i="3"/>
  <c r="AG232" i="3"/>
  <c r="AH232" i="3"/>
  <c r="AI232" i="3"/>
  <c r="AJ232" i="3"/>
  <c r="AK232" i="3"/>
  <c r="AM232" i="3" s="1"/>
  <c r="AN232" i="3"/>
  <c r="AB233" i="3"/>
  <c r="AC233" i="3"/>
  <c r="AD233" i="3"/>
  <c r="AE233" i="3"/>
  <c r="AF233" i="3"/>
  <c r="AG233" i="3"/>
  <c r="AH233" i="3"/>
  <c r="AI233" i="3"/>
  <c r="AJ233" i="3"/>
  <c r="AK233" i="3"/>
  <c r="AM233" i="3" s="1"/>
  <c r="AN233" i="3"/>
  <c r="AB234" i="3"/>
  <c r="AC234" i="3"/>
  <c r="AD234" i="3"/>
  <c r="AE234" i="3"/>
  <c r="AF234" i="3"/>
  <c r="AG234" i="3"/>
  <c r="AH234" i="3"/>
  <c r="AI234" i="3"/>
  <c r="AJ234" i="3"/>
  <c r="AK234" i="3"/>
  <c r="AM234" i="3" s="1"/>
  <c r="AN234" i="3"/>
  <c r="AB235" i="3"/>
  <c r="AC235" i="3"/>
  <c r="AD235" i="3"/>
  <c r="AE235" i="3"/>
  <c r="AF235" i="3"/>
  <c r="AG235" i="3"/>
  <c r="AH235" i="3"/>
  <c r="AI235" i="3"/>
  <c r="AJ235" i="3"/>
  <c r="AK235" i="3"/>
  <c r="AM235" i="3" s="1"/>
  <c r="AN235" i="3"/>
  <c r="AB236" i="3"/>
  <c r="AC236" i="3"/>
  <c r="AD236" i="3"/>
  <c r="AE236" i="3"/>
  <c r="AF236" i="3"/>
  <c r="AG236" i="3"/>
  <c r="AH236" i="3"/>
  <c r="AI236" i="3"/>
  <c r="AJ236" i="3"/>
  <c r="AK236" i="3"/>
  <c r="AM236" i="3" s="1"/>
  <c r="AN236" i="3"/>
  <c r="AB237" i="3"/>
  <c r="AC237" i="3"/>
  <c r="AD237" i="3"/>
  <c r="AE237" i="3"/>
  <c r="AF237" i="3"/>
  <c r="AG237" i="3"/>
  <c r="AH237" i="3"/>
  <c r="AI237" i="3"/>
  <c r="AJ237" i="3"/>
  <c r="AK237" i="3"/>
  <c r="AM237" i="3" s="1"/>
  <c r="AN237" i="3"/>
  <c r="AB238" i="3"/>
  <c r="AC238" i="3"/>
  <c r="AD238" i="3"/>
  <c r="AE238" i="3"/>
  <c r="AF238" i="3"/>
  <c r="AG238" i="3"/>
  <c r="AH238" i="3"/>
  <c r="AI238" i="3"/>
  <c r="AJ238" i="3"/>
  <c r="AK238" i="3"/>
  <c r="AM238" i="3" s="1"/>
  <c r="AN238" i="3"/>
  <c r="AB239" i="3"/>
  <c r="AC239" i="3"/>
  <c r="AD239" i="3"/>
  <c r="AE239" i="3"/>
  <c r="AF239" i="3"/>
  <c r="AG239" i="3"/>
  <c r="AH239" i="3"/>
  <c r="AI239" i="3"/>
  <c r="AJ239" i="3"/>
  <c r="AK239" i="3"/>
  <c r="AM239" i="3" s="1"/>
  <c r="AN239" i="3"/>
  <c r="AB240" i="3"/>
  <c r="AC240" i="3"/>
  <c r="AD240" i="3"/>
  <c r="AE240" i="3"/>
  <c r="AF240" i="3"/>
  <c r="AG240" i="3"/>
  <c r="AH240" i="3"/>
  <c r="AI240" i="3"/>
  <c r="AJ240" i="3"/>
  <c r="AK240" i="3"/>
  <c r="AM240" i="3" s="1"/>
  <c r="AN240" i="3"/>
  <c r="AB241" i="3"/>
  <c r="AC241" i="3"/>
  <c r="AD241" i="3"/>
  <c r="AE241" i="3"/>
  <c r="AF241" i="3"/>
  <c r="AG241" i="3"/>
  <c r="AH241" i="3"/>
  <c r="AI241" i="3"/>
  <c r="AJ241" i="3"/>
  <c r="AK241" i="3"/>
  <c r="AM241" i="3" s="1"/>
  <c r="AN241" i="3"/>
  <c r="AB242" i="3"/>
  <c r="AC242" i="3"/>
  <c r="AD242" i="3"/>
  <c r="AE242" i="3"/>
  <c r="AF242" i="3"/>
  <c r="AG242" i="3"/>
  <c r="AH242" i="3"/>
  <c r="AI242" i="3"/>
  <c r="AJ242" i="3"/>
  <c r="AK242" i="3"/>
  <c r="AM242" i="3" s="1"/>
  <c r="AN242" i="3"/>
  <c r="AB243" i="3"/>
  <c r="AC243" i="3"/>
  <c r="AD243" i="3"/>
  <c r="AE243" i="3"/>
  <c r="AF243" i="3"/>
  <c r="AG243" i="3"/>
  <c r="AH243" i="3"/>
  <c r="AI243" i="3"/>
  <c r="AJ243" i="3"/>
  <c r="AK243" i="3"/>
  <c r="AM243" i="3" s="1"/>
  <c r="AN243" i="3"/>
  <c r="AB244" i="3"/>
  <c r="AC244" i="3"/>
  <c r="AD244" i="3"/>
  <c r="AE244" i="3"/>
  <c r="AF244" i="3"/>
  <c r="AG244" i="3"/>
  <c r="AH244" i="3"/>
  <c r="AI244" i="3"/>
  <c r="AJ244" i="3"/>
  <c r="AK244" i="3"/>
  <c r="AM244" i="3" s="1"/>
  <c r="AN244" i="3"/>
  <c r="AB245" i="3"/>
  <c r="AC245" i="3"/>
  <c r="AD245" i="3"/>
  <c r="AE245" i="3"/>
  <c r="AF245" i="3"/>
  <c r="AG245" i="3"/>
  <c r="AH245" i="3"/>
  <c r="AI245" i="3"/>
  <c r="AJ245" i="3"/>
  <c r="AK245" i="3"/>
  <c r="AM245" i="3" s="1"/>
  <c r="AN245" i="3"/>
  <c r="AB246" i="3"/>
  <c r="AC246" i="3"/>
  <c r="AD246" i="3"/>
  <c r="AE246" i="3"/>
  <c r="AF246" i="3"/>
  <c r="AG246" i="3"/>
  <c r="AH246" i="3"/>
  <c r="AI246" i="3"/>
  <c r="AJ246" i="3"/>
  <c r="AK246" i="3"/>
  <c r="AM246" i="3" s="1"/>
  <c r="AN246" i="3"/>
  <c r="AB247" i="3"/>
  <c r="AC247" i="3"/>
  <c r="AD247" i="3"/>
  <c r="AE247" i="3"/>
  <c r="AF247" i="3"/>
  <c r="AG247" i="3"/>
  <c r="AH247" i="3"/>
  <c r="AI247" i="3"/>
  <c r="AJ247" i="3"/>
  <c r="AK247" i="3"/>
  <c r="AM247" i="3" s="1"/>
  <c r="AN247" i="3"/>
  <c r="AB248" i="3"/>
  <c r="AC248" i="3"/>
  <c r="AD248" i="3"/>
  <c r="AE248" i="3"/>
  <c r="AF248" i="3"/>
  <c r="AG248" i="3"/>
  <c r="AH248" i="3"/>
  <c r="AI248" i="3"/>
  <c r="AJ248" i="3"/>
  <c r="AK248" i="3"/>
  <c r="AM248" i="3" s="1"/>
  <c r="AN248" i="3"/>
  <c r="AB249" i="3"/>
  <c r="AC249" i="3"/>
  <c r="AD249" i="3"/>
  <c r="AE249" i="3"/>
  <c r="AF249" i="3"/>
  <c r="AG249" i="3"/>
  <c r="AH249" i="3"/>
  <c r="AI249" i="3"/>
  <c r="AJ249" i="3"/>
  <c r="AK249" i="3"/>
  <c r="AM249" i="3" s="1"/>
  <c r="AN249" i="3"/>
  <c r="AB250" i="3"/>
  <c r="AC250" i="3"/>
  <c r="AD250" i="3"/>
  <c r="AE250" i="3"/>
  <c r="AF250" i="3"/>
  <c r="AG250" i="3"/>
  <c r="AH250" i="3"/>
  <c r="AI250" i="3"/>
  <c r="AJ250" i="3"/>
  <c r="AK250" i="3"/>
  <c r="AM250" i="3" s="1"/>
  <c r="AN250" i="3"/>
  <c r="AB251" i="3"/>
  <c r="AC251" i="3"/>
  <c r="AD251" i="3"/>
  <c r="AE251" i="3"/>
  <c r="AF251" i="3"/>
  <c r="AG251" i="3"/>
  <c r="AH251" i="3"/>
  <c r="AI251" i="3"/>
  <c r="AJ251" i="3"/>
  <c r="AK251" i="3"/>
  <c r="AM251" i="3" s="1"/>
  <c r="AN251" i="3"/>
  <c r="AB252" i="3"/>
  <c r="AC252" i="3"/>
  <c r="AD252" i="3"/>
  <c r="AE252" i="3"/>
  <c r="AF252" i="3"/>
  <c r="AG252" i="3"/>
  <c r="AH252" i="3"/>
  <c r="AI252" i="3"/>
  <c r="AJ252" i="3"/>
  <c r="AK252" i="3"/>
  <c r="AM252" i="3" s="1"/>
  <c r="AN252" i="3"/>
  <c r="AB253" i="3"/>
  <c r="AC253" i="3"/>
  <c r="AD253" i="3"/>
  <c r="AE253" i="3"/>
  <c r="AF253" i="3"/>
  <c r="AG253" i="3"/>
  <c r="AH253" i="3"/>
  <c r="AI253" i="3"/>
  <c r="AJ253" i="3"/>
  <c r="AK253" i="3"/>
  <c r="AM253" i="3" s="1"/>
  <c r="AN253" i="3"/>
  <c r="AB254" i="3"/>
  <c r="AC254" i="3"/>
  <c r="AD254" i="3"/>
  <c r="AE254" i="3"/>
  <c r="AF254" i="3"/>
  <c r="AG254" i="3"/>
  <c r="AH254" i="3"/>
  <c r="AI254" i="3"/>
  <c r="AJ254" i="3"/>
  <c r="AK254" i="3"/>
  <c r="AM254" i="3" s="1"/>
  <c r="AN254" i="3"/>
  <c r="AB255" i="3"/>
  <c r="AC255" i="3"/>
  <c r="AD255" i="3"/>
  <c r="AE255" i="3"/>
  <c r="AF255" i="3"/>
  <c r="AG255" i="3"/>
  <c r="AH255" i="3"/>
  <c r="AI255" i="3"/>
  <c r="AJ255" i="3"/>
  <c r="AK255" i="3"/>
  <c r="AM255" i="3" s="1"/>
  <c r="AN255" i="3"/>
  <c r="AB256" i="3"/>
  <c r="AC256" i="3"/>
  <c r="AD256" i="3"/>
  <c r="AE256" i="3"/>
  <c r="AF256" i="3"/>
  <c r="AG256" i="3"/>
  <c r="AH256" i="3"/>
  <c r="AI256" i="3"/>
  <c r="AJ256" i="3"/>
  <c r="AK256" i="3"/>
  <c r="AM256" i="3" s="1"/>
  <c r="AN256" i="3"/>
  <c r="AB257" i="3"/>
  <c r="AC257" i="3"/>
  <c r="AD257" i="3"/>
  <c r="AE257" i="3"/>
  <c r="AF257" i="3"/>
  <c r="AG257" i="3"/>
  <c r="AH257" i="3"/>
  <c r="AI257" i="3"/>
  <c r="AJ257" i="3"/>
  <c r="AK257" i="3"/>
  <c r="AM257" i="3" s="1"/>
  <c r="AN257" i="3"/>
  <c r="AB258" i="3"/>
  <c r="AC258" i="3"/>
  <c r="AD258" i="3"/>
  <c r="AE258" i="3"/>
  <c r="AF258" i="3"/>
  <c r="AG258" i="3"/>
  <c r="AH258" i="3"/>
  <c r="AI258" i="3"/>
  <c r="AJ258" i="3"/>
  <c r="AK258" i="3"/>
  <c r="AM258" i="3" s="1"/>
  <c r="AN258" i="3"/>
  <c r="AB259" i="3"/>
  <c r="AC259" i="3"/>
  <c r="AD259" i="3"/>
  <c r="AE259" i="3"/>
  <c r="AF259" i="3"/>
  <c r="AG259" i="3"/>
  <c r="AH259" i="3"/>
  <c r="AI259" i="3"/>
  <c r="AJ259" i="3"/>
  <c r="AK259" i="3"/>
  <c r="AM259" i="3" s="1"/>
  <c r="AN259" i="3"/>
  <c r="AB260" i="3"/>
  <c r="AC260" i="3"/>
  <c r="AD260" i="3"/>
  <c r="AE260" i="3"/>
  <c r="AF260" i="3"/>
  <c r="AG260" i="3"/>
  <c r="AH260" i="3"/>
  <c r="AI260" i="3"/>
  <c r="AJ260" i="3"/>
  <c r="AK260" i="3"/>
  <c r="AM260" i="3" s="1"/>
  <c r="AN260" i="3"/>
  <c r="AB261" i="3"/>
  <c r="AC261" i="3"/>
  <c r="AD261" i="3"/>
  <c r="AE261" i="3"/>
  <c r="AF261" i="3"/>
  <c r="AG261" i="3"/>
  <c r="AH261" i="3"/>
  <c r="AI261" i="3"/>
  <c r="AJ261" i="3"/>
  <c r="AK261" i="3"/>
  <c r="AM261" i="3" s="1"/>
  <c r="AN261" i="3"/>
  <c r="AB262" i="3"/>
  <c r="AC262" i="3"/>
  <c r="AD262" i="3"/>
  <c r="AE262" i="3"/>
  <c r="AF262" i="3"/>
  <c r="AG262" i="3"/>
  <c r="AH262" i="3"/>
  <c r="AI262" i="3"/>
  <c r="AJ262" i="3"/>
  <c r="AK262" i="3"/>
  <c r="AM262" i="3" s="1"/>
  <c r="AN262" i="3"/>
  <c r="AB263" i="3"/>
  <c r="AC263" i="3"/>
  <c r="AD263" i="3"/>
  <c r="AE263" i="3"/>
  <c r="AF263" i="3"/>
  <c r="AG263" i="3"/>
  <c r="AH263" i="3"/>
  <c r="AI263" i="3"/>
  <c r="AJ263" i="3"/>
  <c r="AK263" i="3"/>
  <c r="AM263" i="3" s="1"/>
  <c r="AN263" i="3"/>
  <c r="AB264" i="3"/>
  <c r="AC264" i="3"/>
  <c r="AD264" i="3"/>
  <c r="AE264" i="3"/>
  <c r="AF264" i="3"/>
  <c r="AG264" i="3"/>
  <c r="AH264" i="3"/>
  <c r="AI264" i="3"/>
  <c r="AJ264" i="3"/>
  <c r="AK264" i="3"/>
  <c r="AM264" i="3" s="1"/>
  <c r="AN264" i="3"/>
  <c r="AB265" i="3"/>
  <c r="AC265" i="3"/>
  <c r="AD265" i="3"/>
  <c r="AE265" i="3"/>
  <c r="AF265" i="3"/>
  <c r="AG265" i="3"/>
  <c r="AH265" i="3"/>
  <c r="AI265" i="3"/>
  <c r="AJ265" i="3"/>
  <c r="AK265" i="3"/>
  <c r="AM265" i="3" s="1"/>
  <c r="AN265" i="3"/>
  <c r="AB266" i="3"/>
  <c r="AC266" i="3"/>
  <c r="AD266" i="3"/>
  <c r="AE266" i="3"/>
  <c r="AF266" i="3"/>
  <c r="AG266" i="3"/>
  <c r="AH266" i="3"/>
  <c r="AI266" i="3"/>
  <c r="AJ266" i="3"/>
  <c r="AK266" i="3"/>
  <c r="AM266" i="3" s="1"/>
  <c r="AN266" i="3"/>
  <c r="AB267" i="3"/>
  <c r="AC267" i="3"/>
  <c r="AD267" i="3"/>
  <c r="AE267" i="3"/>
  <c r="AF267" i="3"/>
  <c r="AG267" i="3"/>
  <c r="AH267" i="3"/>
  <c r="AI267" i="3"/>
  <c r="AJ267" i="3"/>
  <c r="AK267" i="3"/>
  <c r="AM267" i="3" s="1"/>
  <c r="AN267" i="3"/>
  <c r="AB268" i="3"/>
  <c r="AC268" i="3"/>
  <c r="AD268" i="3"/>
  <c r="AE268" i="3"/>
  <c r="AF268" i="3"/>
  <c r="AG268" i="3"/>
  <c r="AH268" i="3"/>
  <c r="AI268" i="3"/>
  <c r="AJ268" i="3"/>
  <c r="AK268" i="3"/>
  <c r="AM268" i="3" s="1"/>
  <c r="AN268" i="3"/>
  <c r="AB269" i="3"/>
  <c r="AC269" i="3"/>
  <c r="AD269" i="3"/>
  <c r="AE269" i="3"/>
  <c r="AF269" i="3"/>
  <c r="AG269" i="3"/>
  <c r="AH269" i="3"/>
  <c r="AI269" i="3"/>
  <c r="AJ269" i="3"/>
  <c r="AK269" i="3"/>
  <c r="AM269" i="3" s="1"/>
  <c r="AN269" i="3"/>
  <c r="AB270" i="3"/>
  <c r="AC270" i="3"/>
  <c r="AD270" i="3"/>
  <c r="AE270" i="3"/>
  <c r="AF270" i="3"/>
  <c r="AG270" i="3"/>
  <c r="AH270" i="3"/>
  <c r="AI270" i="3"/>
  <c r="AJ270" i="3"/>
  <c r="AK270" i="3"/>
  <c r="AM270" i="3" s="1"/>
  <c r="AN270" i="3"/>
  <c r="AB271" i="3"/>
  <c r="AC271" i="3"/>
  <c r="AD271" i="3"/>
  <c r="AE271" i="3"/>
  <c r="AF271" i="3"/>
  <c r="AG271" i="3"/>
  <c r="AH271" i="3"/>
  <c r="AI271" i="3"/>
  <c r="AJ271" i="3"/>
  <c r="AK271" i="3"/>
  <c r="AM271" i="3" s="1"/>
  <c r="AN271" i="3"/>
  <c r="AB272" i="3"/>
  <c r="AC272" i="3"/>
  <c r="AD272" i="3"/>
  <c r="AE272" i="3"/>
  <c r="AF272" i="3"/>
  <c r="AG272" i="3"/>
  <c r="AH272" i="3"/>
  <c r="AI272" i="3"/>
  <c r="AJ272" i="3"/>
  <c r="AK272" i="3"/>
  <c r="AM272" i="3" s="1"/>
  <c r="AN272" i="3"/>
  <c r="AB273" i="3"/>
  <c r="AC273" i="3"/>
  <c r="AD273" i="3"/>
  <c r="AE273" i="3"/>
  <c r="AF273" i="3"/>
  <c r="AG273" i="3"/>
  <c r="AH273" i="3"/>
  <c r="AI273" i="3"/>
  <c r="AJ273" i="3"/>
  <c r="AK273" i="3"/>
  <c r="AM273" i="3" s="1"/>
  <c r="AN273" i="3"/>
  <c r="AB274" i="3"/>
  <c r="AC274" i="3"/>
  <c r="AD274" i="3"/>
  <c r="AE274" i="3"/>
  <c r="AF274" i="3"/>
  <c r="AG274" i="3"/>
  <c r="AH274" i="3"/>
  <c r="AI274" i="3"/>
  <c r="AJ274" i="3"/>
  <c r="AK274" i="3"/>
  <c r="AM274" i="3" s="1"/>
  <c r="AN274" i="3"/>
  <c r="AB275" i="3"/>
  <c r="AC275" i="3"/>
  <c r="AD275" i="3"/>
  <c r="AE275" i="3"/>
  <c r="AF275" i="3"/>
  <c r="AG275" i="3"/>
  <c r="AH275" i="3"/>
  <c r="AI275" i="3"/>
  <c r="AJ275" i="3"/>
  <c r="AK275" i="3"/>
  <c r="AM275" i="3" s="1"/>
  <c r="AN275" i="3"/>
  <c r="AB276" i="3"/>
  <c r="AC276" i="3"/>
  <c r="AD276" i="3"/>
  <c r="AE276" i="3"/>
  <c r="AF276" i="3"/>
  <c r="AG276" i="3"/>
  <c r="AH276" i="3"/>
  <c r="AI276" i="3"/>
  <c r="AJ276" i="3"/>
  <c r="AK276" i="3"/>
  <c r="AM276" i="3" s="1"/>
  <c r="AN276" i="3"/>
  <c r="AB277" i="3"/>
  <c r="AC277" i="3"/>
  <c r="AD277" i="3"/>
  <c r="AE277" i="3"/>
  <c r="AF277" i="3"/>
  <c r="AG277" i="3"/>
  <c r="AH277" i="3"/>
  <c r="AI277" i="3"/>
  <c r="AJ277" i="3"/>
  <c r="AK277" i="3"/>
  <c r="AM277" i="3" s="1"/>
  <c r="AN277" i="3"/>
  <c r="AB278" i="3"/>
  <c r="AC278" i="3"/>
  <c r="AD278" i="3"/>
  <c r="AE278" i="3"/>
  <c r="AF278" i="3"/>
  <c r="AG278" i="3"/>
  <c r="AH278" i="3"/>
  <c r="AI278" i="3"/>
  <c r="AJ278" i="3"/>
  <c r="AK278" i="3"/>
  <c r="AM278" i="3" s="1"/>
  <c r="AN278" i="3"/>
  <c r="AB279" i="3"/>
  <c r="AC279" i="3"/>
  <c r="AD279" i="3"/>
  <c r="AE279" i="3"/>
  <c r="AF279" i="3"/>
  <c r="AG279" i="3"/>
  <c r="AH279" i="3"/>
  <c r="AI279" i="3"/>
  <c r="AJ279" i="3"/>
  <c r="AK279" i="3"/>
  <c r="AM279" i="3" s="1"/>
  <c r="AN279" i="3"/>
  <c r="AB280" i="3"/>
  <c r="AC280" i="3"/>
  <c r="AD280" i="3"/>
  <c r="AE280" i="3"/>
  <c r="AF280" i="3"/>
  <c r="AG280" i="3"/>
  <c r="AH280" i="3"/>
  <c r="AI280" i="3"/>
  <c r="AJ280" i="3"/>
  <c r="AK280" i="3"/>
  <c r="AM280" i="3" s="1"/>
  <c r="AN280" i="3"/>
  <c r="AB281" i="3"/>
  <c r="AC281" i="3"/>
  <c r="AD281" i="3"/>
  <c r="AE281" i="3"/>
  <c r="AF281" i="3"/>
  <c r="AG281" i="3"/>
  <c r="AH281" i="3"/>
  <c r="AI281" i="3"/>
  <c r="AJ281" i="3"/>
  <c r="AK281" i="3"/>
  <c r="AM281" i="3" s="1"/>
  <c r="AN281" i="3"/>
  <c r="AB282" i="3"/>
  <c r="AC282" i="3"/>
  <c r="AD282" i="3"/>
  <c r="AE282" i="3"/>
  <c r="AF282" i="3"/>
  <c r="AG282" i="3"/>
  <c r="AH282" i="3"/>
  <c r="AI282" i="3"/>
  <c r="AJ282" i="3"/>
  <c r="AK282" i="3"/>
  <c r="AM282" i="3" s="1"/>
  <c r="AN282" i="3"/>
  <c r="AB283" i="3"/>
  <c r="AC283" i="3"/>
  <c r="AD283" i="3"/>
  <c r="AE283" i="3"/>
  <c r="AF283" i="3"/>
  <c r="AG283" i="3"/>
  <c r="AH283" i="3"/>
  <c r="AI283" i="3"/>
  <c r="AJ283" i="3"/>
  <c r="AK283" i="3"/>
  <c r="AM283" i="3" s="1"/>
  <c r="AN283" i="3"/>
  <c r="AB284" i="3"/>
  <c r="AC284" i="3"/>
  <c r="AD284" i="3"/>
  <c r="AE284" i="3"/>
  <c r="AF284" i="3"/>
  <c r="AG284" i="3"/>
  <c r="AH284" i="3"/>
  <c r="AI284" i="3"/>
  <c r="AJ284" i="3"/>
  <c r="AK284" i="3"/>
  <c r="AM284" i="3" s="1"/>
  <c r="AN284" i="3"/>
  <c r="AB285" i="3"/>
  <c r="AC285" i="3"/>
  <c r="AD285" i="3"/>
  <c r="AE285" i="3"/>
  <c r="AF285" i="3"/>
  <c r="AG285" i="3"/>
  <c r="AH285" i="3"/>
  <c r="AI285" i="3"/>
  <c r="AJ285" i="3"/>
  <c r="AK285" i="3"/>
  <c r="AM285" i="3" s="1"/>
  <c r="AN285" i="3"/>
  <c r="AB286" i="3"/>
  <c r="AC286" i="3"/>
  <c r="AD286" i="3"/>
  <c r="AE286" i="3"/>
  <c r="AF286" i="3"/>
  <c r="AG286" i="3"/>
  <c r="AH286" i="3"/>
  <c r="AI286" i="3"/>
  <c r="AJ286" i="3"/>
  <c r="AK286" i="3"/>
  <c r="AM286" i="3" s="1"/>
  <c r="AN286" i="3"/>
  <c r="AB287" i="3"/>
  <c r="AC287" i="3"/>
  <c r="AD287" i="3"/>
  <c r="AE287" i="3"/>
  <c r="AF287" i="3"/>
  <c r="AG287" i="3"/>
  <c r="AH287" i="3"/>
  <c r="AI287" i="3"/>
  <c r="AJ287" i="3"/>
  <c r="AK287" i="3"/>
  <c r="AM287" i="3" s="1"/>
  <c r="AN287" i="3"/>
  <c r="AB288" i="3"/>
  <c r="AC288" i="3"/>
  <c r="AD288" i="3"/>
  <c r="AE288" i="3"/>
  <c r="AF288" i="3"/>
  <c r="AG288" i="3"/>
  <c r="AH288" i="3"/>
  <c r="AI288" i="3"/>
  <c r="AJ288" i="3"/>
  <c r="AK288" i="3"/>
  <c r="AM288" i="3" s="1"/>
  <c r="AN288" i="3"/>
  <c r="AB289" i="3"/>
  <c r="AC289" i="3"/>
  <c r="AD289" i="3"/>
  <c r="AE289" i="3"/>
  <c r="AF289" i="3"/>
  <c r="AG289" i="3"/>
  <c r="AH289" i="3"/>
  <c r="AI289" i="3"/>
  <c r="AJ289" i="3"/>
  <c r="AK289" i="3"/>
  <c r="AM289" i="3" s="1"/>
  <c r="AN289" i="3"/>
  <c r="AB290" i="3"/>
  <c r="AC290" i="3"/>
  <c r="AD290" i="3"/>
  <c r="AE290" i="3"/>
  <c r="AF290" i="3"/>
  <c r="AG290" i="3"/>
  <c r="AH290" i="3"/>
  <c r="AI290" i="3"/>
  <c r="AJ290" i="3"/>
  <c r="AK290" i="3"/>
  <c r="AM290" i="3" s="1"/>
  <c r="AN290" i="3"/>
  <c r="AB291" i="3"/>
  <c r="AC291" i="3"/>
  <c r="AD291" i="3"/>
  <c r="AE291" i="3"/>
  <c r="AF291" i="3"/>
  <c r="AG291" i="3"/>
  <c r="AH291" i="3"/>
  <c r="AI291" i="3"/>
  <c r="AJ291" i="3"/>
  <c r="AK291" i="3"/>
  <c r="AM291" i="3" s="1"/>
  <c r="AN291" i="3"/>
  <c r="AB292" i="3"/>
  <c r="AC292" i="3"/>
  <c r="AD292" i="3"/>
  <c r="AE292" i="3"/>
  <c r="AF292" i="3"/>
  <c r="AG292" i="3"/>
  <c r="AH292" i="3"/>
  <c r="AI292" i="3"/>
  <c r="AJ292" i="3"/>
  <c r="AK292" i="3"/>
  <c r="AM292" i="3" s="1"/>
  <c r="AN292" i="3"/>
  <c r="AB293" i="3"/>
  <c r="AC293" i="3"/>
  <c r="AD293" i="3"/>
  <c r="AE293" i="3"/>
  <c r="AF293" i="3"/>
  <c r="AG293" i="3"/>
  <c r="AH293" i="3"/>
  <c r="AI293" i="3"/>
  <c r="AJ293" i="3"/>
  <c r="AK293" i="3"/>
  <c r="AM293" i="3" s="1"/>
  <c r="AN293" i="3"/>
  <c r="AB294" i="3"/>
  <c r="AC294" i="3"/>
  <c r="AD294" i="3"/>
  <c r="AE294" i="3"/>
  <c r="AF294" i="3"/>
  <c r="AG294" i="3"/>
  <c r="AH294" i="3"/>
  <c r="AI294" i="3"/>
  <c r="AJ294" i="3"/>
  <c r="AK294" i="3"/>
  <c r="AM294" i="3" s="1"/>
  <c r="AN294" i="3"/>
  <c r="AB295" i="3"/>
  <c r="AC295" i="3"/>
  <c r="AD295" i="3"/>
  <c r="AE295" i="3"/>
  <c r="AF295" i="3"/>
  <c r="AG295" i="3"/>
  <c r="AH295" i="3"/>
  <c r="AI295" i="3"/>
  <c r="AJ295" i="3"/>
  <c r="AK295" i="3"/>
  <c r="AM295" i="3" s="1"/>
  <c r="AN295" i="3"/>
  <c r="AB296" i="3"/>
  <c r="AC296" i="3"/>
  <c r="AD296" i="3"/>
  <c r="AE296" i="3"/>
  <c r="AF296" i="3"/>
  <c r="AG296" i="3"/>
  <c r="AH296" i="3"/>
  <c r="AI296" i="3"/>
  <c r="AJ296" i="3"/>
  <c r="AK296" i="3"/>
  <c r="AM296" i="3" s="1"/>
  <c r="AN296" i="3"/>
  <c r="AB297" i="3"/>
  <c r="AC297" i="3"/>
  <c r="AD297" i="3"/>
  <c r="AE297" i="3"/>
  <c r="AF297" i="3"/>
  <c r="AG297" i="3"/>
  <c r="AH297" i="3"/>
  <c r="AI297" i="3"/>
  <c r="AJ297" i="3"/>
  <c r="AK297" i="3"/>
  <c r="AM297" i="3" s="1"/>
  <c r="AN297" i="3"/>
  <c r="AB298" i="3"/>
  <c r="AC298" i="3"/>
  <c r="AD298" i="3"/>
  <c r="AE298" i="3"/>
  <c r="AF298" i="3"/>
  <c r="AG298" i="3"/>
  <c r="AH298" i="3"/>
  <c r="AI298" i="3"/>
  <c r="AJ298" i="3"/>
  <c r="AK298" i="3"/>
  <c r="AM298" i="3" s="1"/>
  <c r="AN298" i="3"/>
  <c r="AB299" i="3"/>
  <c r="AC299" i="3"/>
  <c r="AD299" i="3"/>
  <c r="AE299" i="3"/>
  <c r="AF299" i="3"/>
  <c r="AG299" i="3"/>
  <c r="AH299" i="3"/>
  <c r="AI299" i="3"/>
  <c r="AJ299" i="3"/>
  <c r="AK299" i="3"/>
  <c r="AM299" i="3" s="1"/>
  <c r="AN299" i="3"/>
  <c r="AB300" i="3"/>
  <c r="AC300" i="3"/>
  <c r="AD300" i="3"/>
  <c r="AE300" i="3"/>
  <c r="AF300" i="3"/>
  <c r="AG300" i="3"/>
  <c r="AH300" i="3"/>
  <c r="AI300" i="3"/>
  <c r="AJ300" i="3"/>
  <c r="AK300" i="3"/>
  <c r="AM300" i="3" s="1"/>
  <c r="AN300" i="3"/>
  <c r="AB301" i="3"/>
  <c r="AC301" i="3"/>
  <c r="AD301" i="3"/>
  <c r="AE301" i="3"/>
  <c r="AF301" i="3"/>
  <c r="AG301" i="3"/>
  <c r="AH301" i="3"/>
  <c r="AI301" i="3"/>
  <c r="AJ301" i="3"/>
  <c r="AK301" i="3"/>
  <c r="AM301" i="3" s="1"/>
  <c r="AN301" i="3"/>
  <c r="AB302" i="3"/>
  <c r="AC302" i="3"/>
  <c r="AD302" i="3"/>
  <c r="AE302" i="3"/>
  <c r="AF302" i="3"/>
  <c r="AG302" i="3"/>
  <c r="AH302" i="3"/>
  <c r="AI302" i="3"/>
  <c r="AJ302" i="3"/>
  <c r="AK302" i="3"/>
  <c r="AM302" i="3" s="1"/>
  <c r="AN302" i="3"/>
  <c r="AB303" i="3"/>
  <c r="AC303" i="3"/>
  <c r="AD303" i="3"/>
  <c r="AE303" i="3"/>
  <c r="AF303" i="3"/>
  <c r="AG303" i="3"/>
  <c r="AH303" i="3"/>
  <c r="AI303" i="3"/>
  <c r="AJ303" i="3"/>
  <c r="AK303" i="3"/>
  <c r="AM303" i="3" s="1"/>
  <c r="AN303" i="3"/>
  <c r="AB304" i="3"/>
  <c r="AC304" i="3"/>
  <c r="AD304" i="3"/>
  <c r="AE304" i="3"/>
  <c r="AF304" i="3"/>
  <c r="AG304" i="3"/>
  <c r="AH304" i="3"/>
  <c r="AI304" i="3"/>
  <c r="AJ304" i="3"/>
  <c r="AK304" i="3"/>
  <c r="AM304" i="3" s="1"/>
  <c r="AN304" i="3"/>
  <c r="AB305" i="3"/>
  <c r="AC305" i="3"/>
  <c r="AD305" i="3"/>
  <c r="AE305" i="3"/>
  <c r="AF305" i="3"/>
  <c r="AG305" i="3"/>
  <c r="AH305" i="3"/>
  <c r="AI305" i="3"/>
  <c r="AJ305" i="3"/>
  <c r="AK305" i="3"/>
  <c r="AM305" i="3" s="1"/>
  <c r="AN305" i="3"/>
  <c r="AB306" i="3"/>
  <c r="AC306" i="3"/>
  <c r="AD306" i="3"/>
  <c r="AE306" i="3"/>
  <c r="AF306" i="3"/>
  <c r="AG306" i="3"/>
  <c r="AH306" i="3"/>
  <c r="AI306" i="3"/>
  <c r="AJ306" i="3"/>
  <c r="AK306" i="3"/>
  <c r="AM306" i="3" s="1"/>
  <c r="AN306" i="3"/>
  <c r="AB307" i="3"/>
  <c r="AC307" i="3"/>
  <c r="AD307" i="3"/>
  <c r="AE307" i="3"/>
  <c r="AF307" i="3"/>
  <c r="AG307" i="3"/>
  <c r="AH307" i="3"/>
  <c r="AI307" i="3"/>
  <c r="AJ307" i="3"/>
  <c r="AK307" i="3"/>
  <c r="AM307" i="3" s="1"/>
  <c r="AN307" i="3"/>
  <c r="AB308" i="3"/>
  <c r="AC308" i="3"/>
  <c r="AD308" i="3"/>
  <c r="AE308" i="3"/>
  <c r="AF308" i="3"/>
  <c r="AG308" i="3"/>
  <c r="AH308" i="3"/>
  <c r="AI308" i="3"/>
  <c r="AJ308" i="3"/>
  <c r="AK308" i="3"/>
  <c r="AM308" i="3" s="1"/>
  <c r="AN308" i="3"/>
  <c r="AB309" i="3"/>
  <c r="AC309" i="3"/>
  <c r="AD309" i="3"/>
  <c r="AE309" i="3"/>
  <c r="AF309" i="3"/>
  <c r="AG309" i="3"/>
  <c r="AH309" i="3"/>
  <c r="AI309" i="3"/>
  <c r="AJ309" i="3"/>
  <c r="AK309" i="3"/>
  <c r="AM309" i="3" s="1"/>
  <c r="AN309" i="3"/>
  <c r="AB310" i="3"/>
  <c r="AC310" i="3"/>
  <c r="AD310" i="3"/>
  <c r="AE310" i="3"/>
  <c r="AF310" i="3"/>
  <c r="AG310" i="3"/>
  <c r="AH310" i="3"/>
  <c r="AI310" i="3"/>
  <c r="AJ310" i="3"/>
  <c r="AK310" i="3"/>
  <c r="AM310" i="3" s="1"/>
  <c r="AN310" i="3"/>
  <c r="AB311" i="3"/>
  <c r="AC311" i="3"/>
  <c r="AD311" i="3"/>
  <c r="AE311" i="3"/>
  <c r="AF311" i="3"/>
  <c r="AG311" i="3"/>
  <c r="AH311" i="3"/>
  <c r="AI311" i="3"/>
  <c r="AJ311" i="3"/>
  <c r="AK311" i="3"/>
  <c r="AM311" i="3" s="1"/>
  <c r="AN311" i="3"/>
  <c r="AB312" i="3"/>
  <c r="AC312" i="3"/>
  <c r="AD312" i="3"/>
  <c r="AE312" i="3"/>
  <c r="AF312" i="3"/>
  <c r="AG312" i="3"/>
  <c r="AH312" i="3"/>
  <c r="AI312" i="3"/>
  <c r="AJ312" i="3"/>
  <c r="AK312" i="3"/>
  <c r="AM312" i="3" s="1"/>
  <c r="AN312" i="3"/>
  <c r="AB313" i="3"/>
  <c r="AC313" i="3"/>
  <c r="AD313" i="3"/>
  <c r="AE313" i="3"/>
  <c r="AF313" i="3"/>
  <c r="AG313" i="3"/>
  <c r="AH313" i="3"/>
  <c r="AI313" i="3"/>
  <c r="AJ313" i="3"/>
  <c r="AK313" i="3"/>
  <c r="AM313" i="3" s="1"/>
  <c r="AN313" i="3"/>
  <c r="AB314" i="3"/>
  <c r="AC314" i="3"/>
  <c r="AD314" i="3"/>
  <c r="AE314" i="3"/>
  <c r="AF314" i="3"/>
  <c r="AG314" i="3"/>
  <c r="AH314" i="3"/>
  <c r="AI314" i="3"/>
  <c r="AJ314" i="3"/>
  <c r="AK314" i="3"/>
  <c r="AM314" i="3" s="1"/>
  <c r="AN314" i="3"/>
  <c r="AB315" i="3"/>
  <c r="AC315" i="3"/>
  <c r="AD315" i="3"/>
  <c r="AE315" i="3"/>
  <c r="AF315" i="3"/>
  <c r="AG315" i="3"/>
  <c r="AH315" i="3"/>
  <c r="AI315" i="3"/>
  <c r="AJ315" i="3"/>
  <c r="AK315" i="3"/>
  <c r="AM315" i="3" s="1"/>
  <c r="AN315" i="3"/>
  <c r="AB316" i="3"/>
  <c r="AC316" i="3"/>
  <c r="AD316" i="3"/>
  <c r="AE316" i="3"/>
  <c r="AF316" i="3"/>
  <c r="AG316" i="3"/>
  <c r="AH316" i="3"/>
  <c r="AI316" i="3"/>
  <c r="AJ316" i="3"/>
  <c r="AK316" i="3"/>
  <c r="AM316" i="3" s="1"/>
  <c r="AN316" i="3"/>
  <c r="AB317" i="3"/>
  <c r="AC317" i="3"/>
  <c r="AD317" i="3"/>
  <c r="AE317" i="3"/>
  <c r="AF317" i="3"/>
  <c r="AG317" i="3"/>
  <c r="AH317" i="3"/>
  <c r="AI317" i="3"/>
  <c r="AJ317" i="3"/>
  <c r="AK317" i="3"/>
  <c r="AM317" i="3" s="1"/>
  <c r="AN317" i="3"/>
  <c r="AB318" i="3"/>
  <c r="AC318" i="3"/>
  <c r="AD318" i="3"/>
  <c r="AE318" i="3"/>
  <c r="AF318" i="3"/>
  <c r="AG318" i="3"/>
  <c r="AH318" i="3"/>
  <c r="AI318" i="3"/>
  <c r="AJ318" i="3"/>
  <c r="AK318" i="3"/>
  <c r="AM318" i="3" s="1"/>
  <c r="AN318" i="3"/>
  <c r="AB319" i="3"/>
  <c r="AC319" i="3"/>
  <c r="AD319" i="3"/>
  <c r="AE319" i="3"/>
  <c r="AF319" i="3"/>
  <c r="AG319" i="3"/>
  <c r="AH319" i="3"/>
  <c r="AI319" i="3"/>
  <c r="AJ319" i="3"/>
  <c r="AK319" i="3"/>
  <c r="AM319" i="3" s="1"/>
  <c r="AN319" i="3"/>
  <c r="AB320" i="3"/>
  <c r="AC320" i="3"/>
  <c r="AD320" i="3"/>
  <c r="AE320" i="3"/>
  <c r="AF320" i="3"/>
  <c r="AG320" i="3"/>
  <c r="AH320" i="3"/>
  <c r="AI320" i="3"/>
  <c r="AJ320" i="3"/>
  <c r="AK320" i="3"/>
  <c r="AM320" i="3" s="1"/>
  <c r="AN320" i="3"/>
  <c r="AB321" i="3"/>
  <c r="AC321" i="3"/>
  <c r="AD321" i="3"/>
  <c r="AE321" i="3"/>
  <c r="AF321" i="3"/>
  <c r="AG321" i="3"/>
  <c r="AH321" i="3"/>
  <c r="AI321" i="3"/>
  <c r="AJ321" i="3"/>
  <c r="AK321" i="3"/>
  <c r="AM321" i="3" s="1"/>
  <c r="AN321" i="3"/>
  <c r="AB322" i="3"/>
  <c r="AC322" i="3"/>
  <c r="AD322" i="3"/>
  <c r="AE322" i="3"/>
  <c r="AF322" i="3"/>
  <c r="AG322" i="3"/>
  <c r="AH322" i="3"/>
  <c r="AI322" i="3"/>
  <c r="AJ322" i="3"/>
  <c r="AK322" i="3"/>
  <c r="AM322" i="3" s="1"/>
  <c r="AN322" i="3"/>
  <c r="AB323" i="3"/>
  <c r="AC323" i="3"/>
  <c r="AD323" i="3"/>
  <c r="AE323" i="3"/>
  <c r="AF323" i="3"/>
  <c r="AG323" i="3"/>
  <c r="AH323" i="3"/>
  <c r="AI323" i="3"/>
  <c r="AJ323" i="3"/>
  <c r="AK323" i="3"/>
  <c r="AM323" i="3" s="1"/>
  <c r="AN323" i="3"/>
  <c r="AB324" i="3"/>
  <c r="AC324" i="3"/>
  <c r="AD324" i="3"/>
  <c r="AE324" i="3"/>
  <c r="AF324" i="3"/>
  <c r="AG324" i="3"/>
  <c r="AH324" i="3"/>
  <c r="AI324" i="3"/>
  <c r="AJ324" i="3"/>
  <c r="AK324" i="3"/>
  <c r="AM324" i="3" s="1"/>
  <c r="AN324" i="3"/>
  <c r="AB325" i="3"/>
  <c r="AC325" i="3"/>
  <c r="AD325" i="3"/>
  <c r="AE325" i="3"/>
  <c r="AF325" i="3"/>
  <c r="AG325" i="3"/>
  <c r="AH325" i="3"/>
  <c r="AI325" i="3"/>
  <c r="AJ325" i="3"/>
  <c r="AK325" i="3"/>
  <c r="AM325" i="3" s="1"/>
  <c r="AN325" i="3"/>
  <c r="AB326" i="3"/>
  <c r="AC326" i="3"/>
  <c r="AD326" i="3"/>
  <c r="AE326" i="3"/>
  <c r="AF326" i="3"/>
  <c r="AG326" i="3"/>
  <c r="AH326" i="3"/>
  <c r="AI326" i="3"/>
  <c r="AJ326" i="3"/>
  <c r="AK326" i="3"/>
  <c r="AM326" i="3" s="1"/>
  <c r="AN326" i="3"/>
  <c r="AB327" i="3"/>
  <c r="AC327" i="3"/>
  <c r="AD327" i="3"/>
  <c r="AE327" i="3"/>
  <c r="AF327" i="3"/>
  <c r="AG327" i="3"/>
  <c r="AH327" i="3"/>
  <c r="AI327" i="3"/>
  <c r="AJ327" i="3"/>
  <c r="AK327" i="3"/>
  <c r="AM327" i="3" s="1"/>
  <c r="AN327" i="3"/>
  <c r="AB328" i="3"/>
  <c r="AC328" i="3"/>
  <c r="AD328" i="3"/>
  <c r="AE328" i="3"/>
  <c r="AF328" i="3"/>
  <c r="AG328" i="3"/>
  <c r="AH328" i="3"/>
  <c r="AI328" i="3"/>
  <c r="AJ328" i="3"/>
  <c r="AK328" i="3"/>
  <c r="AM328" i="3" s="1"/>
  <c r="AN328" i="3"/>
  <c r="AB329" i="3"/>
  <c r="AC329" i="3"/>
  <c r="AD329" i="3"/>
  <c r="AE329" i="3"/>
  <c r="AF329" i="3"/>
  <c r="AG329" i="3"/>
  <c r="AH329" i="3"/>
  <c r="AI329" i="3"/>
  <c r="AJ329" i="3"/>
  <c r="AK329" i="3"/>
  <c r="AM329" i="3" s="1"/>
  <c r="AN329" i="3"/>
  <c r="AB330" i="3"/>
  <c r="AC330" i="3"/>
  <c r="AD330" i="3"/>
  <c r="AE330" i="3"/>
  <c r="AF330" i="3"/>
  <c r="AG330" i="3"/>
  <c r="AH330" i="3"/>
  <c r="AI330" i="3"/>
  <c r="AJ330" i="3"/>
  <c r="AK330" i="3"/>
  <c r="AM330" i="3" s="1"/>
  <c r="AN330" i="3"/>
  <c r="AB331" i="3"/>
  <c r="AC331" i="3"/>
  <c r="AD331" i="3"/>
  <c r="AE331" i="3"/>
  <c r="AF331" i="3"/>
  <c r="AG331" i="3"/>
  <c r="AH331" i="3"/>
  <c r="AI331" i="3"/>
  <c r="AJ331" i="3"/>
  <c r="AK331" i="3"/>
  <c r="AM331" i="3" s="1"/>
  <c r="AN331" i="3"/>
  <c r="AB332" i="3"/>
  <c r="AC332" i="3"/>
  <c r="AD332" i="3"/>
  <c r="AE332" i="3"/>
  <c r="AF332" i="3"/>
  <c r="AG332" i="3"/>
  <c r="AH332" i="3"/>
  <c r="AI332" i="3"/>
  <c r="AJ332" i="3"/>
  <c r="AK332" i="3"/>
  <c r="AM332" i="3" s="1"/>
  <c r="AN332" i="3"/>
  <c r="AB333" i="3"/>
  <c r="AC333" i="3"/>
  <c r="AD333" i="3"/>
  <c r="AE333" i="3"/>
  <c r="AF333" i="3"/>
  <c r="AG333" i="3"/>
  <c r="AH333" i="3"/>
  <c r="AI333" i="3"/>
  <c r="AJ333" i="3"/>
  <c r="AK333" i="3"/>
  <c r="AM333" i="3" s="1"/>
  <c r="AN333" i="3"/>
  <c r="AB334" i="3"/>
  <c r="AC334" i="3"/>
  <c r="AD334" i="3"/>
  <c r="AE334" i="3"/>
  <c r="AF334" i="3"/>
  <c r="AG334" i="3"/>
  <c r="AH334" i="3"/>
  <c r="AI334" i="3"/>
  <c r="AJ334" i="3"/>
  <c r="AK334" i="3"/>
  <c r="AM334" i="3" s="1"/>
  <c r="AN334" i="3"/>
  <c r="AB335" i="3"/>
  <c r="AC335" i="3"/>
  <c r="AD335" i="3"/>
  <c r="AE335" i="3"/>
  <c r="AF335" i="3"/>
  <c r="AG335" i="3"/>
  <c r="AH335" i="3"/>
  <c r="AI335" i="3"/>
  <c r="AJ335" i="3"/>
  <c r="AK335" i="3"/>
  <c r="AM335" i="3" s="1"/>
  <c r="AN335" i="3"/>
  <c r="AB336" i="3"/>
  <c r="AC336" i="3"/>
  <c r="AD336" i="3"/>
  <c r="AE336" i="3"/>
  <c r="AF336" i="3"/>
  <c r="AG336" i="3"/>
  <c r="AH336" i="3"/>
  <c r="AI336" i="3"/>
  <c r="AJ336" i="3"/>
  <c r="AK336" i="3"/>
  <c r="AM336" i="3" s="1"/>
  <c r="AN336" i="3"/>
  <c r="AB337" i="3"/>
  <c r="AC337" i="3"/>
  <c r="AD337" i="3"/>
  <c r="AE337" i="3"/>
  <c r="AF337" i="3"/>
  <c r="AG337" i="3"/>
  <c r="AH337" i="3"/>
  <c r="AI337" i="3"/>
  <c r="AJ337" i="3"/>
  <c r="AK337" i="3"/>
  <c r="AM337" i="3" s="1"/>
  <c r="AN337" i="3"/>
  <c r="AB338" i="3"/>
  <c r="AC338" i="3"/>
  <c r="AD338" i="3"/>
  <c r="AE338" i="3"/>
  <c r="AF338" i="3"/>
  <c r="AG338" i="3"/>
  <c r="AH338" i="3"/>
  <c r="AI338" i="3"/>
  <c r="AJ338" i="3"/>
  <c r="AK338" i="3"/>
  <c r="AM338" i="3" s="1"/>
  <c r="AN338" i="3"/>
  <c r="AB339" i="3"/>
  <c r="AC339" i="3"/>
  <c r="AD339" i="3"/>
  <c r="AE339" i="3"/>
  <c r="AF339" i="3"/>
  <c r="AG339" i="3"/>
  <c r="AH339" i="3"/>
  <c r="AI339" i="3"/>
  <c r="AJ339" i="3"/>
  <c r="AK339" i="3"/>
  <c r="AM339" i="3" s="1"/>
  <c r="AN339" i="3"/>
  <c r="AB340" i="3"/>
  <c r="AC340" i="3"/>
  <c r="AD340" i="3"/>
  <c r="AE340" i="3"/>
  <c r="AF340" i="3"/>
  <c r="AG340" i="3"/>
  <c r="AH340" i="3"/>
  <c r="AI340" i="3"/>
  <c r="AJ340" i="3"/>
  <c r="AK340" i="3"/>
  <c r="AM340" i="3" s="1"/>
  <c r="AN340" i="3"/>
  <c r="AB341" i="3"/>
  <c r="AC341" i="3"/>
  <c r="AD341" i="3"/>
  <c r="AE341" i="3"/>
  <c r="AF341" i="3"/>
  <c r="AG341" i="3"/>
  <c r="AH341" i="3"/>
  <c r="AI341" i="3"/>
  <c r="AJ341" i="3"/>
  <c r="AK341" i="3"/>
  <c r="AM341" i="3" s="1"/>
  <c r="AN341" i="3"/>
  <c r="AB342" i="3"/>
  <c r="AC342" i="3"/>
  <c r="AD342" i="3"/>
  <c r="AE342" i="3"/>
  <c r="AF342" i="3"/>
  <c r="AG342" i="3"/>
  <c r="AH342" i="3"/>
  <c r="AI342" i="3"/>
  <c r="AJ342" i="3"/>
  <c r="AK342" i="3"/>
  <c r="AM342" i="3" s="1"/>
  <c r="AN342" i="3"/>
  <c r="AB343" i="3"/>
  <c r="AC343" i="3"/>
  <c r="AD343" i="3"/>
  <c r="AE343" i="3"/>
  <c r="AF343" i="3"/>
  <c r="AG343" i="3"/>
  <c r="AH343" i="3"/>
  <c r="AI343" i="3"/>
  <c r="AJ343" i="3"/>
  <c r="AK343" i="3"/>
  <c r="AM343" i="3" s="1"/>
  <c r="AN343" i="3"/>
  <c r="AB344" i="3"/>
  <c r="AC344" i="3"/>
  <c r="AD344" i="3"/>
  <c r="AE344" i="3"/>
  <c r="AF344" i="3"/>
  <c r="AG344" i="3"/>
  <c r="AH344" i="3"/>
  <c r="AI344" i="3"/>
  <c r="AJ344" i="3"/>
  <c r="AK344" i="3"/>
  <c r="AM344" i="3" s="1"/>
  <c r="AN344" i="3"/>
  <c r="AB345" i="3"/>
  <c r="AC345" i="3"/>
  <c r="AD345" i="3"/>
  <c r="AE345" i="3"/>
  <c r="AF345" i="3"/>
  <c r="AG345" i="3"/>
  <c r="AH345" i="3"/>
  <c r="AI345" i="3"/>
  <c r="AJ345" i="3"/>
  <c r="AK345" i="3"/>
  <c r="AM345" i="3" s="1"/>
  <c r="AN345" i="3"/>
  <c r="AB346" i="3"/>
  <c r="AC346" i="3"/>
  <c r="AD346" i="3"/>
  <c r="AE346" i="3"/>
  <c r="AF346" i="3"/>
  <c r="AG346" i="3"/>
  <c r="AH346" i="3"/>
  <c r="AI346" i="3"/>
  <c r="AJ346" i="3"/>
  <c r="AK346" i="3"/>
  <c r="AM346" i="3" s="1"/>
  <c r="AN346" i="3"/>
  <c r="AB347" i="3"/>
  <c r="AC347" i="3"/>
  <c r="AD347" i="3"/>
  <c r="AE347" i="3"/>
  <c r="AF347" i="3"/>
  <c r="AG347" i="3"/>
  <c r="AH347" i="3"/>
  <c r="AI347" i="3"/>
  <c r="AJ347" i="3"/>
  <c r="AK347" i="3"/>
  <c r="AM347" i="3" s="1"/>
  <c r="AN347" i="3"/>
  <c r="AB348" i="3"/>
  <c r="AC348" i="3"/>
  <c r="AD348" i="3"/>
  <c r="AE348" i="3"/>
  <c r="AF348" i="3"/>
  <c r="AG348" i="3"/>
  <c r="AH348" i="3"/>
  <c r="AI348" i="3"/>
  <c r="AJ348" i="3"/>
  <c r="AK348" i="3"/>
  <c r="AM348" i="3" s="1"/>
  <c r="AN348" i="3"/>
  <c r="AB349" i="3"/>
  <c r="AC349" i="3"/>
  <c r="AD349" i="3"/>
  <c r="AE349" i="3"/>
  <c r="AF349" i="3"/>
  <c r="AG349" i="3"/>
  <c r="AH349" i="3"/>
  <c r="AI349" i="3"/>
  <c r="AJ349" i="3"/>
  <c r="AK349" i="3"/>
  <c r="AM349" i="3" s="1"/>
  <c r="AN349" i="3"/>
  <c r="AB350" i="3"/>
  <c r="AC350" i="3"/>
  <c r="AD350" i="3"/>
  <c r="AE350" i="3"/>
  <c r="AF350" i="3"/>
  <c r="AG350" i="3"/>
  <c r="AH350" i="3"/>
  <c r="AI350" i="3"/>
  <c r="AJ350" i="3"/>
  <c r="AK350" i="3"/>
  <c r="AM350" i="3" s="1"/>
  <c r="AN350" i="3"/>
  <c r="AB351" i="3"/>
  <c r="AC351" i="3"/>
  <c r="AD351" i="3"/>
  <c r="AE351" i="3"/>
  <c r="AF351" i="3"/>
  <c r="AG351" i="3"/>
  <c r="AH351" i="3"/>
  <c r="AI351" i="3"/>
  <c r="AJ351" i="3"/>
  <c r="AK351" i="3"/>
  <c r="AM351" i="3" s="1"/>
  <c r="AN351" i="3"/>
  <c r="AB352" i="3"/>
  <c r="AC352" i="3"/>
  <c r="AD352" i="3"/>
  <c r="AE352" i="3"/>
  <c r="AF352" i="3"/>
  <c r="AG352" i="3"/>
  <c r="AH352" i="3"/>
  <c r="AI352" i="3"/>
  <c r="AJ352" i="3"/>
  <c r="AK352" i="3"/>
  <c r="AM352" i="3" s="1"/>
  <c r="AN352" i="3"/>
  <c r="AB353" i="3"/>
  <c r="AC353" i="3"/>
  <c r="AD353" i="3"/>
  <c r="AE353" i="3"/>
  <c r="AF353" i="3"/>
  <c r="AG353" i="3"/>
  <c r="AH353" i="3"/>
  <c r="AI353" i="3"/>
  <c r="AJ353" i="3"/>
  <c r="AK353" i="3"/>
  <c r="AM353" i="3" s="1"/>
  <c r="AN353" i="3"/>
  <c r="AB354" i="3"/>
  <c r="AC354" i="3"/>
  <c r="AD354" i="3"/>
  <c r="AE354" i="3"/>
  <c r="AF354" i="3"/>
  <c r="AG354" i="3"/>
  <c r="AH354" i="3"/>
  <c r="AI354" i="3"/>
  <c r="AJ354" i="3"/>
  <c r="AK354" i="3"/>
  <c r="AM354" i="3" s="1"/>
  <c r="AN354" i="3"/>
  <c r="AB355" i="3"/>
  <c r="AC355" i="3"/>
  <c r="AD355" i="3"/>
  <c r="AE355" i="3"/>
  <c r="AF355" i="3"/>
  <c r="AG355" i="3"/>
  <c r="AH355" i="3"/>
  <c r="AI355" i="3"/>
  <c r="AJ355" i="3"/>
  <c r="AK355" i="3"/>
  <c r="AM355" i="3" s="1"/>
  <c r="AN355" i="3"/>
  <c r="AB356" i="3"/>
  <c r="AC356" i="3"/>
  <c r="AD356" i="3"/>
  <c r="AE356" i="3"/>
  <c r="AF356" i="3"/>
  <c r="AG356" i="3"/>
  <c r="AH356" i="3"/>
  <c r="AI356" i="3"/>
  <c r="AJ356" i="3"/>
  <c r="AK356" i="3"/>
  <c r="AM356" i="3" s="1"/>
  <c r="AN356" i="3"/>
  <c r="AB357" i="3"/>
  <c r="AC357" i="3"/>
  <c r="AD357" i="3"/>
  <c r="AE357" i="3"/>
  <c r="AF357" i="3"/>
  <c r="AG357" i="3"/>
  <c r="AH357" i="3"/>
  <c r="AI357" i="3"/>
  <c r="AJ357" i="3"/>
  <c r="AK357" i="3"/>
  <c r="AM357" i="3" s="1"/>
  <c r="AN357" i="3"/>
  <c r="AB358" i="3"/>
  <c r="AC358" i="3"/>
  <c r="AD358" i="3"/>
  <c r="AE358" i="3"/>
  <c r="AF358" i="3"/>
  <c r="AG358" i="3"/>
  <c r="AH358" i="3"/>
  <c r="AI358" i="3"/>
  <c r="AJ358" i="3"/>
  <c r="AK358" i="3"/>
  <c r="AM358" i="3" s="1"/>
  <c r="AN358" i="3"/>
  <c r="AB359" i="3"/>
  <c r="AC359" i="3"/>
  <c r="AD359" i="3"/>
  <c r="AE359" i="3"/>
  <c r="AF359" i="3"/>
  <c r="AG359" i="3"/>
  <c r="AH359" i="3"/>
  <c r="AI359" i="3"/>
  <c r="AJ359" i="3"/>
  <c r="AK359" i="3"/>
  <c r="AM359" i="3" s="1"/>
  <c r="AN359" i="3"/>
  <c r="AB360" i="3"/>
  <c r="AC360" i="3"/>
  <c r="AD360" i="3"/>
  <c r="AE360" i="3"/>
  <c r="AF360" i="3"/>
  <c r="AG360" i="3"/>
  <c r="AH360" i="3"/>
  <c r="AI360" i="3"/>
  <c r="AJ360" i="3"/>
  <c r="AK360" i="3"/>
  <c r="AM360" i="3" s="1"/>
  <c r="AN360" i="3"/>
  <c r="AB361" i="3"/>
  <c r="AC361" i="3"/>
  <c r="AD361" i="3"/>
  <c r="AE361" i="3"/>
  <c r="AF361" i="3"/>
  <c r="AG361" i="3"/>
  <c r="AH361" i="3"/>
  <c r="AI361" i="3"/>
  <c r="AJ361" i="3"/>
  <c r="AK361" i="3"/>
  <c r="AM361" i="3" s="1"/>
  <c r="AN361" i="3"/>
  <c r="AB362" i="3"/>
  <c r="AC362" i="3"/>
  <c r="AD362" i="3"/>
  <c r="AE362" i="3"/>
  <c r="AF362" i="3"/>
  <c r="AG362" i="3"/>
  <c r="AH362" i="3"/>
  <c r="AI362" i="3"/>
  <c r="AJ362" i="3"/>
  <c r="AK362" i="3"/>
  <c r="AM362" i="3" s="1"/>
  <c r="AN362" i="3"/>
  <c r="AB363" i="3"/>
  <c r="AC363" i="3"/>
  <c r="AD363" i="3"/>
  <c r="AE363" i="3"/>
  <c r="AF363" i="3"/>
  <c r="AG363" i="3"/>
  <c r="AH363" i="3"/>
  <c r="AI363" i="3"/>
  <c r="AJ363" i="3"/>
  <c r="AK363" i="3"/>
  <c r="AM363" i="3" s="1"/>
  <c r="AN363" i="3"/>
  <c r="AB364" i="3"/>
  <c r="AC364" i="3"/>
  <c r="AD364" i="3"/>
  <c r="AE364" i="3"/>
  <c r="AF364" i="3"/>
  <c r="AG364" i="3"/>
  <c r="AH364" i="3"/>
  <c r="AI364" i="3"/>
  <c r="AJ364" i="3"/>
  <c r="AK364" i="3"/>
  <c r="AM364" i="3" s="1"/>
  <c r="AN364" i="3"/>
  <c r="AB365" i="3"/>
  <c r="AC365" i="3"/>
  <c r="AD365" i="3"/>
  <c r="AE365" i="3"/>
  <c r="AF365" i="3"/>
  <c r="AG365" i="3"/>
  <c r="AH365" i="3"/>
  <c r="AI365" i="3"/>
  <c r="AJ365" i="3"/>
  <c r="AK365" i="3"/>
  <c r="AM365" i="3" s="1"/>
  <c r="AN365" i="3"/>
  <c r="AB366" i="3"/>
  <c r="AC366" i="3"/>
  <c r="AD366" i="3"/>
  <c r="AE366" i="3"/>
  <c r="AF366" i="3"/>
  <c r="AG366" i="3"/>
  <c r="AH366" i="3"/>
  <c r="AI366" i="3"/>
  <c r="AJ366" i="3"/>
  <c r="AK366" i="3"/>
  <c r="AM366" i="3" s="1"/>
  <c r="AN366" i="3"/>
  <c r="AB367" i="3"/>
  <c r="AC367" i="3"/>
  <c r="AD367" i="3"/>
  <c r="AE367" i="3"/>
  <c r="AF367" i="3"/>
  <c r="AG367" i="3"/>
  <c r="AH367" i="3"/>
  <c r="AI367" i="3"/>
  <c r="AJ367" i="3"/>
  <c r="AK367" i="3"/>
  <c r="AM367" i="3" s="1"/>
  <c r="AN367" i="3"/>
  <c r="AB368" i="3"/>
  <c r="AC368" i="3"/>
  <c r="AD368" i="3"/>
  <c r="AE368" i="3"/>
  <c r="AF368" i="3"/>
  <c r="AG368" i="3"/>
  <c r="AH368" i="3"/>
  <c r="AI368" i="3"/>
  <c r="AJ368" i="3"/>
  <c r="AK368" i="3"/>
  <c r="AM368" i="3" s="1"/>
  <c r="AN368" i="3"/>
  <c r="AB369" i="3"/>
  <c r="AC369" i="3"/>
  <c r="AD369" i="3"/>
  <c r="AE369" i="3"/>
  <c r="AF369" i="3"/>
  <c r="AG369" i="3"/>
  <c r="AH369" i="3"/>
  <c r="AI369" i="3"/>
  <c r="AJ369" i="3"/>
  <c r="AK369" i="3"/>
  <c r="AM369" i="3" s="1"/>
  <c r="AN369" i="3"/>
  <c r="AB370" i="3"/>
  <c r="AC370" i="3"/>
  <c r="AD370" i="3"/>
  <c r="AE370" i="3"/>
  <c r="AF370" i="3"/>
  <c r="AG370" i="3"/>
  <c r="AH370" i="3"/>
  <c r="AI370" i="3"/>
  <c r="AJ370" i="3"/>
  <c r="AK370" i="3"/>
  <c r="AM370" i="3" s="1"/>
  <c r="AN370" i="3"/>
  <c r="AB371" i="3"/>
  <c r="AC371" i="3"/>
  <c r="AD371" i="3"/>
  <c r="AE371" i="3"/>
  <c r="AF371" i="3"/>
  <c r="AG371" i="3"/>
  <c r="AH371" i="3"/>
  <c r="AI371" i="3"/>
  <c r="AJ371" i="3"/>
  <c r="AK371" i="3"/>
  <c r="AM371" i="3" s="1"/>
  <c r="AN371" i="3"/>
  <c r="AB372" i="3"/>
  <c r="AC372" i="3"/>
  <c r="AD372" i="3"/>
  <c r="AE372" i="3"/>
  <c r="AF372" i="3"/>
  <c r="AG372" i="3"/>
  <c r="AH372" i="3"/>
  <c r="AI372" i="3"/>
  <c r="AJ372" i="3"/>
  <c r="AK372" i="3"/>
  <c r="AM372" i="3" s="1"/>
  <c r="AN372" i="3"/>
  <c r="AB373" i="3"/>
  <c r="AC373" i="3"/>
  <c r="AD373" i="3"/>
  <c r="AE373" i="3"/>
  <c r="AF373" i="3"/>
  <c r="AG373" i="3"/>
  <c r="AH373" i="3"/>
  <c r="AI373" i="3"/>
  <c r="AJ373" i="3"/>
  <c r="AK373" i="3"/>
  <c r="AM373" i="3" s="1"/>
  <c r="AN373" i="3"/>
  <c r="AB374" i="3"/>
  <c r="AC374" i="3"/>
  <c r="AD374" i="3"/>
  <c r="AE374" i="3"/>
  <c r="AF374" i="3"/>
  <c r="AG374" i="3"/>
  <c r="AH374" i="3"/>
  <c r="AI374" i="3"/>
  <c r="AJ374" i="3"/>
  <c r="AK374" i="3"/>
  <c r="AM374" i="3" s="1"/>
  <c r="AN374" i="3"/>
  <c r="AB375" i="3"/>
  <c r="AC375" i="3"/>
  <c r="AD375" i="3"/>
  <c r="AE375" i="3"/>
  <c r="AF375" i="3"/>
  <c r="AG375" i="3"/>
  <c r="AH375" i="3"/>
  <c r="AI375" i="3"/>
  <c r="AJ375" i="3"/>
  <c r="AK375" i="3"/>
  <c r="AM375" i="3" s="1"/>
  <c r="AN375" i="3"/>
  <c r="AB376" i="3"/>
  <c r="AC376" i="3"/>
  <c r="AD376" i="3"/>
  <c r="AE376" i="3"/>
  <c r="AF376" i="3"/>
  <c r="AG376" i="3"/>
  <c r="AH376" i="3"/>
  <c r="AI376" i="3"/>
  <c r="AJ376" i="3"/>
  <c r="AK376" i="3"/>
  <c r="AM376" i="3" s="1"/>
  <c r="AN376" i="3"/>
  <c r="AB377" i="3"/>
  <c r="AC377" i="3"/>
  <c r="AD377" i="3"/>
  <c r="AE377" i="3"/>
  <c r="AF377" i="3"/>
  <c r="AG377" i="3"/>
  <c r="AH377" i="3"/>
  <c r="AI377" i="3"/>
  <c r="AJ377" i="3"/>
  <c r="AK377" i="3"/>
  <c r="AM377" i="3" s="1"/>
  <c r="AN377" i="3"/>
  <c r="AB378" i="3"/>
  <c r="AC378" i="3"/>
  <c r="AD378" i="3"/>
  <c r="AE378" i="3"/>
  <c r="AF378" i="3"/>
  <c r="AG378" i="3"/>
  <c r="AH378" i="3"/>
  <c r="AI378" i="3"/>
  <c r="AJ378" i="3"/>
  <c r="AK378" i="3"/>
  <c r="AM378" i="3" s="1"/>
  <c r="AN378" i="3"/>
  <c r="AB379" i="3"/>
  <c r="AC379" i="3"/>
  <c r="AD379" i="3"/>
  <c r="AE379" i="3"/>
  <c r="AF379" i="3"/>
  <c r="AG379" i="3"/>
  <c r="AH379" i="3"/>
  <c r="AI379" i="3"/>
  <c r="AJ379" i="3"/>
  <c r="AK379" i="3"/>
  <c r="AM379" i="3" s="1"/>
  <c r="AN379" i="3"/>
  <c r="AB380" i="3"/>
  <c r="AC380" i="3"/>
  <c r="AD380" i="3"/>
  <c r="AE380" i="3"/>
  <c r="AF380" i="3"/>
  <c r="AG380" i="3"/>
  <c r="AH380" i="3"/>
  <c r="AI380" i="3"/>
  <c r="AJ380" i="3"/>
  <c r="AK380" i="3"/>
  <c r="AM380" i="3" s="1"/>
  <c r="AN380" i="3"/>
  <c r="AB381" i="3"/>
  <c r="AC381" i="3"/>
  <c r="AD381" i="3"/>
  <c r="AE381" i="3"/>
  <c r="AF381" i="3"/>
  <c r="AG381" i="3"/>
  <c r="AH381" i="3"/>
  <c r="AI381" i="3"/>
  <c r="AJ381" i="3"/>
  <c r="AK381" i="3"/>
  <c r="AM381" i="3" s="1"/>
  <c r="AN381" i="3"/>
  <c r="AB382" i="3"/>
  <c r="AC382" i="3"/>
  <c r="AD382" i="3"/>
  <c r="AE382" i="3"/>
  <c r="AF382" i="3"/>
  <c r="AG382" i="3"/>
  <c r="AH382" i="3"/>
  <c r="AI382" i="3"/>
  <c r="AJ382" i="3"/>
  <c r="AK382" i="3"/>
  <c r="AM382" i="3" s="1"/>
  <c r="AN382" i="3"/>
  <c r="AB383" i="3"/>
  <c r="AC383" i="3"/>
  <c r="AD383" i="3"/>
  <c r="AE383" i="3"/>
  <c r="AF383" i="3"/>
  <c r="AG383" i="3"/>
  <c r="AH383" i="3"/>
  <c r="AI383" i="3"/>
  <c r="AJ383" i="3"/>
  <c r="AK383" i="3"/>
  <c r="AM383" i="3" s="1"/>
  <c r="AN383" i="3"/>
  <c r="AB384" i="3"/>
  <c r="AC384" i="3"/>
  <c r="AD384" i="3"/>
  <c r="AE384" i="3"/>
  <c r="AF384" i="3"/>
  <c r="AG384" i="3"/>
  <c r="AH384" i="3"/>
  <c r="AI384" i="3"/>
  <c r="AJ384" i="3"/>
  <c r="AK384" i="3"/>
  <c r="AM384" i="3" s="1"/>
  <c r="AN384" i="3"/>
  <c r="AB385" i="3"/>
  <c r="AC385" i="3"/>
  <c r="AD385" i="3"/>
  <c r="AE385" i="3"/>
  <c r="AF385" i="3"/>
  <c r="AG385" i="3"/>
  <c r="AH385" i="3"/>
  <c r="AI385" i="3"/>
  <c r="AJ385" i="3"/>
  <c r="AK385" i="3"/>
  <c r="AM385" i="3" s="1"/>
  <c r="AN385" i="3"/>
  <c r="AB386" i="3"/>
  <c r="AC386" i="3"/>
  <c r="AD386" i="3"/>
  <c r="AE386" i="3"/>
  <c r="AF386" i="3"/>
  <c r="AG386" i="3"/>
  <c r="AH386" i="3"/>
  <c r="AI386" i="3"/>
  <c r="AJ386" i="3"/>
  <c r="AK386" i="3"/>
  <c r="AM386" i="3" s="1"/>
  <c r="AN386" i="3"/>
  <c r="AB387" i="3"/>
  <c r="AC387" i="3"/>
  <c r="AD387" i="3"/>
  <c r="AE387" i="3"/>
  <c r="AF387" i="3"/>
  <c r="AG387" i="3"/>
  <c r="AH387" i="3"/>
  <c r="AI387" i="3"/>
  <c r="AJ387" i="3"/>
  <c r="AK387" i="3"/>
  <c r="AM387" i="3" s="1"/>
  <c r="AN387" i="3"/>
  <c r="AB388" i="3"/>
  <c r="AC388" i="3"/>
  <c r="AD388" i="3"/>
  <c r="AE388" i="3"/>
  <c r="AF388" i="3"/>
  <c r="AG388" i="3"/>
  <c r="AH388" i="3"/>
  <c r="AI388" i="3"/>
  <c r="AJ388" i="3"/>
  <c r="AK388" i="3"/>
  <c r="AM388" i="3" s="1"/>
  <c r="AN388" i="3"/>
  <c r="AB389" i="3"/>
  <c r="AC389" i="3"/>
  <c r="AD389" i="3"/>
  <c r="AE389" i="3"/>
  <c r="AF389" i="3"/>
  <c r="AG389" i="3"/>
  <c r="AH389" i="3"/>
  <c r="AI389" i="3"/>
  <c r="AJ389" i="3"/>
  <c r="AK389" i="3"/>
  <c r="AM389" i="3" s="1"/>
  <c r="AN389" i="3"/>
  <c r="AB390" i="3"/>
  <c r="AC390" i="3"/>
  <c r="AD390" i="3"/>
  <c r="AE390" i="3"/>
  <c r="AF390" i="3"/>
  <c r="AG390" i="3"/>
  <c r="AH390" i="3"/>
  <c r="AI390" i="3"/>
  <c r="AJ390" i="3"/>
  <c r="AK390" i="3"/>
  <c r="AM390" i="3" s="1"/>
  <c r="AN390" i="3"/>
  <c r="AB391" i="3"/>
  <c r="AC391" i="3"/>
  <c r="AD391" i="3"/>
  <c r="AE391" i="3"/>
  <c r="AF391" i="3"/>
  <c r="AG391" i="3"/>
  <c r="AH391" i="3"/>
  <c r="AI391" i="3"/>
  <c r="AJ391" i="3"/>
  <c r="AK391" i="3"/>
  <c r="AM391" i="3" s="1"/>
  <c r="AN391" i="3"/>
  <c r="AB392" i="3"/>
  <c r="AC392" i="3"/>
  <c r="AD392" i="3"/>
  <c r="AE392" i="3"/>
  <c r="AF392" i="3"/>
  <c r="AG392" i="3"/>
  <c r="AH392" i="3"/>
  <c r="AI392" i="3"/>
  <c r="AJ392" i="3"/>
  <c r="AK392" i="3"/>
  <c r="AM392" i="3" s="1"/>
  <c r="AN392" i="3"/>
  <c r="AB393" i="3"/>
  <c r="AC393" i="3"/>
  <c r="AD393" i="3"/>
  <c r="AE393" i="3"/>
  <c r="AF393" i="3"/>
  <c r="AG393" i="3"/>
  <c r="AH393" i="3"/>
  <c r="AI393" i="3"/>
  <c r="AJ393" i="3"/>
  <c r="AK393" i="3"/>
  <c r="AM393" i="3" s="1"/>
  <c r="AN393" i="3"/>
  <c r="AB394" i="3"/>
  <c r="AC394" i="3"/>
  <c r="AD394" i="3"/>
  <c r="AE394" i="3"/>
  <c r="AF394" i="3"/>
  <c r="AG394" i="3"/>
  <c r="AH394" i="3"/>
  <c r="AI394" i="3"/>
  <c r="AJ394" i="3"/>
  <c r="AK394" i="3"/>
  <c r="AM394" i="3" s="1"/>
  <c r="AN394" i="3"/>
  <c r="AB395" i="3"/>
  <c r="AC395" i="3"/>
  <c r="AD395" i="3"/>
  <c r="AE395" i="3"/>
  <c r="AF395" i="3"/>
  <c r="AG395" i="3"/>
  <c r="AH395" i="3"/>
  <c r="AI395" i="3"/>
  <c r="AJ395" i="3"/>
  <c r="AK395" i="3"/>
  <c r="AM395" i="3" s="1"/>
  <c r="AN395" i="3"/>
  <c r="AB396" i="3"/>
  <c r="AC396" i="3"/>
  <c r="AD396" i="3"/>
  <c r="AE396" i="3"/>
  <c r="AF396" i="3"/>
  <c r="AG396" i="3"/>
  <c r="AH396" i="3"/>
  <c r="AI396" i="3"/>
  <c r="AJ396" i="3"/>
  <c r="AK396" i="3"/>
  <c r="AM396" i="3" s="1"/>
  <c r="AN396" i="3"/>
  <c r="AB397" i="3"/>
  <c r="AC397" i="3"/>
  <c r="AD397" i="3"/>
  <c r="AE397" i="3"/>
  <c r="AF397" i="3"/>
  <c r="AG397" i="3"/>
  <c r="AH397" i="3"/>
  <c r="AI397" i="3"/>
  <c r="AJ397" i="3"/>
  <c r="AK397" i="3"/>
  <c r="AM397" i="3" s="1"/>
  <c r="AN397" i="3"/>
  <c r="AB398" i="3"/>
  <c r="AC398" i="3"/>
  <c r="AD398" i="3"/>
  <c r="AE398" i="3"/>
  <c r="AF398" i="3"/>
  <c r="AG398" i="3"/>
  <c r="AH398" i="3"/>
  <c r="AI398" i="3"/>
  <c r="AJ398" i="3"/>
  <c r="AK398" i="3"/>
  <c r="AM398" i="3" s="1"/>
  <c r="AN398" i="3"/>
  <c r="AB399" i="3"/>
  <c r="AC399" i="3"/>
  <c r="AD399" i="3"/>
  <c r="AE399" i="3"/>
  <c r="AF399" i="3"/>
  <c r="AG399" i="3"/>
  <c r="AH399" i="3"/>
  <c r="AI399" i="3"/>
  <c r="AJ399" i="3"/>
  <c r="AK399" i="3"/>
  <c r="AM399" i="3" s="1"/>
  <c r="AN399" i="3"/>
  <c r="AB400" i="3"/>
  <c r="AC400" i="3"/>
  <c r="AD400" i="3"/>
  <c r="AE400" i="3"/>
  <c r="AF400" i="3"/>
  <c r="AG400" i="3"/>
  <c r="AH400" i="3"/>
  <c r="AI400" i="3"/>
  <c r="AJ400" i="3"/>
  <c r="AK400" i="3"/>
  <c r="AM400" i="3" s="1"/>
  <c r="AN400" i="3"/>
  <c r="AB401" i="3"/>
  <c r="AC401" i="3"/>
  <c r="AD401" i="3"/>
  <c r="AE401" i="3"/>
  <c r="AF401" i="3"/>
  <c r="AG401" i="3"/>
  <c r="AH401" i="3"/>
  <c r="AI401" i="3"/>
  <c r="AJ401" i="3"/>
  <c r="AK401" i="3"/>
  <c r="AM401" i="3" s="1"/>
  <c r="AN401" i="3"/>
  <c r="AB402" i="3"/>
  <c r="AC402" i="3"/>
  <c r="AD402" i="3"/>
  <c r="AE402" i="3"/>
  <c r="AF402" i="3"/>
  <c r="AG402" i="3"/>
  <c r="AH402" i="3"/>
  <c r="AI402" i="3"/>
  <c r="AJ402" i="3"/>
  <c r="AK402" i="3"/>
  <c r="AM402" i="3" s="1"/>
  <c r="AN402" i="3"/>
  <c r="AB403" i="3"/>
  <c r="AC403" i="3"/>
  <c r="AD403" i="3"/>
  <c r="AE403" i="3"/>
  <c r="AF403" i="3"/>
  <c r="AG403" i="3"/>
  <c r="AH403" i="3"/>
  <c r="AI403" i="3"/>
  <c r="AJ403" i="3"/>
  <c r="AK403" i="3"/>
  <c r="AM403" i="3" s="1"/>
  <c r="AN403" i="3"/>
  <c r="AB404" i="3"/>
  <c r="AC404" i="3"/>
  <c r="AD404" i="3"/>
  <c r="AE404" i="3"/>
  <c r="AF404" i="3"/>
  <c r="AG404" i="3"/>
  <c r="AH404" i="3"/>
  <c r="AI404" i="3"/>
  <c r="AJ404" i="3"/>
  <c r="AK404" i="3"/>
  <c r="AM404" i="3" s="1"/>
  <c r="AN404" i="3"/>
  <c r="AB405" i="3"/>
  <c r="AC405" i="3"/>
  <c r="AD405" i="3"/>
  <c r="AE405" i="3"/>
  <c r="AF405" i="3"/>
  <c r="AG405" i="3"/>
  <c r="AH405" i="3"/>
  <c r="AI405" i="3"/>
  <c r="AJ405" i="3"/>
  <c r="AK405" i="3"/>
  <c r="AM405" i="3" s="1"/>
  <c r="AN405" i="3"/>
  <c r="AB406" i="3"/>
  <c r="AC406" i="3"/>
  <c r="AD406" i="3"/>
  <c r="AE406" i="3"/>
  <c r="AF406" i="3"/>
  <c r="AG406" i="3"/>
  <c r="AH406" i="3"/>
  <c r="AI406" i="3"/>
  <c r="AJ406" i="3"/>
  <c r="AK406" i="3"/>
  <c r="AM406" i="3" s="1"/>
  <c r="AN406" i="3"/>
  <c r="AB407" i="3"/>
  <c r="AC407" i="3"/>
  <c r="AD407" i="3"/>
  <c r="AE407" i="3"/>
  <c r="AF407" i="3"/>
  <c r="AG407" i="3"/>
  <c r="AH407" i="3"/>
  <c r="AI407" i="3"/>
  <c r="AJ407" i="3"/>
  <c r="AK407" i="3"/>
  <c r="AM407" i="3" s="1"/>
  <c r="AN407" i="3"/>
  <c r="AB408" i="3"/>
  <c r="AC408" i="3"/>
  <c r="AD408" i="3"/>
  <c r="AE408" i="3"/>
  <c r="AF408" i="3"/>
  <c r="AG408" i="3"/>
  <c r="AH408" i="3"/>
  <c r="AI408" i="3"/>
  <c r="AJ408" i="3"/>
  <c r="AK408" i="3"/>
  <c r="AM408" i="3" s="1"/>
  <c r="AN408" i="3"/>
  <c r="AB409" i="3"/>
  <c r="AC409" i="3"/>
  <c r="AD409" i="3"/>
  <c r="AE409" i="3"/>
  <c r="AF409" i="3"/>
  <c r="AG409" i="3"/>
  <c r="AH409" i="3"/>
  <c r="AI409" i="3"/>
  <c r="AJ409" i="3"/>
  <c r="AK409" i="3"/>
  <c r="AM409" i="3" s="1"/>
  <c r="AN409" i="3"/>
  <c r="AB410" i="3"/>
  <c r="AC410" i="3"/>
  <c r="AD410" i="3"/>
  <c r="AE410" i="3"/>
  <c r="AF410" i="3"/>
  <c r="AG410" i="3"/>
  <c r="AH410" i="3"/>
  <c r="AI410" i="3"/>
  <c r="AJ410" i="3"/>
  <c r="AK410" i="3"/>
  <c r="AM410" i="3" s="1"/>
  <c r="AN410" i="3"/>
  <c r="AB411" i="3"/>
  <c r="AC411" i="3"/>
  <c r="AD411" i="3"/>
  <c r="AE411" i="3"/>
  <c r="AF411" i="3"/>
  <c r="AG411" i="3"/>
  <c r="AH411" i="3"/>
  <c r="AI411" i="3"/>
  <c r="AJ411" i="3"/>
  <c r="AK411" i="3"/>
  <c r="AM411" i="3" s="1"/>
  <c r="AN411" i="3"/>
  <c r="AB412" i="3"/>
  <c r="AC412" i="3"/>
  <c r="AD412" i="3"/>
  <c r="AE412" i="3"/>
  <c r="AF412" i="3"/>
  <c r="AG412" i="3"/>
  <c r="AH412" i="3"/>
  <c r="AI412" i="3"/>
  <c r="AJ412" i="3"/>
  <c r="AK412" i="3"/>
  <c r="AM412" i="3" s="1"/>
  <c r="AN412" i="3"/>
  <c r="AB413" i="3"/>
  <c r="AC413" i="3"/>
  <c r="AD413" i="3"/>
  <c r="AE413" i="3"/>
  <c r="AF413" i="3"/>
  <c r="AG413" i="3"/>
  <c r="AH413" i="3"/>
  <c r="AI413" i="3"/>
  <c r="AJ413" i="3"/>
  <c r="AK413" i="3"/>
  <c r="AM413" i="3" s="1"/>
  <c r="AN413" i="3"/>
  <c r="AB414" i="3"/>
  <c r="AC414" i="3"/>
  <c r="AD414" i="3"/>
  <c r="AE414" i="3"/>
  <c r="AF414" i="3"/>
  <c r="AG414" i="3"/>
  <c r="AH414" i="3"/>
  <c r="AI414" i="3"/>
  <c r="AJ414" i="3"/>
  <c r="AK414" i="3"/>
  <c r="AM414" i="3" s="1"/>
  <c r="AN414" i="3"/>
  <c r="AB415" i="3"/>
  <c r="AC415" i="3"/>
  <c r="AD415" i="3"/>
  <c r="AE415" i="3"/>
  <c r="AF415" i="3"/>
  <c r="AG415" i="3"/>
  <c r="AH415" i="3"/>
  <c r="AI415" i="3"/>
  <c r="AJ415" i="3"/>
  <c r="AK415" i="3"/>
  <c r="AM415" i="3" s="1"/>
  <c r="AN415" i="3"/>
  <c r="AB416" i="3"/>
  <c r="AC416" i="3"/>
  <c r="AD416" i="3"/>
  <c r="AE416" i="3"/>
  <c r="AF416" i="3"/>
  <c r="AG416" i="3"/>
  <c r="AH416" i="3"/>
  <c r="AI416" i="3"/>
  <c r="AJ416" i="3"/>
  <c r="AK416" i="3"/>
  <c r="AM416" i="3" s="1"/>
  <c r="AN416" i="3"/>
  <c r="AB417" i="3"/>
  <c r="AC417" i="3"/>
  <c r="AD417" i="3"/>
  <c r="AE417" i="3"/>
  <c r="AF417" i="3"/>
  <c r="AG417" i="3"/>
  <c r="AH417" i="3"/>
  <c r="AI417" i="3"/>
  <c r="AJ417" i="3"/>
  <c r="AK417" i="3"/>
  <c r="AM417" i="3" s="1"/>
  <c r="AN417" i="3"/>
  <c r="AB418" i="3"/>
  <c r="AC418" i="3"/>
  <c r="AD418" i="3"/>
  <c r="AE418" i="3"/>
  <c r="AF418" i="3"/>
  <c r="AG418" i="3"/>
  <c r="AH418" i="3"/>
  <c r="AI418" i="3"/>
  <c r="AJ418" i="3"/>
  <c r="AK418" i="3"/>
  <c r="AM418" i="3" s="1"/>
  <c r="AN418" i="3"/>
  <c r="AB419" i="3"/>
  <c r="AC419" i="3"/>
  <c r="AD419" i="3"/>
  <c r="AE419" i="3"/>
  <c r="AF419" i="3"/>
  <c r="AG419" i="3"/>
  <c r="AH419" i="3"/>
  <c r="AI419" i="3"/>
  <c r="AJ419" i="3"/>
  <c r="AK419" i="3"/>
  <c r="AM419" i="3" s="1"/>
  <c r="AN419" i="3"/>
  <c r="AB420" i="3"/>
  <c r="AC420" i="3"/>
  <c r="AD420" i="3"/>
  <c r="AE420" i="3"/>
  <c r="AF420" i="3"/>
  <c r="AG420" i="3"/>
  <c r="AH420" i="3"/>
  <c r="AI420" i="3"/>
  <c r="AJ420" i="3"/>
  <c r="AK420" i="3"/>
  <c r="AM420" i="3" s="1"/>
  <c r="AN420" i="3"/>
  <c r="AB421" i="3"/>
  <c r="AC421" i="3"/>
  <c r="AD421" i="3"/>
  <c r="AE421" i="3"/>
  <c r="AF421" i="3"/>
  <c r="AG421" i="3"/>
  <c r="AH421" i="3"/>
  <c r="AI421" i="3"/>
  <c r="AJ421" i="3"/>
  <c r="AK421" i="3"/>
  <c r="AM421" i="3" s="1"/>
  <c r="AN421" i="3"/>
  <c r="AB422" i="3"/>
  <c r="AC422" i="3"/>
  <c r="AD422" i="3"/>
  <c r="AE422" i="3"/>
  <c r="AF422" i="3"/>
  <c r="AG422" i="3"/>
  <c r="AH422" i="3"/>
  <c r="AI422" i="3"/>
  <c r="AJ422" i="3"/>
  <c r="AK422" i="3"/>
  <c r="AM422" i="3" s="1"/>
  <c r="AN422" i="3"/>
  <c r="AB423" i="3"/>
  <c r="AC423" i="3"/>
  <c r="AD423" i="3"/>
  <c r="AE423" i="3"/>
  <c r="AF423" i="3"/>
  <c r="AG423" i="3"/>
  <c r="AH423" i="3"/>
  <c r="AI423" i="3"/>
  <c r="AJ423" i="3"/>
  <c r="AK423" i="3"/>
  <c r="AM423" i="3" s="1"/>
  <c r="AN423" i="3"/>
  <c r="AB424" i="3"/>
  <c r="AC424" i="3"/>
  <c r="AD424" i="3"/>
  <c r="AE424" i="3"/>
  <c r="AF424" i="3"/>
  <c r="AG424" i="3"/>
  <c r="AH424" i="3"/>
  <c r="AI424" i="3"/>
  <c r="AJ424" i="3"/>
  <c r="AK424" i="3"/>
  <c r="AM424" i="3" s="1"/>
  <c r="AN424" i="3"/>
  <c r="AB425" i="3"/>
  <c r="AC425" i="3"/>
  <c r="AD425" i="3"/>
  <c r="AE425" i="3"/>
  <c r="AF425" i="3"/>
  <c r="AG425" i="3"/>
  <c r="AH425" i="3"/>
  <c r="AI425" i="3"/>
  <c r="AJ425" i="3"/>
  <c r="AK425" i="3"/>
  <c r="AM425" i="3" s="1"/>
  <c r="AN425" i="3"/>
  <c r="AB426" i="3"/>
  <c r="AC426" i="3"/>
  <c r="AD426" i="3"/>
  <c r="AE426" i="3"/>
  <c r="AF426" i="3"/>
  <c r="AG426" i="3"/>
  <c r="AH426" i="3"/>
  <c r="AI426" i="3"/>
  <c r="AJ426" i="3"/>
  <c r="AK426" i="3"/>
  <c r="AM426" i="3" s="1"/>
  <c r="AN426" i="3"/>
  <c r="AB427" i="3"/>
  <c r="AC427" i="3"/>
  <c r="AD427" i="3"/>
  <c r="AE427" i="3"/>
  <c r="AF427" i="3"/>
  <c r="AG427" i="3"/>
  <c r="AH427" i="3"/>
  <c r="AI427" i="3"/>
  <c r="AJ427" i="3"/>
  <c r="AK427" i="3"/>
  <c r="AM427" i="3" s="1"/>
  <c r="AN427" i="3"/>
  <c r="AB428" i="3"/>
  <c r="AC428" i="3"/>
  <c r="AD428" i="3"/>
  <c r="AE428" i="3"/>
  <c r="AF428" i="3"/>
  <c r="AG428" i="3"/>
  <c r="AH428" i="3"/>
  <c r="AI428" i="3"/>
  <c r="AJ428" i="3"/>
  <c r="AK428" i="3"/>
  <c r="AM428" i="3" s="1"/>
  <c r="AN428" i="3"/>
  <c r="AB429" i="3"/>
  <c r="AC429" i="3"/>
  <c r="AD429" i="3"/>
  <c r="AE429" i="3"/>
  <c r="AF429" i="3"/>
  <c r="AG429" i="3"/>
  <c r="AH429" i="3"/>
  <c r="AI429" i="3"/>
  <c r="AJ429" i="3"/>
  <c r="AK429" i="3"/>
  <c r="AM429" i="3" s="1"/>
  <c r="AN429" i="3"/>
  <c r="AB430" i="3"/>
  <c r="AC430" i="3"/>
  <c r="AD430" i="3"/>
  <c r="AE430" i="3"/>
  <c r="AF430" i="3"/>
  <c r="AG430" i="3"/>
  <c r="AH430" i="3"/>
  <c r="AI430" i="3"/>
  <c r="AJ430" i="3"/>
  <c r="AK430" i="3"/>
  <c r="AM430" i="3" s="1"/>
  <c r="AN430" i="3"/>
  <c r="AB431" i="3"/>
  <c r="AC431" i="3"/>
  <c r="AD431" i="3"/>
  <c r="AE431" i="3"/>
  <c r="AF431" i="3"/>
  <c r="AG431" i="3"/>
  <c r="AH431" i="3"/>
  <c r="AI431" i="3"/>
  <c r="AJ431" i="3"/>
  <c r="AK431" i="3"/>
  <c r="AM431" i="3" s="1"/>
  <c r="AN431" i="3"/>
  <c r="AB432" i="3"/>
  <c r="AC432" i="3"/>
  <c r="AD432" i="3"/>
  <c r="AE432" i="3"/>
  <c r="AF432" i="3"/>
  <c r="AG432" i="3"/>
  <c r="AH432" i="3"/>
  <c r="AI432" i="3"/>
  <c r="AJ432" i="3"/>
  <c r="AK432" i="3"/>
  <c r="AM432" i="3" s="1"/>
  <c r="AN432" i="3"/>
  <c r="AB433" i="3"/>
  <c r="AC433" i="3"/>
  <c r="AD433" i="3"/>
  <c r="AE433" i="3"/>
  <c r="AF433" i="3"/>
  <c r="AG433" i="3"/>
  <c r="AH433" i="3"/>
  <c r="AI433" i="3"/>
  <c r="AJ433" i="3"/>
  <c r="AK433" i="3"/>
  <c r="AM433" i="3" s="1"/>
  <c r="AN433" i="3"/>
  <c r="AB434" i="3"/>
  <c r="AC434" i="3"/>
  <c r="AD434" i="3"/>
  <c r="AE434" i="3"/>
  <c r="AF434" i="3"/>
  <c r="AG434" i="3"/>
  <c r="AH434" i="3"/>
  <c r="AI434" i="3"/>
  <c r="AJ434" i="3"/>
  <c r="AK434" i="3"/>
  <c r="AM434" i="3" s="1"/>
  <c r="AN434" i="3"/>
  <c r="AB435" i="3"/>
  <c r="AC435" i="3"/>
  <c r="AD435" i="3"/>
  <c r="AE435" i="3"/>
  <c r="AF435" i="3"/>
  <c r="AG435" i="3"/>
  <c r="AH435" i="3"/>
  <c r="AI435" i="3"/>
  <c r="AJ435" i="3"/>
  <c r="AK435" i="3"/>
  <c r="AM435" i="3" s="1"/>
  <c r="AN435" i="3"/>
  <c r="AB436" i="3"/>
  <c r="AC436" i="3"/>
  <c r="AD436" i="3"/>
  <c r="AE436" i="3"/>
  <c r="AF436" i="3"/>
  <c r="AG436" i="3"/>
  <c r="AH436" i="3"/>
  <c r="AI436" i="3"/>
  <c r="AJ436" i="3"/>
  <c r="AK436" i="3"/>
  <c r="AM436" i="3" s="1"/>
  <c r="AN436" i="3"/>
  <c r="AB437" i="3"/>
  <c r="AC437" i="3"/>
  <c r="AD437" i="3"/>
  <c r="AE437" i="3"/>
  <c r="AF437" i="3"/>
  <c r="AG437" i="3"/>
  <c r="AH437" i="3"/>
  <c r="AI437" i="3"/>
  <c r="AJ437" i="3"/>
  <c r="AK437" i="3"/>
  <c r="AM437" i="3" s="1"/>
  <c r="AN437" i="3"/>
  <c r="AB438" i="3"/>
  <c r="AC438" i="3"/>
  <c r="AD438" i="3"/>
  <c r="AE438" i="3"/>
  <c r="AF438" i="3"/>
  <c r="AG438" i="3"/>
  <c r="AH438" i="3"/>
  <c r="AI438" i="3"/>
  <c r="AJ438" i="3"/>
  <c r="AK438" i="3"/>
  <c r="AM438" i="3" s="1"/>
  <c r="AN438" i="3"/>
  <c r="AB439" i="3"/>
  <c r="AC439" i="3"/>
  <c r="AD439" i="3"/>
  <c r="AE439" i="3"/>
  <c r="AF439" i="3"/>
  <c r="AG439" i="3"/>
  <c r="AH439" i="3"/>
  <c r="AI439" i="3"/>
  <c r="AJ439" i="3"/>
  <c r="AK439" i="3"/>
  <c r="AM439" i="3" s="1"/>
  <c r="AN439" i="3"/>
  <c r="AB440" i="3"/>
  <c r="AC440" i="3"/>
  <c r="AD440" i="3"/>
  <c r="AE440" i="3"/>
  <c r="AF440" i="3"/>
  <c r="AG440" i="3"/>
  <c r="AH440" i="3"/>
  <c r="AI440" i="3"/>
  <c r="AJ440" i="3"/>
  <c r="AK440" i="3"/>
  <c r="AM440" i="3" s="1"/>
  <c r="AN440" i="3"/>
  <c r="AB441" i="3"/>
  <c r="AC441" i="3"/>
  <c r="AD441" i="3"/>
  <c r="AE441" i="3"/>
  <c r="AF441" i="3"/>
  <c r="AG441" i="3"/>
  <c r="AH441" i="3"/>
  <c r="AI441" i="3"/>
  <c r="AJ441" i="3"/>
  <c r="AK441" i="3"/>
  <c r="AM441" i="3" s="1"/>
  <c r="AN441" i="3"/>
  <c r="AB442" i="3"/>
  <c r="AC442" i="3"/>
  <c r="AD442" i="3"/>
  <c r="AE442" i="3"/>
  <c r="AF442" i="3"/>
  <c r="AG442" i="3"/>
  <c r="AH442" i="3"/>
  <c r="AI442" i="3"/>
  <c r="AJ442" i="3"/>
  <c r="AK442" i="3"/>
  <c r="AM442" i="3" s="1"/>
  <c r="AN442" i="3"/>
  <c r="AB443" i="3"/>
  <c r="AC443" i="3"/>
  <c r="AD443" i="3"/>
  <c r="AE443" i="3"/>
  <c r="AF443" i="3"/>
  <c r="AG443" i="3"/>
  <c r="AH443" i="3"/>
  <c r="AI443" i="3"/>
  <c r="AJ443" i="3"/>
  <c r="AK443" i="3"/>
  <c r="AM443" i="3" s="1"/>
  <c r="AN443" i="3"/>
  <c r="AB444" i="3"/>
  <c r="AC444" i="3"/>
  <c r="AD444" i="3"/>
  <c r="AE444" i="3"/>
  <c r="AF444" i="3"/>
  <c r="AG444" i="3"/>
  <c r="AH444" i="3"/>
  <c r="AI444" i="3"/>
  <c r="AJ444" i="3"/>
  <c r="AK444" i="3"/>
  <c r="AM444" i="3" s="1"/>
  <c r="AN444" i="3"/>
  <c r="AB445" i="3"/>
  <c r="AC445" i="3"/>
  <c r="AD445" i="3"/>
  <c r="AE445" i="3"/>
  <c r="AF445" i="3"/>
  <c r="AG445" i="3"/>
  <c r="AH445" i="3"/>
  <c r="AI445" i="3"/>
  <c r="AJ445" i="3"/>
  <c r="AK445" i="3"/>
  <c r="AM445" i="3" s="1"/>
  <c r="AN445" i="3"/>
  <c r="AB446" i="3"/>
  <c r="AC446" i="3"/>
  <c r="AD446" i="3"/>
  <c r="AE446" i="3"/>
  <c r="AF446" i="3"/>
  <c r="AG446" i="3"/>
  <c r="AH446" i="3"/>
  <c r="AI446" i="3"/>
  <c r="AJ446" i="3"/>
  <c r="AK446" i="3"/>
  <c r="AM446" i="3" s="1"/>
  <c r="AN446" i="3"/>
  <c r="AB447" i="3"/>
  <c r="AC447" i="3"/>
  <c r="AD447" i="3"/>
  <c r="AE447" i="3"/>
  <c r="AF447" i="3"/>
  <c r="AG447" i="3"/>
  <c r="AH447" i="3"/>
  <c r="AI447" i="3"/>
  <c r="AJ447" i="3"/>
  <c r="AK447" i="3"/>
  <c r="AM447" i="3" s="1"/>
  <c r="AN447" i="3"/>
  <c r="AB448" i="3"/>
  <c r="AC448" i="3"/>
  <c r="AD448" i="3"/>
  <c r="AE448" i="3"/>
  <c r="AF448" i="3"/>
  <c r="AG448" i="3"/>
  <c r="AH448" i="3"/>
  <c r="AI448" i="3"/>
  <c r="AJ448" i="3"/>
  <c r="AK448" i="3"/>
  <c r="AM448" i="3" s="1"/>
  <c r="AN448" i="3"/>
  <c r="AB449" i="3"/>
  <c r="AC449" i="3"/>
  <c r="AD449" i="3"/>
  <c r="AE449" i="3"/>
  <c r="AF449" i="3"/>
  <c r="AG449" i="3"/>
  <c r="AH449" i="3"/>
  <c r="AI449" i="3"/>
  <c r="AJ449" i="3"/>
  <c r="AK449" i="3"/>
  <c r="AM449" i="3" s="1"/>
  <c r="AN449" i="3"/>
  <c r="AB450" i="3"/>
  <c r="AC450" i="3"/>
  <c r="AD450" i="3"/>
  <c r="AE450" i="3"/>
  <c r="AF450" i="3"/>
  <c r="AG450" i="3"/>
  <c r="AH450" i="3"/>
  <c r="AI450" i="3"/>
  <c r="AJ450" i="3"/>
  <c r="AK450" i="3"/>
  <c r="AM450" i="3" s="1"/>
  <c r="AN450" i="3"/>
  <c r="AB451" i="3"/>
  <c r="AC451" i="3"/>
  <c r="AD451" i="3"/>
  <c r="AE451" i="3"/>
  <c r="AF451" i="3"/>
  <c r="AG451" i="3"/>
  <c r="AH451" i="3"/>
  <c r="AI451" i="3"/>
  <c r="AJ451" i="3"/>
  <c r="AK451" i="3"/>
  <c r="AM451" i="3" s="1"/>
  <c r="AN451" i="3"/>
  <c r="AB452" i="3"/>
  <c r="AC452" i="3"/>
  <c r="AD452" i="3"/>
  <c r="AE452" i="3"/>
  <c r="AF452" i="3"/>
  <c r="AG452" i="3"/>
  <c r="AH452" i="3"/>
  <c r="AI452" i="3"/>
  <c r="AJ452" i="3"/>
  <c r="AK452" i="3"/>
  <c r="AM452" i="3" s="1"/>
  <c r="AN452" i="3"/>
  <c r="AB453" i="3"/>
  <c r="AC453" i="3"/>
  <c r="AD453" i="3"/>
  <c r="AE453" i="3"/>
  <c r="AF453" i="3"/>
  <c r="AG453" i="3"/>
  <c r="AH453" i="3"/>
  <c r="AI453" i="3"/>
  <c r="AJ453" i="3"/>
  <c r="AK453" i="3"/>
  <c r="AM453" i="3" s="1"/>
  <c r="AN453" i="3"/>
  <c r="AB454" i="3"/>
  <c r="AC454" i="3"/>
  <c r="AD454" i="3"/>
  <c r="AE454" i="3"/>
  <c r="AF454" i="3"/>
  <c r="AG454" i="3"/>
  <c r="AH454" i="3"/>
  <c r="AI454" i="3"/>
  <c r="AJ454" i="3"/>
  <c r="AK454" i="3"/>
  <c r="AM454" i="3" s="1"/>
  <c r="AN454" i="3"/>
  <c r="AB455" i="3"/>
  <c r="AC455" i="3"/>
  <c r="AD455" i="3"/>
  <c r="AE455" i="3"/>
  <c r="AF455" i="3"/>
  <c r="AG455" i="3"/>
  <c r="AH455" i="3"/>
  <c r="AI455" i="3"/>
  <c r="AJ455" i="3"/>
  <c r="AK455" i="3"/>
  <c r="AM455" i="3" s="1"/>
  <c r="AN455" i="3"/>
  <c r="AB456" i="3"/>
  <c r="AC456" i="3"/>
  <c r="AD456" i="3"/>
  <c r="AE456" i="3"/>
  <c r="AF456" i="3"/>
  <c r="AG456" i="3"/>
  <c r="AH456" i="3"/>
  <c r="AI456" i="3"/>
  <c r="AJ456" i="3"/>
  <c r="AK456" i="3"/>
  <c r="AM456" i="3" s="1"/>
  <c r="AN456" i="3"/>
  <c r="AB457" i="3"/>
  <c r="AC457" i="3"/>
  <c r="AD457" i="3"/>
  <c r="AE457" i="3"/>
  <c r="AF457" i="3"/>
  <c r="AG457" i="3"/>
  <c r="AH457" i="3"/>
  <c r="AI457" i="3"/>
  <c r="AJ457" i="3"/>
  <c r="AK457" i="3"/>
  <c r="AM457" i="3" s="1"/>
  <c r="AN457" i="3"/>
  <c r="AB458" i="3"/>
  <c r="AC458" i="3"/>
  <c r="AD458" i="3"/>
  <c r="AE458" i="3"/>
  <c r="AF458" i="3"/>
  <c r="AG458" i="3"/>
  <c r="AH458" i="3"/>
  <c r="AI458" i="3"/>
  <c r="AJ458" i="3"/>
  <c r="AK458" i="3"/>
  <c r="AM458" i="3" s="1"/>
  <c r="AN458" i="3"/>
  <c r="AB459" i="3"/>
  <c r="AC459" i="3"/>
  <c r="AD459" i="3"/>
  <c r="AE459" i="3"/>
  <c r="AF459" i="3"/>
  <c r="AG459" i="3"/>
  <c r="AH459" i="3"/>
  <c r="AI459" i="3"/>
  <c r="AJ459" i="3"/>
  <c r="AK459" i="3"/>
  <c r="AM459" i="3" s="1"/>
  <c r="AN459" i="3"/>
  <c r="AB460" i="3"/>
  <c r="AC460" i="3"/>
  <c r="AD460" i="3"/>
  <c r="AE460" i="3"/>
  <c r="AF460" i="3"/>
  <c r="AG460" i="3"/>
  <c r="AH460" i="3"/>
  <c r="AI460" i="3"/>
  <c r="AJ460" i="3"/>
  <c r="AK460" i="3"/>
  <c r="AM460" i="3" s="1"/>
  <c r="AN460" i="3"/>
  <c r="AB461" i="3"/>
  <c r="AC461" i="3"/>
  <c r="AD461" i="3"/>
  <c r="AE461" i="3"/>
  <c r="AF461" i="3"/>
  <c r="AG461" i="3"/>
  <c r="AH461" i="3"/>
  <c r="AI461" i="3"/>
  <c r="AJ461" i="3"/>
  <c r="AK461" i="3"/>
  <c r="AM461" i="3" s="1"/>
  <c r="AN461" i="3"/>
  <c r="AB462" i="3"/>
  <c r="AC462" i="3"/>
  <c r="AD462" i="3"/>
  <c r="AE462" i="3"/>
  <c r="AF462" i="3"/>
  <c r="AG462" i="3"/>
  <c r="AH462" i="3"/>
  <c r="AI462" i="3"/>
  <c r="AJ462" i="3"/>
  <c r="AK462" i="3"/>
  <c r="AM462" i="3" s="1"/>
  <c r="AN462" i="3"/>
  <c r="AB463" i="3"/>
  <c r="AC463" i="3"/>
  <c r="AD463" i="3"/>
  <c r="AE463" i="3"/>
  <c r="AF463" i="3"/>
  <c r="AG463" i="3"/>
  <c r="AH463" i="3"/>
  <c r="AI463" i="3"/>
  <c r="AJ463" i="3"/>
  <c r="AK463" i="3"/>
  <c r="AM463" i="3" s="1"/>
  <c r="AN463" i="3"/>
  <c r="AB464" i="3"/>
  <c r="AC464" i="3"/>
  <c r="AD464" i="3"/>
  <c r="AE464" i="3"/>
  <c r="AF464" i="3"/>
  <c r="AG464" i="3"/>
  <c r="AH464" i="3"/>
  <c r="AI464" i="3"/>
  <c r="AJ464" i="3"/>
  <c r="AK464" i="3"/>
  <c r="AM464" i="3" s="1"/>
  <c r="AN464" i="3"/>
  <c r="AB465" i="3"/>
  <c r="AC465" i="3"/>
  <c r="AD465" i="3"/>
  <c r="AE465" i="3"/>
  <c r="AF465" i="3"/>
  <c r="AG465" i="3"/>
  <c r="AH465" i="3"/>
  <c r="AI465" i="3"/>
  <c r="AJ465" i="3"/>
  <c r="AK465" i="3"/>
  <c r="AM465" i="3" s="1"/>
  <c r="AN465" i="3"/>
  <c r="AB466" i="3"/>
  <c r="AC466" i="3"/>
  <c r="AD466" i="3"/>
  <c r="AE466" i="3"/>
  <c r="AF466" i="3"/>
  <c r="AG466" i="3"/>
  <c r="AH466" i="3"/>
  <c r="AI466" i="3"/>
  <c r="AJ466" i="3"/>
  <c r="AK466" i="3"/>
  <c r="AM466" i="3" s="1"/>
  <c r="AN466" i="3"/>
  <c r="AB467" i="3"/>
  <c r="AC467" i="3"/>
  <c r="AD467" i="3"/>
  <c r="AE467" i="3"/>
  <c r="AF467" i="3"/>
  <c r="AG467" i="3"/>
  <c r="AH467" i="3"/>
  <c r="AI467" i="3"/>
  <c r="AJ467" i="3"/>
  <c r="AK467" i="3"/>
  <c r="AM467" i="3" s="1"/>
  <c r="AN467" i="3"/>
  <c r="AB468" i="3"/>
  <c r="AC468" i="3"/>
  <c r="AD468" i="3"/>
  <c r="AE468" i="3"/>
  <c r="AF468" i="3"/>
  <c r="AG468" i="3"/>
  <c r="AH468" i="3"/>
  <c r="AI468" i="3"/>
  <c r="AJ468" i="3"/>
  <c r="AK468" i="3"/>
  <c r="AM468" i="3" s="1"/>
  <c r="AN468" i="3"/>
  <c r="AB469" i="3"/>
  <c r="AC469" i="3"/>
  <c r="AD469" i="3"/>
  <c r="AE469" i="3"/>
  <c r="AF469" i="3"/>
  <c r="AG469" i="3"/>
  <c r="AH469" i="3"/>
  <c r="AI469" i="3"/>
  <c r="AJ469" i="3"/>
  <c r="AK469" i="3"/>
  <c r="AM469" i="3" s="1"/>
  <c r="AN469" i="3"/>
  <c r="AB470" i="3"/>
  <c r="AC470" i="3"/>
  <c r="AD470" i="3"/>
  <c r="AE470" i="3"/>
  <c r="AF470" i="3"/>
  <c r="AG470" i="3"/>
  <c r="AH470" i="3"/>
  <c r="AI470" i="3"/>
  <c r="AJ470" i="3"/>
  <c r="AK470" i="3"/>
  <c r="AM470" i="3" s="1"/>
  <c r="AN470" i="3"/>
  <c r="AB471" i="3"/>
  <c r="AC471" i="3"/>
  <c r="AD471" i="3"/>
  <c r="AE471" i="3"/>
  <c r="AF471" i="3"/>
  <c r="AG471" i="3"/>
  <c r="AH471" i="3"/>
  <c r="AI471" i="3"/>
  <c r="AJ471" i="3"/>
  <c r="AK471" i="3"/>
  <c r="AM471" i="3" s="1"/>
  <c r="AN471" i="3"/>
  <c r="AB472" i="3"/>
  <c r="AC472" i="3"/>
  <c r="AD472" i="3"/>
  <c r="AE472" i="3"/>
  <c r="AF472" i="3"/>
  <c r="AG472" i="3"/>
  <c r="AH472" i="3"/>
  <c r="AI472" i="3"/>
  <c r="AJ472" i="3"/>
  <c r="AK472" i="3"/>
  <c r="AM472" i="3" s="1"/>
  <c r="AN472" i="3"/>
  <c r="AB473" i="3"/>
  <c r="AC473" i="3"/>
  <c r="AD473" i="3"/>
  <c r="AE473" i="3"/>
  <c r="AF473" i="3"/>
  <c r="AG473" i="3"/>
  <c r="AH473" i="3"/>
  <c r="AI473" i="3"/>
  <c r="AJ473" i="3"/>
  <c r="AK473" i="3"/>
  <c r="AM473" i="3" s="1"/>
  <c r="AN473" i="3"/>
  <c r="AB474" i="3"/>
  <c r="AC474" i="3"/>
  <c r="AD474" i="3"/>
  <c r="AE474" i="3"/>
  <c r="AF474" i="3"/>
  <c r="AG474" i="3"/>
  <c r="AH474" i="3"/>
  <c r="AI474" i="3"/>
  <c r="AJ474" i="3"/>
  <c r="AK474" i="3"/>
  <c r="AM474" i="3" s="1"/>
  <c r="AN474" i="3"/>
  <c r="AB475" i="3"/>
  <c r="AC475" i="3"/>
  <c r="AD475" i="3"/>
  <c r="AE475" i="3"/>
  <c r="AF475" i="3"/>
  <c r="AG475" i="3"/>
  <c r="AH475" i="3"/>
  <c r="AI475" i="3"/>
  <c r="AJ475" i="3"/>
  <c r="AK475" i="3"/>
  <c r="AM475" i="3" s="1"/>
  <c r="AN475" i="3"/>
  <c r="AB476" i="3"/>
  <c r="AC476" i="3"/>
  <c r="AD476" i="3"/>
  <c r="AE476" i="3"/>
  <c r="AF476" i="3"/>
  <c r="AG476" i="3"/>
  <c r="AH476" i="3"/>
  <c r="AI476" i="3"/>
  <c r="AJ476" i="3"/>
  <c r="AK476" i="3"/>
  <c r="AM476" i="3" s="1"/>
  <c r="AN476" i="3"/>
  <c r="AB477" i="3"/>
  <c r="AC477" i="3"/>
  <c r="AD477" i="3"/>
  <c r="AE477" i="3"/>
  <c r="AF477" i="3"/>
  <c r="AG477" i="3"/>
  <c r="AH477" i="3"/>
  <c r="AI477" i="3"/>
  <c r="AJ477" i="3"/>
  <c r="AK477" i="3"/>
  <c r="AM477" i="3" s="1"/>
  <c r="AN477" i="3"/>
  <c r="AB478" i="3"/>
  <c r="AC478" i="3"/>
  <c r="AD478" i="3"/>
  <c r="AE478" i="3"/>
  <c r="AF478" i="3"/>
  <c r="AG478" i="3"/>
  <c r="AH478" i="3"/>
  <c r="AI478" i="3"/>
  <c r="AJ478" i="3"/>
  <c r="AK478" i="3"/>
  <c r="AM478" i="3" s="1"/>
  <c r="AN478" i="3"/>
  <c r="AB479" i="3"/>
  <c r="AC479" i="3"/>
  <c r="AD479" i="3"/>
  <c r="AE479" i="3"/>
  <c r="AF479" i="3"/>
  <c r="AG479" i="3"/>
  <c r="AH479" i="3"/>
  <c r="AI479" i="3"/>
  <c r="AJ479" i="3"/>
  <c r="AK479" i="3"/>
  <c r="AM479" i="3" s="1"/>
  <c r="AN479" i="3"/>
  <c r="AB480" i="3"/>
  <c r="AC480" i="3"/>
  <c r="AD480" i="3"/>
  <c r="AE480" i="3"/>
  <c r="AF480" i="3"/>
  <c r="AG480" i="3"/>
  <c r="AH480" i="3"/>
  <c r="AI480" i="3"/>
  <c r="AJ480" i="3"/>
  <c r="AK480" i="3"/>
  <c r="AM480" i="3" s="1"/>
  <c r="AN480" i="3"/>
  <c r="AB481" i="3"/>
  <c r="AC481" i="3"/>
  <c r="AD481" i="3"/>
  <c r="AE481" i="3"/>
  <c r="AF481" i="3"/>
  <c r="AG481" i="3"/>
  <c r="AH481" i="3"/>
  <c r="AI481" i="3"/>
  <c r="AJ481" i="3"/>
  <c r="AK481" i="3"/>
  <c r="AM481" i="3" s="1"/>
  <c r="AN481" i="3"/>
  <c r="AB482" i="3"/>
  <c r="AC482" i="3"/>
  <c r="AD482" i="3"/>
  <c r="AE482" i="3"/>
  <c r="AF482" i="3"/>
  <c r="AG482" i="3"/>
  <c r="AH482" i="3"/>
  <c r="AI482" i="3"/>
  <c r="AJ482" i="3"/>
  <c r="AK482" i="3"/>
  <c r="AM482" i="3" s="1"/>
  <c r="AN482" i="3"/>
  <c r="AB483" i="3"/>
  <c r="AC483" i="3"/>
  <c r="AD483" i="3"/>
  <c r="AE483" i="3"/>
  <c r="AF483" i="3"/>
  <c r="AG483" i="3"/>
  <c r="AH483" i="3"/>
  <c r="AI483" i="3"/>
  <c r="AJ483" i="3"/>
  <c r="AK483" i="3"/>
  <c r="AM483" i="3" s="1"/>
  <c r="AN483" i="3"/>
  <c r="AB484" i="3"/>
  <c r="AC484" i="3"/>
  <c r="AD484" i="3"/>
  <c r="AE484" i="3"/>
  <c r="AF484" i="3"/>
  <c r="AG484" i="3"/>
  <c r="AH484" i="3"/>
  <c r="AI484" i="3"/>
  <c r="AJ484" i="3"/>
  <c r="AK484" i="3"/>
  <c r="AM484" i="3" s="1"/>
  <c r="AN484" i="3"/>
  <c r="AB485" i="3"/>
  <c r="AC485" i="3"/>
  <c r="AD485" i="3"/>
  <c r="AE485" i="3"/>
  <c r="AF485" i="3"/>
  <c r="AG485" i="3"/>
  <c r="AH485" i="3"/>
  <c r="AI485" i="3"/>
  <c r="AJ485" i="3"/>
  <c r="AK485" i="3"/>
  <c r="AM485" i="3" s="1"/>
  <c r="AN485" i="3"/>
  <c r="AB486" i="3"/>
  <c r="AC486" i="3"/>
  <c r="AD486" i="3"/>
  <c r="AE486" i="3"/>
  <c r="AF486" i="3"/>
  <c r="AG486" i="3"/>
  <c r="AH486" i="3"/>
  <c r="AI486" i="3"/>
  <c r="AJ486" i="3"/>
  <c r="AK486" i="3"/>
  <c r="AM486" i="3" s="1"/>
  <c r="AN486" i="3"/>
  <c r="AB487" i="3"/>
  <c r="AC487" i="3"/>
  <c r="AD487" i="3"/>
  <c r="AE487" i="3"/>
  <c r="AF487" i="3"/>
  <c r="AG487" i="3"/>
  <c r="AH487" i="3"/>
  <c r="AI487" i="3"/>
  <c r="AJ487" i="3"/>
  <c r="AK487" i="3"/>
  <c r="AM487" i="3" s="1"/>
  <c r="AN487" i="3"/>
  <c r="AB488" i="3"/>
  <c r="AC488" i="3"/>
  <c r="AD488" i="3"/>
  <c r="AE488" i="3"/>
  <c r="AF488" i="3"/>
  <c r="AG488" i="3"/>
  <c r="AH488" i="3"/>
  <c r="AI488" i="3"/>
  <c r="AJ488" i="3"/>
  <c r="AK488" i="3"/>
  <c r="AM488" i="3" s="1"/>
  <c r="AN488" i="3"/>
  <c r="AB489" i="3"/>
  <c r="AC489" i="3"/>
  <c r="AD489" i="3"/>
  <c r="AE489" i="3"/>
  <c r="AF489" i="3"/>
  <c r="AG489" i="3"/>
  <c r="AH489" i="3"/>
  <c r="AI489" i="3"/>
  <c r="AJ489" i="3"/>
  <c r="AK489" i="3"/>
  <c r="AM489" i="3" s="1"/>
  <c r="AN489" i="3"/>
  <c r="AB490" i="3"/>
  <c r="AC490" i="3"/>
  <c r="AD490" i="3"/>
  <c r="AE490" i="3"/>
  <c r="AF490" i="3"/>
  <c r="AG490" i="3"/>
  <c r="AH490" i="3"/>
  <c r="AI490" i="3"/>
  <c r="AJ490" i="3"/>
  <c r="AK490" i="3"/>
  <c r="AM490" i="3" s="1"/>
  <c r="AN490" i="3"/>
  <c r="AB491" i="3"/>
  <c r="AC491" i="3"/>
  <c r="AD491" i="3"/>
  <c r="AE491" i="3"/>
  <c r="AF491" i="3"/>
  <c r="AG491" i="3"/>
  <c r="AH491" i="3"/>
  <c r="AI491" i="3"/>
  <c r="AJ491" i="3"/>
  <c r="AK491" i="3"/>
  <c r="AM491" i="3" s="1"/>
  <c r="AN491" i="3"/>
  <c r="AB492" i="3"/>
  <c r="AC492" i="3"/>
  <c r="AD492" i="3"/>
  <c r="AE492" i="3"/>
  <c r="AF492" i="3"/>
  <c r="AG492" i="3"/>
  <c r="AH492" i="3"/>
  <c r="AI492" i="3"/>
  <c r="AJ492" i="3"/>
  <c r="AK492" i="3"/>
  <c r="AM492" i="3" s="1"/>
  <c r="AN492" i="3"/>
  <c r="AB493" i="3"/>
  <c r="AC493" i="3"/>
  <c r="AD493" i="3"/>
  <c r="AE493" i="3"/>
  <c r="AF493" i="3"/>
  <c r="AG493" i="3"/>
  <c r="AH493" i="3"/>
  <c r="AI493" i="3"/>
  <c r="AJ493" i="3"/>
  <c r="AK493" i="3"/>
  <c r="AM493" i="3" s="1"/>
  <c r="AN493" i="3"/>
  <c r="AB494" i="3"/>
  <c r="AC494" i="3"/>
  <c r="AD494" i="3"/>
  <c r="AE494" i="3"/>
  <c r="AF494" i="3"/>
  <c r="AG494" i="3"/>
  <c r="AH494" i="3"/>
  <c r="AI494" i="3"/>
  <c r="AJ494" i="3"/>
  <c r="AK494" i="3"/>
  <c r="AM494" i="3" s="1"/>
  <c r="AN494" i="3"/>
  <c r="AB495" i="3"/>
  <c r="AC495" i="3"/>
  <c r="AD495" i="3"/>
  <c r="AE495" i="3"/>
  <c r="AF495" i="3"/>
  <c r="AG495" i="3"/>
  <c r="AH495" i="3"/>
  <c r="AI495" i="3"/>
  <c r="AJ495" i="3"/>
  <c r="AK495" i="3"/>
  <c r="AM495" i="3" s="1"/>
  <c r="AN495" i="3"/>
  <c r="AB496" i="3"/>
  <c r="AC496" i="3"/>
  <c r="AD496" i="3"/>
  <c r="AE496" i="3"/>
  <c r="AF496" i="3"/>
  <c r="AG496" i="3"/>
  <c r="AH496" i="3"/>
  <c r="AI496" i="3"/>
  <c r="AJ496" i="3"/>
  <c r="AK496" i="3"/>
  <c r="AM496" i="3" s="1"/>
  <c r="AN496" i="3"/>
  <c r="AB497" i="3"/>
  <c r="AC497" i="3"/>
  <c r="AD497" i="3"/>
  <c r="AE497" i="3"/>
  <c r="AF497" i="3"/>
  <c r="AG497" i="3"/>
  <c r="AH497" i="3"/>
  <c r="AI497" i="3"/>
  <c r="AJ497" i="3"/>
  <c r="AK497" i="3"/>
  <c r="AM497" i="3" s="1"/>
  <c r="AN497" i="3"/>
  <c r="AB498" i="3"/>
  <c r="AC498" i="3"/>
  <c r="AD498" i="3"/>
  <c r="AE498" i="3"/>
  <c r="AF498" i="3"/>
  <c r="AG498" i="3"/>
  <c r="AH498" i="3"/>
  <c r="AI498" i="3"/>
  <c r="AJ498" i="3"/>
  <c r="AK498" i="3"/>
  <c r="AM498" i="3" s="1"/>
  <c r="AN498" i="3"/>
  <c r="AB499" i="3"/>
  <c r="AC499" i="3"/>
  <c r="AD499" i="3"/>
  <c r="AE499" i="3"/>
  <c r="AF499" i="3"/>
  <c r="AG499" i="3"/>
  <c r="AH499" i="3"/>
  <c r="AI499" i="3"/>
  <c r="AJ499" i="3"/>
  <c r="AK499" i="3"/>
  <c r="AM499" i="3" s="1"/>
  <c r="AN499" i="3"/>
  <c r="AB500" i="3"/>
  <c r="AC500" i="3"/>
  <c r="AD500" i="3"/>
  <c r="AE500" i="3"/>
  <c r="AF500" i="3"/>
  <c r="AG500" i="3"/>
  <c r="AH500" i="3"/>
  <c r="AI500" i="3"/>
  <c r="AJ500" i="3"/>
  <c r="AK500" i="3"/>
  <c r="AM500" i="3" s="1"/>
  <c r="AN500" i="3"/>
  <c r="AB501" i="3"/>
  <c r="AC501" i="3"/>
  <c r="AD501" i="3"/>
  <c r="AE501" i="3"/>
  <c r="AF501" i="3"/>
  <c r="AG501" i="3"/>
  <c r="AH501" i="3"/>
  <c r="AI501" i="3"/>
  <c r="AJ501" i="3"/>
  <c r="AK501" i="3"/>
  <c r="AM501" i="3" s="1"/>
  <c r="AN501" i="3"/>
  <c r="AB502" i="3"/>
  <c r="AC502" i="3"/>
  <c r="AD502" i="3"/>
  <c r="AE502" i="3"/>
  <c r="AF502" i="3"/>
  <c r="AG502" i="3"/>
  <c r="AH502" i="3"/>
  <c r="AI502" i="3"/>
  <c r="AJ502" i="3"/>
  <c r="AK502" i="3"/>
  <c r="AM502" i="3" s="1"/>
  <c r="AN502" i="3"/>
  <c r="AB503" i="3"/>
  <c r="AC503" i="3"/>
  <c r="AD503" i="3"/>
  <c r="AE503" i="3"/>
  <c r="AF503" i="3"/>
  <c r="AG503" i="3"/>
  <c r="AH503" i="3"/>
  <c r="AI503" i="3"/>
  <c r="AJ503" i="3"/>
  <c r="AK503" i="3"/>
  <c r="AM503" i="3" s="1"/>
  <c r="AN503" i="3"/>
  <c r="AB504" i="3"/>
  <c r="AC504" i="3"/>
  <c r="AD504" i="3"/>
  <c r="AE504" i="3"/>
  <c r="AF504" i="3"/>
  <c r="AG504" i="3"/>
  <c r="AH504" i="3"/>
  <c r="AI504" i="3"/>
  <c r="AJ504" i="3"/>
  <c r="AK504" i="3"/>
  <c r="AM504" i="3" s="1"/>
  <c r="AN504" i="3"/>
  <c r="AB505" i="3"/>
  <c r="AC505" i="3"/>
  <c r="AD505" i="3"/>
  <c r="AE505" i="3"/>
  <c r="AF505" i="3"/>
  <c r="AG505" i="3"/>
  <c r="AH505" i="3"/>
  <c r="AI505" i="3"/>
  <c r="AJ505" i="3"/>
  <c r="AK505" i="3"/>
  <c r="AM505" i="3" s="1"/>
  <c r="AN505" i="3"/>
  <c r="AB506" i="3"/>
  <c r="AC506" i="3"/>
  <c r="AD506" i="3"/>
  <c r="AE506" i="3"/>
  <c r="AF506" i="3"/>
  <c r="AG506" i="3"/>
  <c r="AH506" i="3"/>
  <c r="AI506" i="3"/>
  <c r="AJ506" i="3"/>
  <c r="AK506" i="3"/>
  <c r="AM506" i="3" s="1"/>
  <c r="AN506" i="3"/>
  <c r="AB507" i="3"/>
  <c r="AC507" i="3"/>
  <c r="AD507" i="3"/>
  <c r="AE507" i="3"/>
  <c r="AF507" i="3"/>
  <c r="AG507" i="3"/>
  <c r="AH507" i="3"/>
  <c r="AI507" i="3"/>
  <c r="AJ507" i="3"/>
  <c r="AK507" i="3"/>
  <c r="AM507" i="3" s="1"/>
  <c r="AN507" i="3"/>
  <c r="AB508" i="3"/>
  <c r="AC508" i="3"/>
  <c r="AD508" i="3"/>
  <c r="AE508" i="3"/>
  <c r="AF508" i="3"/>
  <c r="AG508" i="3"/>
  <c r="AH508" i="3"/>
  <c r="AI508" i="3"/>
  <c r="AJ508" i="3"/>
  <c r="AK508" i="3"/>
  <c r="AM508" i="3" s="1"/>
  <c r="AN508" i="3"/>
  <c r="AB509" i="3"/>
  <c r="AC509" i="3"/>
  <c r="AD509" i="3"/>
  <c r="AE509" i="3"/>
  <c r="AF509" i="3"/>
  <c r="AG509" i="3"/>
  <c r="AH509" i="3"/>
  <c r="AI509" i="3"/>
  <c r="AJ509" i="3"/>
  <c r="AK509" i="3"/>
  <c r="AM509" i="3" s="1"/>
  <c r="AN509" i="3"/>
  <c r="AB510" i="3"/>
  <c r="AC510" i="3"/>
  <c r="AD510" i="3"/>
  <c r="AE510" i="3"/>
  <c r="AF510" i="3"/>
  <c r="AG510" i="3"/>
  <c r="AH510" i="3"/>
  <c r="AI510" i="3"/>
  <c r="AJ510" i="3"/>
  <c r="AK510" i="3"/>
  <c r="AM510" i="3" s="1"/>
  <c r="AN510" i="3"/>
  <c r="AB511" i="3"/>
  <c r="AC511" i="3"/>
  <c r="AD511" i="3"/>
  <c r="AE511" i="3"/>
  <c r="AF511" i="3"/>
  <c r="AG511" i="3"/>
  <c r="AH511" i="3"/>
  <c r="AI511" i="3"/>
  <c r="AJ511" i="3"/>
  <c r="AK511" i="3"/>
  <c r="AM511" i="3" s="1"/>
  <c r="AN511" i="3"/>
  <c r="AB512" i="3"/>
  <c r="AC512" i="3"/>
  <c r="AD512" i="3"/>
  <c r="AE512" i="3"/>
  <c r="AF512" i="3"/>
  <c r="AG512" i="3"/>
  <c r="AH512" i="3"/>
  <c r="AI512" i="3"/>
  <c r="AJ512" i="3"/>
  <c r="AK512" i="3"/>
  <c r="AM512" i="3" s="1"/>
  <c r="AN512" i="3"/>
  <c r="AB513" i="3"/>
  <c r="AC513" i="3"/>
  <c r="AD513" i="3"/>
  <c r="AE513" i="3"/>
  <c r="AF513" i="3"/>
  <c r="AG513" i="3"/>
  <c r="AH513" i="3"/>
  <c r="AI513" i="3"/>
  <c r="AJ513" i="3"/>
  <c r="AK513" i="3"/>
  <c r="AM513" i="3" s="1"/>
  <c r="AN513" i="3"/>
  <c r="AB514" i="3"/>
  <c r="AC514" i="3"/>
  <c r="AD514" i="3"/>
  <c r="AE514" i="3"/>
  <c r="AF514" i="3"/>
  <c r="AG514" i="3"/>
  <c r="AH514" i="3"/>
  <c r="AI514" i="3"/>
  <c r="AJ514" i="3"/>
  <c r="AK514" i="3"/>
  <c r="AM514" i="3" s="1"/>
  <c r="AN514" i="3"/>
  <c r="AB515" i="3"/>
  <c r="AC515" i="3"/>
  <c r="AD515" i="3"/>
  <c r="AE515" i="3"/>
  <c r="AF515" i="3"/>
  <c r="AG515" i="3"/>
  <c r="AH515" i="3"/>
  <c r="AI515" i="3"/>
  <c r="AJ515" i="3"/>
  <c r="AK515" i="3"/>
  <c r="AM515" i="3" s="1"/>
  <c r="AN515" i="3"/>
  <c r="AB516" i="3"/>
  <c r="AC516" i="3"/>
  <c r="AD516" i="3"/>
  <c r="AE516" i="3"/>
  <c r="AF516" i="3"/>
  <c r="AG516" i="3"/>
  <c r="AH516" i="3"/>
  <c r="AI516" i="3"/>
  <c r="AJ516" i="3"/>
  <c r="AK516" i="3"/>
  <c r="AM516" i="3" s="1"/>
  <c r="AN516" i="3"/>
  <c r="AB517" i="3"/>
  <c r="AC517" i="3"/>
  <c r="AD517" i="3"/>
  <c r="AE517" i="3"/>
  <c r="AF517" i="3"/>
  <c r="AG517" i="3"/>
  <c r="AH517" i="3"/>
  <c r="AI517" i="3"/>
  <c r="AJ517" i="3"/>
  <c r="AK517" i="3"/>
  <c r="AM517" i="3" s="1"/>
  <c r="AN517" i="3"/>
  <c r="AB518" i="3"/>
  <c r="AC518" i="3"/>
  <c r="AD518" i="3"/>
  <c r="AE518" i="3"/>
  <c r="AF518" i="3"/>
  <c r="AG518" i="3"/>
  <c r="AH518" i="3"/>
  <c r="AI518" i="3"/>
  <c r="AJ518" i="3"/>
  <c r="AK518" i="3"/>
  <c r="AM518" i="3" s="1"/>
  <c r="AN518" i="3"/>
  <c r="AB519" i="3"/>
  <c r="AC519" i="3"/>
  <c r="AD519" i="3"/>
  <c r="AE519" i="3"/>
  <c r="AF519" i="3"/>
  <c r="AG519" i="3"/>
  <c r="AH519" i="3"/>
  <c r="AI519" i="3"/>
  <c r="AJ519" i="3"/>
  <c r="AK519" i="3"/>
  <c r="AM519" i="3" s="1"/>
  <c r="AN519" i="3"/>
  <c r="AB520" i="3"/>
  <c r="AC520" i="3"/>
  <c r="AD520" i="3"/>
  <c r="AE520" i="3"/>
  <c r="AF520" i="3"/>
  <c r="AG520" i="3"/>
  <c r="AH520" i="3"/>
  <c r="AI520" i="3"/>
  <c r="AJ520" i="3"/>
  <c r="AK520" i="3"/>
  <c r="AM520" i="3" s="1"/>
  <c r="AN520" i="3"/>
  <c r="AB521" i="3"/>
  <c r="AC521" i="3"/>
  <c r="AD521" i="3"/>
  <c r="AE521" i="3"/>
  <c r="AF521" i="3"/>
  <c r="AG521" i="3"/>
  <c r="AH521" i="3"/>
  <c r="AI521" i="3"/>
  <c r="AJ521" i="3"/>
  <c r="AK521" i="3"/>
  <c r="AM521" i="3" s="1"/>
  <c r="AN521" i="3"/>
  <c r="AB522" i="3"/>
  <c r="AC522" i="3"/>
  <c r="AD522" i="3"/>
  <c r="AE522" i="3"/>
  <c r="AF522" i="3"/>
  <c r="AG522" i="3"/>
  <c r="AH522" i="3"/>
  <c r="AI522" i="3"/>
  <c r="AJ522" i="3"/>
  <c r="AK522" i="3"/>
  <c r="AM522" i="3" s="1"/>
  <c r="AN522" i="3"/>
  <c r="AB523" i="3"/>
  <c r="AC523" i="3"/>
  <c r="AD523" i="3"/>
  <c r="AE523" i="3"/>
  <c r="AF523" i="3"/>
  <c r="AG523" i="3"/>
  <c r="AH523" i="3"/>
  <c r="AI523" i="3"/>
  <c r="AJ523" i="3"/>
  <c r="AK523" i="3"/>
  <c r="AM523" i="3" s="1"/>
  <c r="AN523" i="3"/>
  <c r="AB524" i="3"/>
  <c r="AC524" i="3"/>
  <c r="AD524" i="3"/>
  <c r="AE524" i="3"/>
  <c r="AF524" i="3"/>
  <c r="AG524" i="3"/>
  <c r="AH524" i="3"/>
  <c r="AI524" i="3"/>
  <c r="AJ524" i="3"/>
  <c r="AK524" i="3"/>
  <c r="AM524" i="3" s="1"/>
  <c r="AN524" i="3"/>
  <c r="AB525" i="3"/>
  <c r="AC525" i="3"/>
  <c r="AD525" i="3"/>
  <c r="AE525" i="3"/>
  <c r="AF525" i="3"/>
  <c r="AG525" i="3"/>
  <c r="AH525" i="3"/>
  <c r="AI525" i="3"/>
  <c r="AJ525" i="3"/>
  <c r="AK525" i="3"/>
  <c r="AM525" i="3" s="1"/>
  <c r="AN525" i="3"/>
  <c r="AB526" i="3"/>
  <c r="AC526" i="3"/>
  <c r="AD526" i="3"/>
  <c r="AE526" i="3"/>
  <c r="AF526" i="3"/>
  <c r="AG526" i="3"/>
  <c r="AH526" i="3"/>
  <c r="AI526" i="3"/>
  <c r="AJ526" i="3"/>
  <c r="AK526" i="3"/>
  <c r="AM526" i="3" s="1"/>
  <c r="AN526" i="3"/>
  <c r="AB527" i="3"/>
  <c r="AC527" i="3"/>
  <c r="AD527" i="3"/>
  <c r="AE527" i="3"/>
  <c r="AF527" i="3"/>
  <c r="AG527" i="3"/>
  <c r="AH527" i="3"/>
  <c r="AI527" i="3"/>
  <c r="AJ527" i="3"/>
  <c r="AK527" i="3"/>
  <c r="AM527" i="3" s="1"/>
  <c r="AN527" i="3"/>
  <c r="AB528" i="3"/>
  <c r="AC528" i="3"/>
  <c r="AD528" i="3"/>
  <c r="AE528" i="3"/>
  <c r="AF528" i="3"/>
  <c r="AG528" i="3"/>
  <c r="AH528" i="3"/>
  <c r="AI528" i="3"/>
  <c r="AJ528" i="3"/>
  <c r="AK528" i="3"/>
  <c r="AM528" i="3" s="1"/>
  <c r="AN528" i="3"/>
  <c r="AB529" i="3"/>
  <c r="AC529" i="3"/>
  <c r="AD529" i="3"/>
  <c r="AE529" i="3"/>
  <c r="AF529" i="3"/>
  <c r="AG529" i="3"/>
  <c r="AH529" i="3"/>
  <c r="AI529" i="3"/>
  <c r="AJ529" i="3"/>
  <c r="AK529" i="3"/>
  <c r="AM529" i="3" s="1"/>
  <c r="AN529" i="3"/>
  <c r="AB530" i="3"/>
  <c r="AC530" i="3"/>
  <c r="AD530" i="3"/>
  <c r="AE530" i="3"/>
  <c r="AF530" i="3"/>
  <c r="AG530" i="3"/>
  <c r="AH530" i="3"/>
  <c r="AI530" i="3"/>
  <c r="AJ530" i="3"/>
  <c r="AK530" i="3"/>
  <c r="AM530" i="3" s="1"/>
  <c r="AN530" i="3"/>
  <c r="AB531" i="3"/>
  <c r="AC531" i="3"/>
  <c r="AD531" i="3"/>
  <c r="AE531" i="3"/>
  <c r="AF531" i="3"/>
  <c r="AG531" i="3"/>
  <c r="AH531" i="3"/>
  <c r="AI531" i="3"/>
  <c r="AJ531" i="3"/>
  <c r="AK531" i="3"/>
  <c r="AM531" i="3" s="1"/>
  <c r="AN531" i="3"/>
  <c r="AB532" i="3"/>
  <c r="AC532" i="3"/>
  <c r="AD532" i="3"/>
  <c r="AE532" i="3"/>
  <c r="AF532" i="3"/>
  <c r="AG532" i="3"/>
  <c r="AH532" i="3"/>
  <c r="AI532" i="3"/>
  <c r="AJ532" i="3"/>
  <c r="AK532" i="3"/>
  <c r="AM532" i="3" s="1"/>
  <c r="AN532" i="3"/>
  <c r="AB533" i="3"/>
  <c r="AC533" i="3"/>
  <c r="AD533" i="3"/>
  <c r="AE533" i="3"/>
  <c r="AF533" i="3"/>
  <c r="AG533" i="3"/>
  <c r="AH533" i="3"/>
  <c r="AI533" i="3"/>
  <c r="AJ533" i="3"/>
  <c r="AK533" i="3"/>
  <c r="AM533" i="3" s="1"/>
  <c r="AN533" i="3"/>
  <c r="AB534" i="3"/>
  <c r="AC534" i="3"/>
  <c r="AD534" i="3"/>
  <c r="AE534" i="3"/>
  <c r="AF534" i="3"/>
  <c r="AG534" i="3"/>
  <c r="AH534" i="3"/>
  <c r="AI534" i="3"/>
  <c r="AJ534" i="3"/>
  <c r="AK534" i="3"/>
  <c r="AM534" i="3" s="1"/>
  <c r="AN534" i="3"/>
  <c r="AB535" i="3"/>
  <c r="AC535" i="3"/>
  <c r="AD535" i="3"/>
  <c r="AE535" i="3"/>
  <c r="AF535" i="3"/>
  <c r="AG535" i="3"/>
  <c r="AH535" i="3"/>
  <c r="AI535" i="3"/>
  <c r="AJ535" i="3"/>
  <c r="AK535" i="3"/>
  <c r="AM535" i="3" s="1"/>
  <c r="AN535" i="3"/>
  <c r="AB536" i="3"/>
  <c r="AC536" i="3"/>
  <c r="AD536" i="3"/>
  <c r="AE536" i="3"/>
  <c r="AF536" i="3"/>
  <c r="AG536" i="3"/>
  <c r="AH536" i="3"/>
  <c r="AI536" i="3"/>
  <c r="AJ536" i="3"/>
  <c r="AK536" i="3"/>
  <c r="AM536" i="3" s="1"/>
  <c r="AN536" i="3"/>
  <c r="AB537" i="3"/>
  <c r="AC537" i="3"/>
  <c r="AD537" i="3"/>
  <c r="AE537" i="3"/>
  <c r="AF537" i="3"/>
  <c r="AG537" i="3"/>
  <c r="AH537" i="3"/>
  <c r="AI537" i="3"/>
  <c r="AJ537" i="3"/>
  <c r="AK537" i="3"/>
  <c r="AM537" i="3" s="1"/>
  <c r="AN537" i="3"/>
  <c r="AB538" i="3"/>
  <c r="AC538" i="3"/>
  <c r="AD538" i="3"/>
  <c r="AE538" i="3"/>
  <c r="AF538" i="3"/>
  <c r="AG538" i="3"/>
  <c r="AH538" i="3"/>
  <c r="AI538" i="3"/>
  <c r="AJ538" i="3"/>
  <c r="AK538" i="3"/>
  <c r="AM538" i="3" s="1"/>
  <c r="AN538" i="3"/>
  <c r="AB539" i="3"/>
  <c r="AC539" i="3"/>
  <c r="AD539" i="3"/>
  <c r="AE539" i="3"/>
  <c r="AF539" i="3"/>
  <c r="AG539" i="3"/>
  <c r="AH539" i="3"/>
  <c r="AI539" i="3"/>
  <c r="AJ539" i="3"/>
  <c r="AK539" i="3"/>
  <c r="AM539" i="3" s="1"/>
  <c r="AN539" i="3"/>
  <c r="AB540" i="3"/>
  <c r="AC540" i="3"/>
  <c r="AD540" i="3"/>
  <c r="AE540" i="3"/>
  <c r="AF540" i="3"/>
  <c r="AG540" i="3"/>
  <c r="AH540" i="3"/>
  <c r="AI540" i="3"/>
  <c r="AJ540" i="3"/>
  <c r="AK540" i="3"/>
  <c r="AM540" i="3" s="1"/>
  <c r="AN540" i="3"/>
  <c r="AB541" i="3"/>
  <c r="AC541" i="3"/>
  <c r="AD541" i="3"/>
  <c r="AE541" i="3"/>
  <c r="AF541" i="3"/>
  <c r="AG541" i="3"/>
  <c r="AH541" i="3"/>
  <c r="AI541" i="3"/>
  <c r="AJ541" i="3"/>
  <c r="AK541" i="3"/>
  <c r="AM541" i="3" s="1"/>
  <c r="AN541" i="3"/>
  <c r="AB542" i="3"/>
  <c r="AC542" i="3"/>
  <c r="AD542" i="3"/>
  <c r="AE542" i="3"/>
  <c r="AF542" i="3"/>
  <c r="AG542" i="3"/>
  <c r="AH542" i="3"/>
  <c r="AI542" i="3"/>
  <c r="AJ542" i="3"/>
  <c r="AK542" i="3"/>
  <c r="AM542" i="3" s="1"/>
  <c r="AN542" i="3"/>
  <c r="AB543" i="3"/>
  <c r="AC543" i="3"/>
  <c r="AD543" i="3"/>
  <c r="AE543" i="3"/>
  <c r="AF543" i="3"/>
  <c r="AG543" i="3"/>
  <c r="AH543" i="3"/>
  <c r="AI543" i="3"/>
  <c r="AJ543" i="3"/>
  <c r="AK543" i="3"/>
  <c r="AM543" i="3" s="1"/>
  <c r="AN543" i="3"/>
  <c r="AB544" i="3"/>
  <c r="AC544" i="3"/>
  <c r="AD544" i="3"/>
  <c r="AE544" i="3"/>
  <c r="AF544" i="3"/>
  <c r="AG544" i="3"/>
  <c r="AH544" i="3"/>
  <c r="AI544" i="3"/>
  <c r="AJ544" i="3"/>
  <c r="AK544" i="3"/>
  <c r="AM544" i="3" s="1"/>
  <c r="AN544" i="3"/>
  <c r="AB545" i="3"/>
  <c r="AC545" i="3"/>
  <c r="AD545" i="3"/>
  <c r="AE545" i="3"/>
  <c r="AF545" i="3"/>
  <c r="AG545" i="3"/>
  <c r="AH545" i="3"/>
  <c r="AI545" i="3"/>
  <c r="AJ545" i="3"/>
  <c r="AK545" i="3"/>
  <c r="AM545" i="3" s="1"/>
  <c r="AN545" i="3"/>
  <c r="AB546" i="3"/>
  <c r="AC546" i="3"/>
  <c r="AD546" i="3"/>
  <c r="AE546" i="3"/>
  <c r="AF546" i="3"/>
  <c r="AG546" i="3"/>
  <c r="AH546" i="3"/>
  <c r="AI546" i="3"/>
  <c r="AJ546" i="3"/>
  <c r="AK546" i="3"/>
  <c r="AM546" i="3" s="1"/>
  <c r="AN546" i="3"/>
  <c r="AB547" i="3"/>
  <c r="AC547" i="3"/>
  <c r="AD547" i="3"/>
  <c r="AE547" i="3"/>
  <c r="AF547" i="3"/>
  <c r="AG547" i="3"/>
  <c r="AH547" i="3"/>
  <c r="AI547" i="3"/>
  <c r="AJ547" i="3"/>
  <c r="AK547" i="3"/>
  <c r="AM547" i="3" s="1"/>
  <c r="AN547" i="3"/>
  <c r="AB548" i="3"/>
  <c r="AC548" i="3"/>
  <c r="AD548" i="3"/>
  <c r="AE548" i="3"/>
  <c r="AF548" i="3"/>
  <c r="AG548" i="3"/>
  <c r="AH548" i="3"/>
  <c r="AI548" i="3"/>
  <c r="AJ548" i="3"/>
  <c r="AK548" i="3"/>
  <c r="AM548" i="3" s="1"/>
  <c r="AN548" i="3"/>
  <c r="AB549" i="3"/>
  <c r="AC549" i="3"/>
  <c r="AD549" i="3"/>
  <c r="AE549" i="3"/>
  <c r="AF549" i="3"/>
  <c r="AG549" i="3"/>
  <c r="AH549" i="3"/>
  <c r="AI549" i="3"/>
  <c r="AJ549" i="3"/>
  <c r="AK549" i="3"/>
  <c r="AM549" i="3" s="1"/>
  <c r="AN549" i="3"/>
  <c r="AB550" i="3"/>
  <c r="AC550" i="3"/>
  <c r="AD550" i="3"/>
  <c r="AE550" i="3"/>
  <c r="AF550" i="3"/>
  <c r="AG550" i="3"/>
  <c r="AH550" i="3"/>
  <c r="AI550" i="3"/>
  <c r="AJ550" i="3"/>
  <c r="AK550" i="3"/>
  <c r="AM550" i="3" s="1"/>
  <c r="AN550" i="3"/>
  <c r="AB551" i="3"/>
  <c r="AC551" i="3"/>
  <c r="AD551" i="3"/>
  <c r="AE551" i="3"/>
  <c r="AF551" i="3"/>
  <c r="AG551" i="3"/>
  <c r="AH551" i="3"/>
  <c r="AI551" i="3"/>
  <c r="AJ551" i="3"/>
  <c r="AK551" i="3"/>
  <c r="AM551" i="3" s="1"/>
  <c r="AN551" i="3"/>
  <c r="AB552" i="3"/>
  <c r="AC552" i="3"/>
  <c r="AD552" i="3"/>
  <c r="AE552" i="3"/>
  <c r="AF552" i="3"/>
  <c r="AG552" i="3"/>
  <c r="AH552" i="3"/>
  <c r="AI552" i="3"/>
  <c r="AJ552" i="3"/>
  <c r="AK552" i="3"/>
  <c r="AM552" i="3" s="1"/>
  <c r="AN552" i="3"/>
  <c r="AB553" i="3"/>
  <c r="AC553" i="3"/>
  <c r="AD553" i="3"/>
  <c r="AE553" i="3"/>
  <c r="AF553" i="3"/>
  <c r="AG553" i="3"/>
  <c r="AH553" i="3"/>
  <c r="AI553" i="3"/>
  <c r="AJ553" i="3"/>
  <c r="AK553" i="3"/>
  <c r="AM553" i="3" s="1"/>
  <c r="AN553" i="3"/>
  <c r="AB554" i="3"/>
  <c r="AC554" i="3"/>
  <c r="AD554" i="3"/>
  <c r="AE554" i="3"/>
  <c r="AF554" i="3"/>
  <c r="AG554" i="3"/>
  <c r="AH554" i="3"/>
  <c r="AI554" i="3"/>
  <c r="AJ554" i="3"/>
  <c r="AK554" i="3"/>
  <c r="AM554" i="3" s="1"/>
  <c r="AN554" i="3"/>
  <c r="AB555" i="3"/>
  <c r="AC555" i="3"/>
  <c r="AD555" i="3"/>
  <c r="AE555" i="3"/>
  <c r="AF555" i="3"/>
  <c r="AG555" i="3"/>
  <c r="AH555" i="3"/>
  <c r="AI555" i="3"/>
  <c r="AJ555" i="3"/>
  <c r="AK555" i="3"/>
  <c r="AM555" i="3" s="1"/>
  <c r="AN555" i="3"/>
  <c r="AB556" i="3"/>
  <c r="AC556" i="3"/>
  <c r="AD556" i="3"/>
  <c r="AE556" i="3"/>
  <c r="AF556" i="3"/>
  <c r="AG556" i="3"/>
  <c r="AH556" i="3"/>
  <c r="AI556" i="3"/>
  <c r="AJ556" i="3"/>
  <c r="AK556" i="3"/>
  <c r="AM556" i="3" s="1"/>
  <c r="AN556" i="3"/>
  <c r="AB557" i="3"/>
  <c r="AC557" i="3"/>
  <c r="AD557" i="3"/>
  <c r="AE557" i="3"/>
  <c r="AF557" i="3"/>
  <c r="AG557" i="3"/>
  <c r="AH557" i="3"/>
  <c r="AI557" i="3"/>
  <c r="AJ557" i="3"/>
  <c r="AK557" i="3"/>
  <c r="AM557" i="3" s="1"/>
  <c r="AN557" i="3"/>
  <c r="AB558" i="3"/>
  <c r="AC558" i="3"/>
  <c r="AD558" i="3"/>
  <c r="AE558" i="3"/>
  <c r="AF558" i="3"/>
  <c r="AG558" i="3"/>
  <c r="AH558" i="3"/>
  <c r="AI558" i="3"/>
  <c r="AJ558" i="3"/>
  <c r="AK558" i="3"/>
  <c r="AM558" i="3" s="1"/>
  <c r="AN558" i="3"/>
  <c r="AB559" i="3"/>
  <c r="AC559" i="3"/>
  <c r="AD559" i="3"/>
  <c r="AE559" i="3"/>
  <c r="AF559" i="3"/>
  <c r="AG559" i="3"/>
  <c r="AH559" i="3"/>
  <c r="AI559" i="3"/>
  <c r="AJ559" i="3"/>
  <c r="AK559" i="3"/>
  <c r="AM559" i="3" s="1"/>
  <c r="AN559" i="3"/>
  <c r="AB560" i="3"/>
  <c r="AC560" i="3"/>
  <c r="AD560" i="3"/>
  <c r="AE560" i="3"/>
  <c r="AF560" i="3"/>
  <c r="AG560" i="3"/>
  <c r="AH560" i="3"/>
  <c r="AI560" i="3"/>
  <c r="AJ560" i="3"/>
  <c r="AK560" i="3"/>
  <c r="AM560" i="3" s="1"/>
  <c r="AN560" i="3"/>
  <c r="AB561" i="3"/>
  <c r="AC561" i="3"/>
  <c r="AD561" i="3"/>
  <c r="AE561" i="3"/>
  <c r="AF561" i="3"/>
  <c r="AG561" i="3"/>
  <c r="AH561" i="3"/>
  <c r="AI561" i="3"/>
  <c r="AJ561" i="3"/>
  <c r="AK561" i="3"/>
  <c r="AM561" i="3" s="1"/>
  <c r="AN561" i="3"/>
  <c r="AB562" i="3"/>
  <c r="AC562" i="3"/>
  <c r="AD562" i="3"/>
  <c r="AE562" i="3"/>
  <c r="AF562" i="3"/>
  <c r="AG562" i="3"/>
  <c r="AH562" i="3"/>
  <c r="AI562" i="3"/>
  <c r="AJ562" i="3"/>
  <c r="AK562" i="3"/>
  <c r="AM562" i="3" s="1"/>
  <c r="AN562" i="3"/>
  <c r="AB563" i="3"/>
  <c r="AC563" i="3"/>
  <c r="AD563" i="3"/>
  <c r="AE563" i="3"/>
  <c r="AF563" i="3"/>
  <c r="AG563" i="3"/>
  <c r="AH563" i="3"/>
  <c r="AI563" i="3"/>
  <c r="AJ563" i="3"/>
  <c r="AK563" i="3"/>
  <c r="AM563" i="3" s="1"/>
  <c r="AN563" i="3"/>
  <c r="AB564" i="3"/>
  <c r="AC564" i="3"/>
  <c r="AD564" i="3"/>
  <c r="AE564" i="3"/>
  <c r="AF564" i="3"/>
  <c r="AG564" i="3"/>
  <c r="AH564" i="3"/>
  <c r="AI564" i="3"/>
  <c r="AJ564" i="3"/>
  <c r="AK564" i="3"/>
  <c r="AM564" i="3" s="1"/>
  <c r="AN564" i="3"/>
  <c r="AB565" i="3"/>
  <c r="AC565" i="3"/>
  <c r="AD565" i="3"/>
  <c r="AE565" i="3"/>
  <c r="AF565" i="3"/>
  <c r="AG565" i="3"/>
  <c r="AH565" i="3"/>
  <c r="AI565" i="3"/>
  <c r="AJ565" i="3"/>
  <c r="AK565" i="3"/>
  <c r="AM565" i="3" s="1"/>
  <c r="AN565" i="3"/>
  <c r="AB566" i="3"/>
  <c r="AC566" i="3"/>
  <c r="AD566" i="3"/>
  <c r="AE566" i="3"/>
  <c r="AF566" i="3"/>
  <c r="AG566" i="3"/>
  <c r="AH566" i="3"/>
  <c r="AI566" i="3"/>
  <c r="AJ566" i="3"/>
  <c r="AK566" i="3"/>
  <c r="AM566" i="3" s="1"/>
  <c r="AN566" i="3"/>
  <c r="AB567" i="3"/>
  <c r="AC567" i="3"/>
  <c r="AD567" i="3"/>
  <c r="AE567" i="3"/>
  <c r="AF567" i="3"/>
  <c r="AG567" i="3"/>
  <c r="AH567" i="3"/>
  <c r="AI567" i="3"/>
  <c r="AJ567" i="3"/>
  <c r="AK567" i="3"/>
  <c r="AM567" i="3" s="1"/>
  <c r="AN567" i="3"/>
  <c r="AB568" i="3"/>
  <c r="AC568" i="3"/>
  <c r="AD568" i="3"/>
  <c r="AE568" i="3"/>
  <c r="AF568" i="3"/>
  <c r="AG568" i="3"/>
  <c r="AH568" i="3"/>
  <c r="AI568" i="3"/>
  <c r="AJ568" i="3"/>
  <c r="AK568" i="3"/>
  <c r="AM568" i="3" s="1"/>
  <c r="AN568" i="3"/>
  <c r="AB569" i="3"/>
  <c r="AC569" i="3"/>
  <c r="AD569" i="3"/>
  <c r="AE569" i="3"/>
  <c r="AF569" i="3"/>
  <c r="AG569" i="3"/>
  <c r="AH569" i="3"/>
  <c r="AI569" i="3"/>
  <c r="AJ569" i="3"/>
  <c r="AK569" i="3"/>
  <c r="AM569" i="3" s="1"/>
  <c r="AN569" i="3"/>
  <c r="AB570" i="3"/>
  <c r="AC570" i="3"/>
  <c r="AD570" i="3"/>
  <c r="AE570" i="3"/>
  <c r="AF570" i="3"/>
  <c r="AG570" i="3"/>
  <c r="AH570" i="3"/>
  <c r="AI570" i="3"/>
  <c r="AJ570" i="3"/>
  <c r="AK570" i="3"/>
  <c r="AM570" i="3" s="1"/>
  <c r="AN570" i="3"/>
  <c r="AB571" i="3"/>
  <c r="AC571" i="3"/>
  <c r="AD571" i="3"/>
  <c r="AE571" i="3"/>
  <c r="AF571" i="3"/>
  <c r="AG571" i="3"/>
  <c r="AH571" i="3"/>
  <c r="AI571" i="3"/>
  <c r="AJ571" i="3"/>
  <c r="AK571" i="3"/>
  <c r="AM571" i="3" s="1"/>
  <c r="AN571" i="3"/>
  <c r="AB572" i="3"/>
  <c r="AC572" i="3"/>
  <c r="AD572" i="3"/>
  <c r="AE572" i="3"/>
  <c r="AF572" i="3"/>
  <c r="AG572" i="3"/>
  <c r="AH572" i="3"/>
  <c r="AI572" i="3"/>
  <c r="AJ572" i="3"/>
  <c r="AK572" i="3"/>
  <c r="AM572" i="3" s="1"/>
  <c r="AN572" i="3"/>
  <c r="AB573" i="3"/>
  <c r="AC573" i="3"/>
  <c r="AD573" i="3"/>
  <c r="AE573" i="3"/>
  <c r="AF573" i="3"/>
  <c r="AG573" i="3"/>
  <c r="AH573" i="3"/>
  <c r="AI573" i="3"/>
  <c r="AJ573" i="3"/>
  <c r="AK573" i="3"/>
  <c r="AM573" i="3" s="1"/>
  <c r="AN573" i="3"/>
  <c r="AB574" i="3"/>
  <c r="AC574" i="3"/>
  <c r="AD574" i="3"/>
  <c r="AE574" i="3"/>
  <c r="AF574" i="3"/>
  <c r="AG574" i="3"/>
  <c r="AH574" i="3"/>
  <c r="AI574" i="3"/>
  <c r="AJ574" i="3"/>
  <c r="AK574" i="3"/>
  <c r="AM574" i="3" s="1"/>
  <c r="AN574" i="3"/>
  <c r="AB575" i="3"/>
  <c r="AC575" i="3"/>
  <c r="AD575" i="3"/>
  <c r="AE575" i="3"/>
  <c r="AF575" i="3"/>
  <c r="AG575" i="3"/>
  <c r="AH575" i="3"/>
  <c r="AI575" i="3"/>
  <c r="AJ575" i="3"/>
  <c r="AK575" i="3"/>
  <c r="AM575" i="3" s="1"/>
  <c r="AN575" i="3"/>
  <c r="AB576" i="3"/>
  <c r="AC576" i="3"/>
  <c r="AD576" i="3"/>
  <c r="AE576" i="3"/>
  <c r="AF576" i="3"/>
  <c r="AG576" i="3"/>
  <c r="AH576" i="3"/>
  <c r="AI576" i="3"/>
  <c r="AJ576" i="3"/>
  <c r="AK576" i="3"/>
  <c r="AM576" i="3" s="1"/>
  <c r="AN576" i="3"/>
  <c r="AB577" i="3"/>
  <c r="AC577" i="3"/>
  <c r="AD577" i="3"/>
  <c r="AE577" i="3"/>
  <c r="AF577" i="3"/>
  <c r="AG577" i="3"/>
  <c r="AH577" i="3"/>
  <c r="AI577" i="3"/>
  <c r="AJ577" i="3"/>
  <c r="AK577" i="3"/>
  <c r="AM577" i="3" s="1"/>
  <c r="AN577" i="3"/>
  <c r="AB578" i="3"/>
  <c r="AC578" i="3"/>
  <c r="AD578" i="3"/>
  <c r="AE578" i="3"/>
  <c r="AF578" i="3"/>
  <c r="AG578" i="3"/>
  <c r="AH578" i="3"/>
  <c r="AI578" i="3"/>
  <c r="AJ578" i="3"/>
  <c r="AK578" i="3"/>
  <c r="AM578" i="3" s="1"/>
  <c r="AN578" i="3"/>
  <c r="AB579" i="3"/>
  <c r="AC579" i="3"/>
  <c r="AD579" i="3"/>
  <c r="AE579" i="3"/>
  <c r="AF579" i="3"/>
  <c r="AG579" i="3"/>
  <c r="AH579" i="3"/>
  <c r="AI579" i="3"/>
  <c r="AJ579" i="3"/>
  <c r="AK579" i="3"/>
  <c r="AM579" i="3" s="1"/>
  <c r="AN579" i="3"/>
  <c r="AB580" i="3"/>
  <c r="AC580" i="3"/>
  <c r="AD580" i="3"/>
  <c r="AE580" i="3"/>
  <c r="AF580" i="3"/>
  <c r="AG580" i="3"/>
  <c r="AH580" i="3"/>
  <c r="AI580" i="3"/>
  <c r="AJ580" i="3"/>
  <c r="AK580" i="3"/>
  <c r="AM580" i="3" s="1"/>
  <c r="AN580" i="3"/>
  <c r="AB581" i="3"/>
  <c r="AC581" i="3"/>
  <c r="AD581" i="3"/>
  <c r="AE581" i="3"/>
  <c r="AF581" i="3"/>
  <c r="AG581" i="3"/>
  <c r="AH581" i="3"/>
  <c r="AI581" i="3"/>
  <c r="AJ581" i="3"/>
  <c r="AK581" i="3"/>
  <c r="AM581" i="3" s="1"/>
  <c r="AN581" i="3"/>
  <c r="AB582" i="3"/>
  <c r="AC582" i="3"/>
  <c r="AD582" i="3"/>
  <c r="AE582" i="3"/>
  <c r="AF582" i="3"/>
  <c r="AG582" i="3"/>
  <c r="AH582" i="3"/>
  <c r="AI582" i="3"/>
  <c r="AJ582" i="3"/>
  <c r="AK582" i="3"/>
  <c r="AM582" i="3" s="1"/>
  <c r="AN582" i="3"/>
  <c r="AB583" i="3"/>
  <c r="AC583" i="3"/>
  <c r="AD583" i="3"/>
  <c r="AE583" i="3"/>
  <c r="AF583" i="3"/>
  <c r="AG583" i="3"/>
  <c r="AH583" i="3"/>
  <c r="AI583" i="3"/>
  <c r="AJ583" i="3"/>
  <c r="AK583" i="3"/>
  <c r="AM583" i="3" s="1"/>
  <c r="AN583" i="3"/>
  <c r="AB584" i="3"/>
  <c r="AC584" i="3"/>
  <c r="AD584" i="3"/>
  <c r="AE584" i="3"/>
  <c r="AF584" i="3"/>
  <c r="AG584" i="3"/>
  <c r="AH584" i="3"/>
  <c r="AI584" i="3"/>
  <c r="AJ584" i="3"/>
  <c r="AK584" i="3"/>
  <c r="AM584" i="3" s="1"/>
  <c r="AN584" i="3"/>
  <c r="AB585" i="3"/>
  <c r="AC585" i="3"/>
  <c r="AD585" i="3"/>
  <c r="AE585" i="3"/>
  <c r="AF585" i="3"/>
  <c r="AG585" i="3"/>
  <c r="AH585" i="3"/>
  <c r="AI585" i="3"/>
  <c r="AJ585" i="3"/>
  <c r="AK585" i="3"/>
  <c r="AM585" i="3" s="1"/>
  <c r="AN585" i="3"/>
  <c r="AB586" i="3"/>
  <c r="AC586" i="3"/>
  <c r="AD586" i="3"/>
  <c r="AE586" i="3"/>
  <c r="AF586" i="3"/>
  <c r="AG586" i="3"/>
  <c r="AH586" i="3"/>
  <c r="AI586" i="3"/>
  <c r="AJ586" i="3"/>
  <c r="AK586" i="3"/>
  <c r="AM586" i="3" s="1"/>
  <c r="AN586" i="3"/>
  <c r="AB587" i="3"/>
  <c r="AC587" i="3"/>
  <c r="AD587" i="3"/>
  <c r="AE587" i="3"/>
  <c r="AF587" i="3"/>
  <c r="AG587" i="3"/>
  <c r="AH587" i="3"/>
  <c r="AI587" i="3"/>
  <c r="AJ587" i="3"/>
  <c r="AK587" i="3"/>
  <c r="AM587" i="3" s="1"/>
  <c r="AN587" i="3"/>
  <c r="AB588" i="3"/>
  <c r="AC588" i="3"/>
  <c r="AD588" i="3"/>
  <c r="AE588" i="3"/>
  <c r="AF588" i="3"/>
  <c r="AG588" i="3"/>
  <c r="AH588" i="3"/>
  <c r="AI588" i="3"/>
  <c r="AJ588" i="3"/>
  <c r="AK588" i="3"/>
  <c r="AM588" i="3" s="1"/>
  <c r="AN588" i="3"/>
  <c r="AB589" i="3"/>
  <c r="AC589" i="3"/>
  <c r="AD589" i="3"/>
  <c r="AE589" i="3"/>
  <c r="AF589" i="3"/>
  <c r="AG589" i="3"/>
  <c r="AH589" i="3"/>
  <c r="AI589" i="3"/>
  <c r="AJ589" i="3"/>
  <c r="AK589" i="3"/>
  <c r="AM589" i="3" s="1"/>
  <c r="AN589" i="3"/>
  <c r="AB590" i="3"/>
  <c r="AC590" i="3"/>
  <c r="AD590" i="3"/>
  <c r="AE590" i="3"/>
  <c r="AF590" i="3"/>
  <c r="AG590" i="3"/>
  <c r="AH590" i="3"/>
  <c r="AI590" i="3"/>
  <c r="AJ590" i="3"/>
  <c r="AK590" i="3"/>
  <c r="AM590" i="3" s="1"/>
  <c r="AN590" i="3"/>
  <c r="AB591" i="3"/>
  <c r="AC591" i="3"/>
  <c r="AD591" i="3"/>
  <c r="AE591" i="3"/>
  <c r="AF591" i="3"/>
  <c r="AG591" i="3"/>
  <c r="AH591" i="3"/>
  <c r="AI591" i="3"/>
  <c r="AJ591" i="3"/>
  <c r="AK591" i="3"/>
  <c r="AM591" i="3" s="1"/>
  <c r="AN591" i="3"/>
  <c r="AB592" i="3"/>
  <c r="AC592" i="3"/>
  <c r="AD592" i="3"/>
  <c r="AE592" i="3"/>
  <c r="AF592" i="3"/>
  <c r="AG592" i="3"/>
  <c r="AH592" i="3"/>
  <c r="AI592" i="3"/>
  <c r="AJ592" i="3"/>
  <c r="AK592" i="3"/>
  <c r="AM592" i="3" s="1"/>
  <c r="AN592" i="3"/>
  <c r="AB593" i="3"/>
  <c r="AC593" i="3"/>
  <c r="AD593" i="3"/>
  <c r="AE593" i="3"/>
  <c r="AF593" i="3"/>
  <c r="AG593" i="3"/>
  <c r="AH593" i="3"/>
  <c r="AI593" i="3"/>
  <c r="AJ593" i="3"/>
  <c r="AK593" i="3"/>
  <c r="AM593" i="3" s="1"/>
  <c r="AN593" i="3"/>
  <c r="AB594" i="3"/>
  <c r="AC594" i="3"/>
  <c r="AD594" i="3"/>
  <c r="AE594" i="3"/>
  <c r="AF594" i="3"/>
  <c r="AG594" i="3"/>
  <c r="AH594" i="3"/>
  <c r="AI594" i="3"/>
  <c r="AJ594" i="3"/>
  <c r="AK594" i="3"/>
  <c r="AM594" i="3" s="1"/>
  <c r="AN594" i="3"/>
  <c r="AB595" i="3"/>
  <c r="AC595" i="3"/>
  <c r="AD595" i="3"/>
  <c r="AE595" i="3"/>
  <c r="AF595" i="3"/>
  <c r="AG595" i="3"/>
  <c r="AH595" i="3"/>
  <c r="AI595" i="3"/>
  <c r="AJ595" i="3"/>
  <c r="AK595" i="3"/>
  <c r="AM595" i="3" s="1"/>
  <c r="AN595" i="3"/>
  <c r="AB596" i="3"/>
  <c r="AC596" i="3"/>
  <c r="AD596" i="3"/>
  <c r="AE596" i="3"/>
  <c r="AF596" i="3"/>
  <c r="AG596" i="3"/>
  <c r="AH596" i="3"/>
  <c r="AI596" i="3"/>
  <c r="AJ596" i="3"/>
  <c r="AK596" i="3"/>
  <c r="AM596" i="3" s="1"/>
  <c r="AN596" i="3"/>
  <c r="AB597" i="3"/>
  <c r="AC597" i="3"/>
  <c r="AD597" i="3"/>
  <c r="AE597" i="3"/>
  <c r="AF597" i="3"/>
  <c r="AG597" i="3"/>
  <c r="AH597" i="3"/>
  <c r="AI597" i="3"/>
  <c r="AJ597" i="3"/>
  <c r="AK597" i="3"/>
  <c r="AM597" i="3" s="1"/>
  <c r="AN597" i="3"/>
  <c r="AB598" i="3"/>
  <c r="AC598" i="3"/>
  <c r="AD598" i="3"/>
  <c r="AE598" i="3"/>
  <c r="AF598" i="3"/>
  <c r="AG598" i="3"/>
  <c r="AH598" i="3"/>
  <c r="AI598" i="3"/>
  <c r="AJ598" i="3"/>
  <c r="AK598" i="3"/>
  <c r="AM598" i="3" s="1"/>
  <c r="AN598" i="3"/>
  <c r="AB599" i="3"/>
  <c r="AC599" i="3"/>
  <c r="AD599" i="3"/>
  <c r="AE599" i="3"/>
  <c r="AF599" i="3"/>
  <c r="AG599" i="3"/>
  <c r="AH599" i="3"/>
  <c r="AI599" i="3"/>
  <c r="AJ599" i="3"/>
  <c r="AK599" i="3"/>
  <c r="AM599" i="3" s="1"/>
  <c r="AN599" i="3"/>
  <c r="AB600" i="3"/>
  <c r="AC600" i="3"/>
  <c r="AD600" i="3"/>
  <c r="AE600" i="3"/>
  <c r="AF600" i="3"/>
  <c r="AG600" i="3"/>
  <c r="AH600" i="3"/>
  <c r="AI600" i="3"/>
  <c r="AJ600" i="3"/>
  <c r="AK600" i="3"/>
  <c r="AM600" i="3" s="1"/>
  <c r="AN600" i="3"/>
  <c r="AB601" i="3"/>
  <c r="AC601" i="3"/>
  <c r="AD601" i="3"/>
  <c r="AE601" i="3"/>
  <c r="AF601" i="3"/>
  <c r="AG601" i="3"/>
  <c r="AH601" i="3"/>
  <c r="AI601" i="3"/>
  <c r="AJ601" i="3"/>
  <c r="AK601" i="3"/>
  <c r="AM601" i="3" s="1"/>
  <c r="AN601" i="3"/>
  <c r="AB602" i="3"/>
  <c r="AC602" i="3"/>
  <c r="AD602" i="3"/>
  <c r="AE602" i="3"/>
  <c r="AF602" i="3"/>
  <c r="AG602" i="3"/>
  <c r="AH602" i="3"/>
  <c r="AI602" i="3"/>
  <c r="AJ602" i="3"/>
  <c r="AK602" i="3"/>
  <c r="AM602" i="3" s="1"/>
  <c r="AN602" i="3"/>
  <c r="AB603" i="3"/>
  <c r="AC603" i="3"/>
  <c r="AD603" i="3"/>
  <c r="AE603" i="3"/>
  <c r="AF603" i="3"/>
  <c r="AG603" i="3"/>
  <c r="AH603" i="3"/>
  <c r="AI603" i="3"/>
  <c r="AJ603" i="3"/>
  <c r="AK603" i="3"/>
  <c r="AM603" i="3" s="1"/>
  <c r="AN603" i="3"/>
  <c r="AB604" i="3"/>
  <c r="AC604" i="3"/>
  <c r="AD604" i="3"/>
  <c r="AE604" i="3"/>
  <c r="AF604" i="3"/>
  <c r="AG604" i="3"/>
  <c r="AH604" i="3"/>
  <c r="AI604" i="3"/>
  <c r="AJ604" i="3"/>
  <c r="AK604" i="3"/>
  <c r="AM604" i="3" s="1"/>
  <c r="AN604" i="3"/>
  <c r="AB605" i="3"/>
  <c r="AC605" i="3"/>
  <c r="AD605" i="3"/>
  <c r="AE605" i="3"/>
  <c r="AF605" i="3"/>
  <c r="AG605" i="3"/>
  <c r="AH605" i="3"/>
  <c r="AI605" i="3"/>
  <c r="AJ605" i="3"/>
  <c r="AK605" i="3"/>
  <c r="AM605" i="3" s="1"/>
  <c r="AN605" i="3"/>
  <c r="AB606" i="3"/>
  <c r="AC606" i="3"/>
  <c r="AD606" i="3"/>
  <c r="AE606" i="3"/>
  <c r="AF606" i="3"/>
  <c r="AG606" i="3"/>
  <c r="AH606" i="3"/>
  <c r="AI606" i="3"/>
  <c r="AJ606" i="3"/>
  <c r="AK606" i="3"/>
  <c r="AM606" i="3" s="1"/>
  <c r="AN606" i="3"/>
  <c r="AB607" i="3"/>
  <c r="AC607" i="3"/>
  <c r="AD607" i="3"/>
  <c r="AE607" i="3"/>
  <c r="AF607" i="3"/>
  <c r="AG607" i="3"/>
  <c r="AH607" i="3"/>
  <c r="AI607" i="3"/>
  <c r="AJ607" i="3"/>
  <c r="AK607" i="3"/>
  <c r="AM607" i="3" s="1"/>
  <c r="AN607" i="3"/>
  <c r="AB608" i="3"/>
  <c r="AC608" i="3"/>
  <c r="AD608" i="3"/>
  <c r="AE608" i="3"/>
  <c r="AF608" i="3"/>
  <c r="AG608" i="3"/>
  <c r="AH608" i="3"/>
  <c r="AI608" i="3"/>
  <c r="AJ608" i="3"/>
  <c r="AK608" i="3"/>
  <c r="AM608" i="3" s="1"/>
  <c r="AN608" i="3"/>
  <c r="AB609" i="3"/>
  <c r="AC609" i="3"/>
  <c r="AD609" i="3"/>
  <c r="AE609" i="3"/>
  <c r="AF609" i="3"/>
  <c r="AG609" i="3"/>
  <c r="AH609" i="3"/>
  <c r="AI609" i="3"/>
  <c r="AJ609" i="3"/>
  <c r="AK609" i="3"/>
  <c r="AM609" i="3" s="1"/>
  <c r="AN609" i="3"/>
  <c r="AB610" i="3"/>
  <c r="AC610" i="3"/>
  <c r="AD610" i="3"/>
  <c r="AE610" i="3"/>
  <c r="AF610" i="3"/>
  <c r="AG610" i="3"/>
  <c r="AH610" i="3"/>
  <c r="AI610" i="3"/>
  <c r="AJ610" i="3"/>
  <c r="AK610" i="3"/>
  <c r="AM610" i="3" s="1"/>
  <c r="AN610" i="3"/>
  <c r="AB611" i="3"/>
  <c r="AC611" i="3"/>
  <c r="AD611" i="3"/>
  <c r="AE611" i="3"/>
  <c r="AF611" i="3"/>
  <c r="AG611" i="3"/>
  <c r="AH611" i="3"/>
  <c r="AI611" i="3"/>
  <c r="AJ611" i="3"/>
  <c r="AK611" i="3"/>
  <c r="AM611" i="3" s="1"/>
  <c r="AN611" i="3"/>
  <c r="AB612" i="3"/>
  <c r="AC612" i="3"/>
  <c r="AD612" i="3"/>
  <c r="AE612" i="3"/>
  <c r="AF612" i="3"/>
  <c r="AG612" i="3"/>
  <c r="AH612" i="3"/>
  <c r="AI612" i="3"/>
  <c r="AJ612" i="3"/>
  <c r="AK612" i="3"/>
  <c r="AM612" i="3" s="1"/>
  <c r="AN612" i="3"/>
  <c r="AB613" i="3"/>
  <c r="AC613" i="3"/>
  <c r="AD613" i="3"/>
  <c r="AE613" i="3"/>
  <c r="AF613" i="3"/>
  <c r="AG613" i="3"/>
  <c r="AH613" i="3"/>
  <c r="AI613" i="3"/>
  <c r="AJ613" i="3"/>
  <c r="AK613" i="3"/>
  <c r="AM613" i="3" s="1"/>
  <c r="AN613" i="3"/>
  <c r="AB614" i="3"/>
  <c r="AC614" i="3"/>
  <c r="AD614" i="3"/>
  <c r="AE614" i="3"/>
  <c r="AF614" i="3"/>
  <c r="AG614" i="3"/>
  <c r="AH614" i="3"/>
  <c r="AI614" i="3"/>
  <c r="AJ614" i="3"/>
  <c r="AK614" i="3"/>
  <c r="AM614" i="3" s="1"/>
  <c r="AN614" i="3"/>
  <c r="AB615" i="3"/>
  <c r="AC615" i="3"/>
  <c r="AD615" i="3"/>
  <c r="AE615" i="3"/>
  <c r="AF615" i="3"/>
  <c r="AG615" i="3"/>
  <c r="AH615" i="3"/>
  <c r="AI615" i="3"/>
  <c r="AJ615" i="3"/>
  <c r="AK615" i="3"/>
  <c r="AM615" i="3" s="1"/>
  <c r="AN615" i="3"/>
  <c r="AB616" i="3"/>
  <c r="AC616" i="3"/>
  <c r="AD616" i="3"/>
  <c r="AE616" i="3"/>
  <c r="AF616" i="3"/>
  <c r="AG616" i="3"/>
  <c r="AH616" i="3"/>
  <c r="AI616" i="3"/>
  <c r="AJ616" i="3"/>
  <c r="AK616" i="3"/>
  <c r="AM616" i="3" s="1"/>
  <c r="AN616" i="3"/>
  <c r="AB617" i="3"/>
  <c r="AC617" i="3"/>
  <c r="AD617" i="3"/>
  <c r="AE617" i="3"/>
  <c r="AF617" i="3"/>
  <c r="AG617" i="3"/>
  <c r="AH617" i="3"/>
  <c r="AI617" i="3"/>
  <c r="AJ617" i="3"/>
  <c r="AK617" i="3"/>
  <c r="AM617" i="3" s="1"/>
  <c r="AN617" i="3"/>
  <c r="AB618" i="3"/>
  <c r="AC618" i="3"/>
  <c r="AD618" i="3"/>
  <c r="AE618" i="3"/>
  <c r="AF618" i="3"/>
  <c r="AG618" i="3"/>
  <c r="AH618" i="3"/>
  <c r="AI618" i="3"/>
  <c r="AJ618" i="3"/>
  <c r="AK618" i="3"/>
  <c r="AM618" i="3" s="1"/>
  <c r="AN618" i="3"/>
  <c r="AB619" i="3"/>
  <c r="AC619" i="3"/>
  <c r="AD619" i="3"/>
  <c r="AE619" i="3"/>
  <c r="AF619" i="3"/>
  <c r="AG619" i="3"/>
  <c r="AH619" i="3"/>
  <c r="AI619" i="3"/>
  <c r="AJ619" i="3"/>
  <c r="AK619" i="3"/>
  <c r="AM619" i="3" s="1"/>
  <c r="AN619" i="3"/>
  <c r="AB620" i="3"/>
  <c r="AC620" i="3"/>
  <c r="AD620" i="3"/>
  <c r="AE620" i="3"/>
  <c r="AF620" i="3"/>
  <c r="AG620" i="3"/>
  <c r="AH620" i="3"/>
  <c r="AI620" i="3"/>
  <c r="AJ620" i="3"/>
  <c r="AK620" i="3"/>
  <c r="AM620" i="3" s="1"/>
  <c r="AN620" i="3"/>
  <c r="AB621" i="3"/>
  <c r="AC621" i="3"/>
  <c r="AD621" i="3"/>
  <c r="AE621" i="3"/>
  <c r="AF621" i="3"/>
  <c r="AG621" i="3"/>
  <c r="AH621" i="3"/>
  <c r="AI621" i="3"/>
  <c r="AJ621" i="3"/>
  <c r="AK621" i="3"/>
  <c r="AM621" i="3" s="1"/>
  <c r="AN621" i="3"/>
  <c r="AB622" i="3"/>
  <c r="AC622" i="3"/>
  <c r="AD622" i="3"/>
  <c r="AE622" i="3"/>
  <c r="AF622" i="3"/>
  <c r="AG622" i="3"/>
  <c r="AH622" i="3"/>
  <c r="AI622" i="3"/>
  <c r="AJ622" i="3"/>
  <c r="AK622" i="3"/>
  <c r="AM622" i="3" s="1"/>
  <c r="AN622" i="3"/>
  <c r="AB623" i="3"/>
  <c r="AC623" i="3"/>
  <c r="AD623" i="3"/>
  <c r="AE623" i="3"/>
  <c r="AF623" i="3"/>
  <c r="AG623" i="3"/>
  <c r="AH623" i="3"/>
  <c r="AI623" i="3"/>
  <c r="AJ623" i="3"/>
  <c r="AK623" i="3"/>
  <c r="AM623" i="3" s="1"/>
  <c r="AN623" i="3"/>
  <c r="AB624" i="3"/>
  <c r="AC624" i="3"/>
  <c r="AD624" i="3"/>
  <c r="AE624" i="3"/>
  <c r="AF624" i="3"/>
  <c r="AG624" i="3"/>
  <c r="AH624" i="3"/>
  <c r="AI624" i="3"/>
  <c r="AJ624" i="3"/>
  <c r="AK624" i="3"/>
  <c r="AM624" i="3" s="1"/>
  <c r="AN624" i="3"/>
  <c r="AB625" i="3"/>
  <c r="AC625" i="3"/>
  <c r="AD625" i="3"/>
  <c r="AE625" i="3"/>
  <c r="AF625" i="3"/>
  <c r="AG625" i="3"/>
  <c r="AH625" i="3"/>
  <c r="AI625" i="3"/>
  <c r="AJ625" i="3"/>
  <c r="AK625" i="3"/>
  <c r="AM625" i="3" s="1"/>
  <c r="AN625" i="3"/>
  <c r="AB626" i="3"/>
  <c r="AC626" i="3"/>
  <c r="AD626" i="3"/>
  <c r="AE626" i="3"/>
  <c r="AF626" i="3"/>
  <c r="AG626" i="3"/>
  <c r="AH626" i="3"/>
  <c r="AI626" i="3"/>
  <c r="AJ626" i="3"/>
  <c r="AK626" i="3"/>
  <c r="AM626" i="3" s="1"/>
  <c r="AN626" i="3"/>
  <c r="AB627" i="3"/>
  <c r="AC627" i="3"/>
  <c r="AD627" i="3"/>
  <c r="AE627" i="3"/>
  <c r="AF627" i="3"/>
  <c r="AG627" i="3"/>
  <c r="AH627" i="3"/>
  <c r="AI627" i="3"/>
  <c r="AJ627" i="3"/>
  <c r="AK627" i="3"/>
  <c r="AM627" i="3" s="1"/>
  <c r="AN627" i="3"/>
  <c r="AB628" i="3"/>
  <c r="AC628" i="3"/>
  <c r="AD628" i="3"/>
  <c r="AE628" i="3"/>
  <c r="AF628" i="3"/>
  <c r="AG628" i="3"/>
  <c r="AH628" i="3"/>
  <c r="AI628" i="3"/>
  <c r="AJ628" i="3"/>
  <c r="AK628" i="3"/>
  <c r="AM628" i="3" s="1"/>
  <c r="AN628" i="3"/>
  <c r="AB629" i="3"/>
  <c r="AC629" i="3"/>
  <c r="AD629" i="3"/>
  <c r="AE629" i="3"/>
  <c r="AF629" i="3"/>
  <c r="AG629" i="3"/>
  <c r="AH629" i="3"/>
  <c r="AI629" i="3"/>
  <c r="AJ629" i="3"/>
  <c r="AK629" i="3"/>
  <c r="AM629" i="3" s="1"/>
  <c r="AN629" i="3"/>
  <c r="AB630" i="3"/>
  <c r="AC630" i="3"/>
  <c r="AD630" i="3"/>
  <c r="AE630" i="3"/>
  <c r="AF630" i="3"/>
  <c r="AG630" i="3"/>
  <c r="AH630" i="3"/>
  <c r="AI630" i="3"/>
  <c r="AJ630" i="3"/>
  <c r="AK630" i="3"/>
  <c r="AM630" i="3" s="1"/>
  <c r="AN630" i="3"/>
  <c r="AB631" i="3"/>
  <c r="AC631" i="3"/>
  <c r="AD631" i="3"/>
  <c r="AE631" i="3"/>
  <c r="AF631" i="3"/>
  <c r="AG631" i="3"/>
  <c r="AH631" i="3"/>
  <c r="AI631" i="3"/>
  <c r="AJ631" i="3"/>
  <c r="AK631" i="3"/>
  <c r="AM631" i="3" s="1"/>
  <c r="AN631" i="3"/>
  <c r="AB632" i="3"/>
  <c r="AC632" i="3"/>
  <c r="AD632" i="3"/>
  <c r="AE632" i="3"/>
  <c r="AF632" i="3"/>
  <c r="AG632" i="3"/>
  <c r="AH632" i="3"/>
  <c r="AI632" i="3"/>
  <c r="AJ632" i="3"/>
  <c r="AK632" i="3"/>
  <c r="AM632" i="3" s="1"/>
  <c r="AN632" i="3"/>
  <c r="AB633" i="3"/>
  <c r="AC633" i="3"/>
  <c r="AD633" i="3"/>
  <c r="AE633" i="3"/>
  <c r="AF633" i="3"/>
  <c r="AG633" i="3"/>
  <c r="AH633" i="3"/>
  <c r="AI633" i="3"/>
  <c r="AJ633" i="3"/>
  <c r="AK633" i="3"/>
  <c r="AM633" i="3" s="1"/>
  <c r="AN633" i="3"/>
  <c r="AB634" i="3"/>
  <c r="AC634" i="3"/>
  <c r="AD634" i="3"/>
  <c r="AE634" i="3"/>
  <c r="AF634" i="3"/>
  <c r="AG634" i="3"/>
  <c r="AH634" i="3"/>
  <c r="AI634" i="3"/>
  <c r="AJ634" i="3"/>
  <c r="AK634" i="3"/>
  <c r="AM634" i="3" s="1"/>
  <c r="AN634" i="3"/>
  <c r="AB635" i="3"/>
  <c r="AC635" i="3"/>
  <c r="AD635" i="3"/>
  <c r="AE635" i="3"/>
  <c r="AF635" i="3"/>
  <c r="AG635" i="3"/>
  <c r="AH635" i="3"/>
  <c r="AI635" i="3"/>
  <c r="AJ635" i="3"/>
  <c r="AK635" i="3"/>
  <c r="AM635" i="3" s="1"/>
  <c r="AN635" i="3"/>
  <c r="AB636" i="3"/>
  <c r="AC636" i="3"/>
  <c r="AD636" i="3"/>
  <c r="AE636" i="3"/>
  <c r="AF636" i="3"/>
  <c r="AG636" i="3"/>
  <c r="AH636" i="3"/>
  <c r="AI636" i="3"/>
  <c r="AJ636" i="3"/>
  <c r="AK636" i="3"/>
  <c r="AM636" i="3" s="1"/>
  <c r="AN636" i="3"/>
  <c r="AB637" i="3"/>
  <c r="AC637" i="3"/>
  <c r="AD637" i="3"/>
  <c r="AE637" i="3"/>
  <c r="AF637" i="3"/>
  <c r="AG637" i="3"/>
  <c r="AH637" i="3"/>
  <c r="AI637" i="3"/>
  <c r="AJ637" i="3"/>
  <c r="AK637" i="3"/>
  <c r="AM637" i="3" s="1"/>
  <c r="AN637" i="3"/>
  <c r="AB638" i="3"/>
  <c r="AC638" i="3"/>
  <c r="AD638" i="3"/>
  <c r="AE638" i="3"/>
  <c r="AF638" i="3"/>
  <c r="AG638" i="3"/>
  <c r="AH638" i="3"/>
  <c r="AI638" i="3"/>
  <c r="AJ638" i="3"/>
  <c r="AK638" i="3"/>
  <c r="AM638" i="3" s="1"/>
  <c r="AN638" i="3"/>
  <c r="AB639" i="3"/>
  <c r="AC639" i="3"/>
  <c r="AD639" i="3"/>
  <c r="AE639" i="3"/>
  <c r="AF639" i="3"/>
  <c r="AG639" i="3"/>
  <c r="AH639" i="3"/>
  <c r="AI639" i="3"/>
  <c r="AJ639" i="3"/>
  <c r="AK639" i="3"/>
  <c r="AM639" i="3" s="1"/>
  <c r="AN639" i="3"/>
  <c r="AB640" i="3"/>
  <c r="AC640" i="3"/>
  <c r="AD640" i="3"/>
  <c r="AE640" i="3"/>
  <c r="AF640" i="3"/>
  <c r="AG640" i="3"/>
  <c r="AH640" i="3"/>
  <c r="AI640" i="3"/>
  <c r="AJ640" i="3"/>
  <c r="AK640" i="3"/>
  <c r="AM640" i="3" s="1"/>
  <c r="AN640" i="3"/>
  <c r="AB641" i="3"/>
  <c r="AC641" i="3"/>
  <c r="AD641" i="3"/>
  <c r="AE641" i="3"/>
  <c r="AF641" i="3"/>
  <c r="AG641" i="3"/>
  <c r="AH641" i="3"/>
  <c r="AI641" i="3"/>
  <c r="AJ641" i="3"/>
  <c r="AK641" i="3"/>
  <c r="AM641" i="3" s="1"/>
  <c r="AN641" i="3"/>
  <c r="AB642" i="3"/>
  <c r="AC642" i="3"/>
  <c r="AD642" i="3"/>
  <c r="AE642" i="3"/>
  <c r="AF642" i="3"/>
  <c r="AG642" i="3"/>
  <c r="AH642" i="3"/>
  <c r="AI642" i="3"/>
  <c r="AJ642" i="3"/>
  <c r="AK642" i="3"/>
  <c r="AM642" i="3" s="1"/>
  <c r="AN642" i="3"/>
  <c r="AB643" i="3"/>
  <c r="AC643" i="3"/>
  <c r="AD643" i="3"/>
  <c r="AE643" i="3"/>
  <c r="AF643" i="3"/>
  <c r="AG643" i="3"/>
  <c r="AH643" i="3"/>
  <c r="AI643" i="3"/>
  <c r="AJ643" i="3"/>
  <c r="AK643" i="3"/>
  <c r="AM643" i="3" s="1"/>
  <c r="AN643" i="3"/>
  <c r="AB644" i="3"/>
  <c r="AC644" i="3"/>
  <c r="AD644" i="3"/>
  <c r="AE644" i="3"/>
  <c r="AF644" i="3"/>
  <c r="AG644" i="3"/>
  <c r="AH644" i="3"/>
  <c r="AI644" i="3"/>
  <c r="AJ644" i="3"/>
  <c r="AK644" i="3"/>
  <c r="AM644" i="3" s="1"/>
  <c r="AN644" i="3"/>
  <c r="AB645" i="3"/>
  <c r="AC645" i="3"/>
  <c r="AD645" i="3"/>
  <c r="AE645" i="3"/>
  <c r="AF645" i="3"/>
  <c r="AG645" i="3"/>
  <c r="AH645" i="3"/>
  <c r="AI645" i="3"/>
  <c r="AJ645" i="3"/>
  <c r="AK645" i="3"/>
  <c r="AM645" i="3" s="1"/>
  <c r="AN645" i="3"/>
  <c r="AB646" i="3"/>
  <c r="AC646" i="3"/>
  <c r="AD646" i="3"/>
  <c r="AE646" i="3"/>
  <c r="AF646" i="3"/>
  <c r="AG646" i="3"/>
  <c r="AH646" i="3"/>
  <c r="AI646" i="3"/>
  <c r="AJ646" i="3"/>
  <c r="AK646" i="3"/>
  <c r="AM646" i="3" s="1"/>
  <c r="AN646" i="3"/>
  <c r="AB647" i="3"/>
  <c r="AC647" i="3"/>
  <c r="AD647" i="3"/>
  <c r="AE647" i="3"/>
  <c r="AF647" i="3"/>
  <c r="AG647" i="3"/>
  <c r="AH647" i="3"/>
  <c r="AI647" i="3"/>
  <c r="AJ647" i="3"/>
  <c r="AK647" i="3"/>
  <c r="AM647" i="3" s="1"/>
  <c r="AN647" i="3"/>
  <c r="AB648" i="3"/>
  <c r="AC648" i="3"/>
  <c r="AD648" i="3"/>
  <c r="AE648" i="3"/>
  <c r="AF648" i="3"/>
  <c r="AG648" i="3"/>
  <c r="AH648" i="3"/>
  <c r="AI648" i="3"/>
  <c r="AJ648" i="3"/>
  <c r="AK648" i="3"/>
  <c r="AM648" i="3" s="1"/>
  <c r="AN648" i="3"/>
  <c r="AB649" i="3"/>
  <c r="AC649" i="3"/>
  <c r="AD649" i="3"/>
  <c r="AE649" i="3"/>
  <c r="AF649" i="3"/>
  <c r="AG649" i="3"/>
  <c r="AH649" i="3"/>
  <c r="AI649" i="3"/>
  <c r="AJ649" i="3"/>
  <c r="AK649" i="3"/>
  <c r="AM649" i="3" s="1"/>
  <c r="AN649" i="3"/>
  <c r="AB650" i="3"/>
  <c r="AC650" i="3"/>
  <c r="AD650" i="3"/>
  <c r="AE650" i="3"/>
  <c r="AF650" i="3"/>
  <c r="AG650" i="3"/>
  <c r="AH650" i="3"/>
  <c r="AI650" i="3"/>
  <c r="AJ650" i="3"/>
  <c r="AK650" i="3"/>
  <c r="AM650" i="3" s="1"/>
  <c r="AN650" i="3"/>
  <c r="AB651" i="3"/>
  <c r="AC651" i="3"/>
  <c r="AD651" i="3"/>
  <c r="AE651" i="3"/>
  <c r="AF651" i="3"/>
  <c r="AG651" i="3"/>
  <c r="AH651" i="3"/>
  <c r="AI651" i="3"/>
  <c r="AJ651" i="3"/>
  <c r="AK651" i="3"/>
  <c r="AM651" i="3" s="1"/>
  <c r="AN651" i="3"/>
  <c r="AB652" i="3"/>
  <c r="AC652" i="3"/>
  <c r="AD652" i="3"/>
  <c r="AE652" i="3"/>
  <c r="AF652" i="3"/>
  <c r="AG652" i="3"/>
  <c r="AH652" i="3"/>
  <c r="AI652" i="3"/>
  <c r="AJ652" i="3"/>
  <c r="AK652" i="3"/>
  <c r="AM652" i="3" s="1"/>
  <c r="AN652" i="3"/>
  <c r="AB653" i="3"/>
  <c r="AC653" i="3"/>
  <c r="AD653" i="3"/>
  <c r="AE653" i="3"/>
  <c r="AF653" i="3"/>
  <c r="AG653" i="3"/>
  <c r="AH653" i="3"/>
  <c r="AI653" i="3"/>
  <c r="AJ653" i="3"/>
  <c r="AK653" i="3"/>
  <c r="AM653" i="3" s="1"/>
  <c r="AN653" i="3"/>
  <c r="AB654" i="3"/>
  <c r="AC654" i="3"/>
  <c r="AD654" i="3"/>
  <c r="AE654" i="3"/>
  <c r="AF654" i="3"/>
  <c r="AG654" i="3"/>
  <c r="AH654" i="3"/>
  <c r="AI654" i="3"/>
  <c r="AJ654" i="3"/>
  <c r="AK654" i="3"/>
  <c r="AM654" i="3" s="1"/>
  <c r="AN654" i="3"/>
  <c r="AB655" i="3"/>
  <c r="AC655" i="3"/>
  <c r="AD655" i="3"/>
  <c r="AE655" i="3"/>
  <c r="AF655" i="3"/>
  <c r="AG655" i="3"/>
  <c r="AH655" i="3"/>
  <c r="AI655" i="3"/>
  <c r="AJ655" i="3"/>
  <c r="AK655" i="3"/>
  <c r="AM655" i="3" s="1"/>
  <c r="AN655" i="3"/>
  <c r="AB656" i="3"/>
  <c r="AC656" i="3"/>
  <c r="AD656" i="3"/>
  <c r="AE656" i="3"/>
  <c r="AF656" i="3"/>
  <c r="AG656" i="3"/>
  <c r="AH656" i="3"/>
  <c r="AI656" i="3"/>
  <c r="AJ656" i="3"/>
  <c r="AK656" i="3"/>
  <c r="AM656" i="3" s="1"/>
  <c r="AN656" i="3"/>
  <c r="AB657" i="3"/>
  <c r="AC657" i="3"/>
  <c r="AD657" i="3"/>
  <c r="AE657" i="3"/>
  <c r="AF657" i="3"/>
  <c r="AG657" i="3"/>
  <c r="AH657" i="3"/>
  <c r="AI657" i="3"/>
  <c r="AJ657" i="3"/>
  <c r="AK657" i="3"/>
  <c r="AM657" i="3" s="1"/>
  <c r="AN657" i="3"/>
  <c r="AB658" i="3"/>
  <c r="AC658" i="3"/>
  <c r="AD658" i="3"/>
  <c r="AE658" i="3"/>
  <c r="AF658" i="3"/>
  <c r="AG658" i="3"/>
  <c r="AH658" i="3"/>
  <c r="AI658" i="3"/>
  <c r="AJ658" i="3"/>
  <c r="AK658" i="3"/>
  <c r="AM658" i="3" s="1"/>
  <c r="AN658" i="3"/>
  <c r="AB659" i="3"/>
  <c r="AC659" i="3"/>
  <c r="AD659" i="3"/>
  <c r="AE659" i="3"/>
  <c r="AF659" i="3"/>
  <c r="AG659" i="3"/>
  <c r="AH659" i="3"/>
  <c r="AI659" i="3"/>
  <c r="AJ659" i="3"/>
  <c r="AK659" i="3"/>
  <c r="AM659" i="3" s="1"/>
  <c r="AN659" i="3"/>
  <c r="AB660" i="3"/>
  <c r="AC660" i="3"/>
  <c r="AD660" i="3"/>
  <c r="AE660" i="3"/>
  <c r="AF660" i="3"/>
  <c r="AG660" i="3"/>
  <c r="AH660" i="3"/>
  <c r="AI660" i="3"/>
  <c r="AJ660" i="3"/>
  <c r="AK660" i="3"/>
  <c r="AM660" i="3" s="1"/>
  <c r="AN660" i="3"/>
  <c r="AB661" i="3"/>
  <c r="AC661" i="3"/>
  <c r="AD661" i="3"/>
  <c r="AE661" i="3"/>
  <c r="AF661" i="3"/>
  <c r="AG661" i="3"/>
  <c r="AH661" i="3"/>
  <c r="AI661" i="3"/>
  <c r="AJ661" i="3"/>
  <c r="AK661" i="3"/>
  <c r="AM661" i="3" s="1"/>
  <c r="AN661" i="3"/>
  <c r="AB662" i="3"/>
  <c r="AC662" i="3"/>
  <c r="AD662" i="3"/>
  <c r="AE662" i="3"/>
  <c r="AF662" i="3"/>
  <c r="AG662" i="3"/>
  <c r="AH662" i="3"/>
  <c r="AI662" i="3"/>
  <c r="AJ662" i="3"/>
  <c r="AK662" i="3"/>
  <c r="AM662" i="3" s="1"/>
  <c r="AN662" i="3"/>
  <c r="AB663" i="3"/>
  <c r="AC663" i="3"/>
  <c r="AD663" i="3"/>
  <c r="AE663" i="3"/>
  <c r="AF663" i="3"/>
  <c r="AG663" i="3"/>
  <c r="AH663" i="3"/>
  <c r="AI663" i="3"/>
  <c r="AJ663" i="3"/>
  <c r="AK663" i="3"/>
  <c r="AM663" i="3" s="1"/>
  <c r="AN663" i="3"/>
  <c r="AB664" i="3"/>
  <c r="AC664" i="3"/>
  <c r="AD664" i="3"/>
  <c r="AE664" i="3"/>
  <c r="AF664" i="3"/>
  <c r="AG664" i="3"/>
  <c r="AH664" i="3"/>
  <c r="AI664" i="3"/>
  <c r="AJ664" i="3"/>
  <c r="AK664" i="3"/>
  <c r="AM664" i="3" s="1"/>
  <c r="AN664" i="3"/>
  <c r="AB665" i="3"/>
  <c r="AC665" i="3"/>
  <c r="AD665" i="3"/>
  <c r="AE665" i="3"/>
  <c r="AF665" i="3"/>
  <c r="AG665" i="3"/>
  <c r="AH665" i="3"/>
  <c r="AI665" i="3"/>
  <c r="AJ665" i="3"/>
  <c r="AK665" i="3"/>
  <c r="AM665" i="3" s="1"/>
  <c r="AN665" i="3"/>
  <c r="AB666" i="3"/>
  <c r="AC666" i="3"/>
  <c r="AD666" i="3"/>
  <c r="AE666" i="3"/>
  <c r="AF666" i="3"/>
  <c r="AG666" i="3"/>
  <c r="AH666" i="3"/>
  <c r="AI666" i="3"/>
  <c r="AJ666" i="3"/>
  <c r="AK666" i="3"/>
  <c r="AM666" i="3" s="1"/>
  <c r="AN666" i="3"/>
  <c r="AB667" i="3"/>
  <c r="AC667" i="3"/>
  <c r="AD667" i="3"/>
  <c r="AE667" i="3"/>
  <c r="AF667" i="3"/>
  <c r="AG667" i="3"/>
  <c r="AH667" i="3"/>
  <c r="AI667" i="3"/>
  <c r="AJ667" i="3"/>
  <c r="AK667" i="3"/>
  <c r="AM667" i="3" s="1"/>
  <c r="AN667" i="3"/>
  <c r="AB668" i="3"/>
  <c r="AC668" i="3"/>
  <c r="AD668" i="3"/>
  <c r="AE668" i="3"/>
  <c r="AF668" i="3"/>
  <c r="AG668" i="3"/>
  <c r="AH668" i="3"/>
  <c r="AI668" i="3"/>
  <c r="AJ668" i="3"/>
  <c r="AK668" i="3"/>
  <c r="AM668" i="3" s="1"/>
  <c r="AN668" i="3"/>
  <c r="AB669" i="3"/>
  <c r="AC669" i="3"/>
  <c r="AD669" i="3"/>
  <c r="AE669" i="3"/>
  <c r="AF669" i="3"/>
  <c r="AG669" i="3"/>
  <c r="AH669" i="3"/>
  <c r="AI669" i="3"/>
  <c r="AJ669" i="3"/>
  <c r="AK669" i="3"/>
  <c r="AM669" i="3" s="1"/>
  <c r="AN669" i="3"/>
  <c r="AB670" i="3"/>
  <c r="AC670" i="3"/>
  <c r="AD670" i="3"/>
  <c r="AE670" i="3"/>
  <c r="AF670" i="3"/>
  <c r="AG670" i="3"/>
  <c r="AH670" i="3"/>
  <c r="AI670" i="3"/>
  <c r="AJ670" i="3"/>
  <c r="AK670" i="3"/>
  <c r="AM670" i="3" s="1"/>
  <c r="AN670" i="3"/>
  <c r="AB671" i="3"/>
  <c r="AC671" i="3"/>
  <c r="AD671" i="3"/>
  <c r="AE671" i="3"/>
  <c r="AF671" i="3"/>
  <c r="AG671" i="3"/>
  <c r="AH671" i="3"/>
  <c r="AI671" i="3"/>
  <c r="AJ671" i="3"/>
  <c r="AK671" i="3"/>
  <c r="AM671" i="3" s="1"/>
  <c r="AN671" i="3"/>
  <c r="AB672" i="3"/>
  <c r="AC672" i="3"/>
  <c r="AD672" i="3"/>
  <c r="AE672" i="3"/>
  <c r="AF672" i="3"/>
  <c r="AG672" i="3"/>
  <c r="AH672" i="3"/>
  <c r="AI672" i="3"/>
  <c r="AJ672" i="3"/>
  <c r="AK672" i="3"/>
  <c r="AM672" i="3" s="1"/>
  <c r="AN672" i="3"/>
  <c r="AB673" i="3"/>
  <c r="AC673" i="3"/>
  <c r="AD673" i="3"/>
  <c r="AE673" i="3"/>
  <c r="AF673" i="3"/>
  <c r="AG673" i="3"/>
  <c r="AH673" i="3"/>
  <c r="AI673" i="3"/>
  <c r="AJ673" i="3"/>
  <c r="AK673" i="3"/>
  <c r="AM673" i="3" s="1"/>
  <c r="AN673" i="3"/>
  <c r="AB674" i="3"/>
  <c r="AC674" i="3"/>
  <c r="AD674" i="3"/>
  <c r="AE674" i="3"/>
  <c r="AF674" i="3"/>
  <c r="AG674" i="3"/>
  <c r="AH674" i="3"/>
  <c r="AI674" i="3"/>
  <c r="AJ674" i="3"/>
  <c r="AK674" i="3"/>
  <c r="AM674" i="3" s="1"/>
  <c r="AN674" i="3"/>
  <c r="AB675" i="3"/>
  <c r="AC675" i="3"/>
  <c r="AD675" i="3"/>
  <c r="AE675" i="3"/>
  <c r="AF675" i="3"/>
  <c r="AG675" i="3"/>
  <c r="AH675" i="3"/>
  <c r="AI675" i="3"/>
  <c r="AJ675" i="3"/>
  <c r="AK675" i="3"/>
  <c r="AM675" i="3" s="1"/>
  <c r="AN675" i="3"/>
  <c r="AB676" i="3"/>
  <c r="AC676" i="3"/>
  <c r="AD676" i="3"/>
  <c r="AE676" i="3"/>
  <c r="AF676" i="3"/>
  <c r="AG676" i="3"/>
  <c r="AH676" i="3"/>
  <c r="AI676" i="3"/>
  <c r="AJ676" i="3"/>
  <c r="AK676" i="3"/>
  <c r="AM676" i="3" s="1"/>
  <c r="AN676" i="3"/>
  <c r="AB677" i="3"/>
  <c r="AC677" i="3"/>
  <c r="AD677" i="3"/>
  <c r="AE677" i="3"/>
  <c r="AF677" i="3"/>
  <c r="AG677" i="3"/>
  <c r="AH677" i="3"/>
  <c r="AI677" i="3"/>
  <c r="AJ677" i="3"/>
  <c r="AK677" i="3"/>
  <c r="AM677" i="3" s="1"/>
  <c r="AN677" i="3"/>
  <c r="AB678" i="3"/>
  <c r="AC678" i="3"/>
  <c r="AD678" i="3"/>
  <c r="AE678" i="3"/>
  <c r="AF678" i="3"/>
  <c r="AG678" i="3"/>
  <c r="AH678" i="3"/>
  <c r="AI678" i="3"/>
  <c r="AJ678" i="3"/>
  <c r="AK678" i="3"/>
  <c r="AM678" i="3" s="1"/>
  <c r="AN678" i="3"/>
  <c r="AB679" i="3"/>
  <c r="AC679" i="3"/>
  <c r="AD679" i="3"/>
  <c r="AE679" i="3"/>
  <c r="AF679" i="3"/>
  <c r="AG679" i="3"/>
  <c r="AH679" i="3"/>
  <c r="AI679" i="3"/>
  <c r="AJ679" i="3"/>
  <c r="AK679" i="3"/>
  <c r="AM679" i="3" s="1"/>
  <c r="AN679" i="3"/>
  <c r="AB680" i="3"/>
  <c r="AC680" i="3"/>
  <c r="AD680" i="3"/>
  <c r="AE680" i="3"/>
  <c r="AF680" i="3"/>
  <c r="AG680" i="3"/>
  <c r="AH680" i="3"/>
  <c r="AI680" i="3"/>
  <c r="AJ680" i="3"/>
  <c r="AK680" i="3"/>
  <c r="AM680" i="3" s="1"/>
  <c r="AN680" i="3"/>
  <c r="AB681" i="3"/>
  <c r="AC681" i="3"/>
  <c r="AD681" i="3"/>
  <c r="AE681" i="3"/>
  <c r="AF681" i="3"/>
  <c r="AG681" i="3"/>
  <c r="AH681" i="3"/>
  <c r="AI681" i="3"/>
  <c r="AJ681" i="3"/>
  <c r="AK681" i="3"/>
  <c r="AM681" i="3" s="1"/>
  <c r="AN681" i="3"/>
  <c r="AB682" i="3"/>
  <c r="AC682" i="3"/>
  <c r="AD682" i="3"/>
  <c r="AE682" i="3"/>
  <c r="AF682" i="3"/>
  <c r="AG682" i="3"/>
  <c r="AH682" i="3"/>
  <c r="AI682" i="3"/>
  <c r="AJ682" i="3"/>
  <c r="AK682" i="3"/>
  <c r="AM682" i="3" s="1"/>
  <c r="AN682" i="3"/>
  <c r="AB683" i="3"/>
  <c r="AC683" i="3"/>
  <c r="AD683" i="3"/>
  <c r="AE683" i="3"/>
  <c r="AF683" i="3"/>
  <c r="AG683" i="3"/>
  <c r="AH683" i="3"/>
  <c r="AI683" i="3"/>
  <c r="AJ683" i="3"/>
  <c r="AK683" i="3"/>
  <c r="AM683" i="3" s="1"/>
  <c r="AN683" i="3"/>
  <c r="AB684" i="3"/>
  <c r="AC684" i="3"/>
  <c r="AD684" i="3"/>
  <c r="AE684" i="3"/>
  <c r="AF684" i="3"/>
  <c r="AG684" i="3"/>
  <c r="AH684" i="3"/>
  <c r="AI684" i="3"/>
  <c r="AJ684" i="3"/>
  <c r="AK684" i="3"/>
  <c r="AM684" i="3" s="1"/>
  <c r="AN684" i="3"/>
  <c r="AB685" i="3"/>
  <c r="AC685" i="3"/>
  <c r="AD685" i="3"/>
  <c r="AE685" i="3"/>
  <c r="AF685" i="3"/>
  <c r="AG685" i="3"/>
  <c r="AH685" i="3"/>
  <c r="AI685" i="3"/>
  <c r="AJ685" i="3"/>
  <c r="AK685" i="3"/>
  <c r="AM685" i="3" s="1"/>
  <c r="AN685" i="3"/>
  <c r="AB686" i="3"/>
  <c r="AC686" i="3"/>
  <c r="AD686" i="3"/>
  <c r="AE686" i="3"/>
  <c r="AF686" i="3"/>
  <c r="AG686" i="3"/>
  <c r="AH686" i="3"/>
  <c r="AI686" i="3"/>
  <c r="AJ686" i="3"/>
  <c r="AK686" i="3"/>
  <c r="AM686" i="3" s="1"/>
  <c r="AN686" i="3"/>
  <c r="AB687" i="3"/>
  <c r="AC687" i="3"/>
  <c r="AD687" i="3"/>
  <c r="AE687" i="3"/>
  <c r="AF687" i="3"/>
  <c r="AG687" i="3"/>
  <c r="AH687" i="3"/>
  <c r="AI687" i="3"/>
  <c r="AJ687" i="3"/>
  <c r="AK687" i="3"/>
  <c r="AM687" i="3" s="1"/>
  <c r="AN687" i="3"/>
  <c r="AB688" i="3"/>
  <c r="AC688" i="3"/>
  <c r="AD688" i="3"/>
  <c r="AE688" i="3"/>
  <c r="AF688" i="3"/>
  <c r="AG688" i="3"/>
  <c r="AH688" i="3"/>
  <c r="AI688" i="3"/>
  <c r="AJ688" i="3"/>
  <c r="AK688" i="3"/>
  <c r="AM688" i="3" s="1"/>
  <c r="AN688" i="3"/>
  <c r="AB689" i="3"/>
  <c r="AC689" i="3"/>
  <c r="AD689" i="3"/>
  <c r="AE689" i="3"/>
  <c r="AF689" i="3"/>
  <c r="AG689" i="3"/>
  <c r="AH689" i="3"/>
  <c r="AI689" i="3"/>
  <c r="AJ689" i="3"/>
  <c r="AK689" i="3"/>
  <c r="AM689" i="3" s="1"/>
  <c r="AN689" i="3"/>
  <c r="AB690" i="3"/>
  <c r="AC690" i="3"/>
  <c r="AD690" i="3"/>
  <c r="AE690" i="3"/>
  <c r="AF690" i="3"/>
  <c r="AG690" i="3"/>
  <c r="AH690" i="3"/>
  <c r="AI690" i="3"/>
  <c r="AJ690" i="3"/>
  <c r="AK690" i="3"/>
  <c r="AM690" i="3" s="1"/>
  <c r="AN690" i="3"/>
  <c r="AB691" i="3"/>
  <c r="AC691" i="3"/>
  <c r="AD691" i="3"/>
  <c r="AE691" i="3"/>
  <c r="AF691" i="3"/>
  <c r="AG691" i="3"/>
  <c r="AH691" i="3"/>
  <c r="AI691" i="3"/>
  <c r="AJ691" i="3"/>
  <c r="AK691" i="3"/>
  <c r="AM691" i="3" s="1"/>
  <c r="AN691" i="3"/>
  <c r="AB692" i="3"/>
  <c r="AC692" i="3"/>
  <c r="AD692" i="3"/>
  <c r="AE692" i="3"/>
  <c r="AF692" i="3"/>
  <c r="AG692" i="3"/>
  <c r="AH692" i="3"/>
  <c r="AI692" i="3"/>
  <c r="AJ692" i="3"/>
  <c r="AK692" i="3"/>
  <c r="AM692" i="3" s="1"/>
  <c r="AN692" i="3"/>
  <c r="AB693" i="3"/>
  <c r="AC693" i="3"/>
  <c r="AD693" i="3"/>
  <c r="AE693" i="3"/>
  <c r="AF693" i="3"/>
  <c r="AG693" i="3"/>
  <c r="AH693" i="3"/>
  <c r="AI693" i="3"/>
  <c r="AJ693" i="3"/>
  <c r="AK693" i="3"/>
  <c r="AM693" i="3" s="1"/>
  <c r="AN693" i="3"/>
  <c r="AB694" i="3"/>
  <c r="AC694" i="3"/>
  <c r="AD694" i="3"/>
  <c r="AE694" i="3"/>
  <c r="AF694" i="3"/>
  <c r="AG694" i="3"/>
  <c r="AH694" i="3"/>
  <c r="AI694" i="3"/>
  <c r="AJ694" i="3"/>
  <c r="AK694" i="3"/>
  <c r="AM694" i="3" s="1"/>
  <c r="AN694" i="3"/>
  <c r="AB695" i="3"/>
  <c r="AC695" i="3"/>
  <c r="AD695" i="3"/>
  <c r="AE695" i="3"/>
  <c r="AF695" i="3"/>
  <c r="AG695" i="3"/>
  <c r="AH695" i="3"/>
  <c r="AI695" i="3"/>
  <c r="AJ695" i="3"/>
  <c r="AK695" i="3"/>
  <c r="AM695" i="3" s="1"/>
  <c r="AN695" i="3"/>
  <c r="AB696" i="3"/>
  <c r="AC696" i="3"/>
  <c r="AD696" i="3"/>
  <c r="AE696" i="3"/>
  <c r="AF696" i="3"/>
  <c r="AG696" i="3"/>
  <c r="AH696" i="3"/>
  <c r="AI696" i="3"/>
  <c r="AJ696" i="3"/>
  <c r="AK696" i="3"/>
  <c r="AM696" i="3" s="1"/>
  <c r="AN696" i="3"/>
  <c r="AB697" i="3"/>
  <c r="AC697" i="3"/>
  <c r="AD697" i="3"/>
  <c r="AE697" i="3"/>
  <c r="AF697" i="3"/>
  <c r="AG697" i="3"/>
  <c r="AH697" i="3"/>
  <c r="AI697" i="3"/>
  <c r="AJ697" i="3"/>
  <c r="AK697" i="3"/>
  <c r="AM697" i="3" s="1"/>
  <c r="AN697" i="3"/>
  <c r="AB698" i="3"/>
  <c r="AC698" i="3"/>
  <c r="AD698" i="3"/>
  <c r="AE698" i="3"/>
  <c r="AF698" i="3"/>
  <c r="AG698" i="3"/>
  <c r="AH698" i="3"/>
  <c r="AI698" i="3"/>
  <c r="AJ698" i="3"/>
  <c r="AK698" i="3"/>
  <c r="AM698" i="3" s="1"/>
  <c r="AN698" i="3"/>
  <c r="AB699" i="3"/>
  <c r="AC699" i="3"/>
  <c r="AD699" i="3"/>
  <c r="AE699" i="3"/>
  <c r="AF699" i="3"/>
  <c r="AG699" i="3"/>
  <c r="AH699" i="3"/>
  <c r="AI699" i="3"/>
  <c r="AJ699" i="3"/>
  <c r="AK699" i="3"/>
  <c r="AM699" i="3" s="1"/>
  <c r="AN699" i="3"/>
  <c r="AB700" i="3"/>
  <c r="AC700" i="3"/>
  <c r="AD700" i="3"/>
  <c r="AE700" i="3"/>
  <c r="AF700" i="3"/>
  <c r="AG700" i="3"/>
  <c r="AH700" i="3"/>
  <c r="AI700" i="3"/>
  <c r="AJ700" i="3"/>
  <c r="AK700" i="3"/>
  <c r="AM700" i="3" s="1"/>
  <c r="AN700" i="3"/>
  <c r="AB701" i="3"/>
  <c r="AC701" i="3"/>
  <c r="AD701" i="3"/>
  <c r="AE701" i="3"/>
  <c r="AF701" i="3"/>
  <c r="AG701" i="3"/>
  <c r="AH701" i="3"/>
  <c r="AI701" i="3"/>
  <c r="AJ701" i="3"/>
  <c r="AK701" i="3"/>
  <c r="AM701" i="3" s="1"/>
  <c r="AN701" i="3"/>
  <c r="AB702" i="3"/>
  <c r="AC702" i="3"/>
  <c r="AD702" i="3"/>
  <c r="AE702" i="3"/>
  <c r="AF702" i="3"/>
  <c r="AG702" i="3"/>
  <c r="AH702" i="3"/>
  <c r="AI702" i="3"/>
  <c r="AJ702" i="3"/>
  <c r="AK702" i="3"/>
  <c r="AM702" i="3" s="1"/>
  <c r="AN702" i="3"/>
  <c r="AB703" i="3"/>
  <c r="AC703" i="3"/>
  <c r="AD703" i="3"/>
  <c r="AE703" i="3"/>
  <c r="AF703" i="3"/>
  <c r="AG703" i="3"/>
  <c r="AH703" i="3"/>
  <c r="AI703" i="3"/>
  <c r="AJ703" i="3"/>
  <c r="AK703" i="3"/>
  <c r="AM703" i="3" s="1"/>
  <c r="AN703" i="3"/>
  <c r="AB704" i="3"/>
  <c r="AC704" i="3"/>
  <c r="AD704" i="3"/>
  <c r="AE704" i="3"/>
  <c r="AF704" i="3"/>
  <c r="AG704" i="3"/>
  <c r="AH704" i="3"/>
  <c r="AI704" i="3"/>
  <c r="AJ704" i="3"/>
  <c r="AK704" i="3"/>
  <c r="AM704" i="3" s="1"/>
  <c r="AN704" i="3"/>
  <c r="AB705" i="3"/>
  <c r="AC705" i="3"/>
  <c r="AD705" i="3"/>
  <c r="AE705" i="3"/>
  <c r="AF705" i="3"/>
  <c r="AG705" i="3"/>
  <c r="AH705" i="3"/>
  <c r="AI705" i="3"/>
  <c r="AJ705" i="3"/>
  <c r="AK705" i="3"/>
  <c r="AM705" i="3" s="1"/>
  <c r="AN705" i="3"/>
  <c r="AB706" i="3"/>
  <c r="AC706" i="3"/>
  <c r="AD706" i="3"/>
  <c r="AE706" i="3"/>
  <c r="AF706" i="3"/>
  <c r="AG706" i="3"/>
  <c r="AH706" i="3"/>
  <c r="AI706" i="3"/>
  <c r="AJ706" i="3"/>
  <c r="AK706" i="3"/>
  <c r="AM706" i="3" s="1"/>
  <c r="AN706" i="3"/>
  <c r="AB707" i="3"/>
  <c r="AC707" i="3"/>
  <c r="AD707" i="3"/>
  <c r="AE707" i="3"/>
  <c r="AF707" i="3"/>
  <c r="AG707" i="3"/>
  <c r="AH707" i="3"/>
  <c r="AI707" i="3"/>
  <c r="AJ707" i="3"/>
  <c r="AK707" i="3"/>
  <c r="AM707" i="3" s="1"/>
  <c r="AN707" i="3"/>
  <c r="AB708" i="3"/>
  <c r="AC708" i="3"/>
  <c r="AD708" i="3"/>
  <c r="AE708" i="3"/>
  <c r="AF708" i="3"/>
  <c r="AG708" i="3"/>
  <c r="AH708" i="3"/>
  <c r="AI708" i="3"/>
  <c r="AJ708" i="3"/>
  <c r="AK708" i="3"/>
  <c r="AM708" i="3" s="1"/>
  <c r="AN708" i="3"/>
  <c r="AB709" i="3"/>
  <c r="AC709" i="3"/>
  <c r="AD709" i="3"/>
  <c r="AE709" i="3"/>
  <c r="AF709" i="3"/>
  <c r="AG709" i="3"/>
  <c r="AH709" i="3"/>
  <c r="AI709" i="3"/>
  <c r="AJ709" i="3"/>
  <c r="AK709" i="3"/>
  <c r="AM709" i="3" s="1"/>
  <c r="AN709" i="3"/>
  <c r="AB710" i="3"/>
  <c r="AC710" i="3"/>
  <c r="AD710" i="3"/>
  <c r="AE710" i="3"/>
  <c r="AF710" i="3"/>
  <c r="AG710" i="3"/>
  <c r="AH710" i="3"/>
  <c r="AI710" i="3"/>
  <c r="AJ710" i="3"/>
  <c r="AK710" i="3"/>
  <c r="AM710" i="3" s="1"/>
  <c r="AN710" i="3"/>
  <c r="AB711" i="3"/>
  <c r="AC711" i="3"/>
  <c r="AD711" i="3"/>
  <c r="AE711" i="3"/>
  <c r="AF711" i="3"/>
  <c r="AG711" i="3"/>
  <c r="AH711" i="3"/>
  <c r="AI711" i="3"/>
  <c r="AJ711" i="3"/>
  <c r="AK711" i="3"/>
  <c r="AM711" i="3" s="1"/>
  <c r="AN711" i="3"/>
  <c r="AB712" i="3"/>
  <c r="AC712" i="3"/>
  <c r="AD712" i="3"/>
  <c r="AE712" i="3"/>
  <c r="AF712" i="3"/>
  <c r="AG712" i="3"/>
  <c r="AH712" i="3"/>
  <c r="AI712" i="3"/>
  <c r="AJ712" i="3"/>
  <c r="AK712" i="3"/>
  <c r="AM712" i="3" s="1"/>
  <c r="AN712" i="3"/>
  <c r="AB713" i="3"/>
  <c r="AC713" i="3"/>
  <c r="AD713" i="3"/>
  <c r="AE713" i="3"/>
  <c r="AF713" i="3"/>
  <c r="AG713" i="3"/>
  <c r="AH713" i="3"/>
  <c r="AI713" i="3"/>
  <c r="AJ713" i="3"/>
  <c r="AK713" i="3"/>
  <c r="AM713" i="3" s="1"/>
  <c r="AN713" i="3"/>
  <c r="AB714" i="3"/>
  <c r="AC714" i="3"/>
  <c r="AD714" i="3"/>
  <c r="AE714" i="3"/>
  <c r="AF714" i="3"/>
  <c r="AG714" i="3"/>
  <c r="AH714" i="3"/>
  <c r="AI714" i="3"/>
  <c r="AJ714" i="3"/>
  <c r="AK714" i="3"/>
  <c r="AM714" i="3" s="1"/>
  <c r="AN714" i="3"/>
  <c r="AB715" i="3"/>
  <c r="AC715" i="3"/>
  <c r="AD715" i="3"/>
  <c r="AE715" i="3"/>
  <c r="AF715" i="3"/>
  <c r="AG715" i="3"/>
  <c r="AH715" i="3"/>
  <c r="AI715" i="3"/>
  <c r="AJ715" i="3"/>
  <c r="AK715" i="3"/>
  <c r="AM715" i="3" s="1"/>
  <c r="AN715" i="3"/>
  <c r="AB716" i="3"/>
  <c r="AC716" i="3"/>
  <c r="AD716" i="3"/>
  <c r="AE716" i="3"/>
  <c r="AF716" i="3"/>
  <c r="AG716" i="3"/>
  <c r="AH716" i="3"/>
  <c r="AI716" i="3"/>
  <c r="AJ716" i="3"/>
  <c r="AK716" i="3"/>
  <c r="AM716" i="3" s="1"/>
  <c r="AN716" i="3"/>
  <c r="AB717" i="3"/>
  <c r="AC717" i="3"/>
  <c r="AD717" i="3"/>
  <c r="AE717" i="3"/>
  <c r="AF717" i="3"/>
  <c r="AG717" i="3"/>
  <c r="AH717" i="3"/>
  <c r="AI717" i="3"/>
  <c r="AJ717" i="3"/>
  <c r="AK717" i="3"/>
  <c r="AM717" i="3" s="1"/>
  <c r="AN717" i="3"/>
  <c r="AB718" i="3"/>
  <c r="AC718" i="3"/>
  <c r="AD718" i="3"/>
  <c r="AE718" i="3"/>
  <c r="AF718" i="3"/>
  <c r="AG718" i="3"/>
  <c r="AH718" i="3"/>
  <c r="AI718" i="3"/>
  <c r="AJ718" i="3"/>
  <c r="AK718" i="3"/>
  <c r="AM718" i="3" s="1"/>
  <c r="AN718" i="3"/>
  <c r="AB719" i="3"/>
  <c r="AC719" i="3"/>
  <c r="AD719" i="3"/>
  <c r="AE719" i="3"/>
  <c r="AF719" i="3"/>
  <c r="AG719" i="3"/>
  <c r="AH719" i="3"/>
  <c r="AI719" i="3"/>
  <c r="AJ719" i="3"/>
  <c r="AK719" i="3"/>
  <c r="AM719" i="3" s="1"/>
  <c r="AN719" i="3"/>
  <c r="AB720" i="3"/>
  <c r="AC720" i="3"/>
  <c r="AD720" i="3"/>
  <c r="AE720" i="3"/>
  <c r="AF720" i="3"/>
  <c r="AG720" i="3"/>
  <c r="AH720" i="3"/>
  <c r="AI720" i="3"/>
  <c r="AJ720" i="3"/>
  <c r="AK720" i="3"/>
  <c r="AM720" i="3" s="1"/>
  <c r="AN720" i="3"/>
  <c r="AB721" i="3"/>
  <c r="AC721" i="3"/>
  <c r="AD721" i="3"/>
  <c r="AE721" i="3"/>
  <c r="AF721" i="3"/>
  <c r="AG721" i="3"/>
  <c r="AH721" i="3"/>
  <c r="AI721" i="3"/>
  <c r="AJ721" i="3"/>
  <c r="AK721" i="3"/>
  <c r="AM721" i="3" s="1"/>
  <c r="AN721" i="3"/>
  <c r="AB722" i="3"/>
  <c r="AC722" i="3"/>
  <c r="AD722" i="3"/>
  <c r="AE722" i="3"/>
  <c r="AF722" i="3"/>
  <c r="AG722" i="3"/>
  <c r="AH722" i="3"/>
  <c r="AI722" i="3"/>
  <c r="AJ722" i="3"/>
  <c r="AK722" i="3"/>
  <c r="AM722" i="3" s="1"/>
  <c r="AN722" i="3"/>
  <c r="AB723" i="3"/>
  <c r="AC723" i="3"/>
  <c r="AD723" i="3"/>
  <c r="AE723" i="3"/>
  <c r="AF723" i="3"/>
  <c r="AG723" i="3"/>
  <c r="AH723" i="3"/>
  <c r="AI723" i="3"/>
  <c r="AJ723" i="3"/>
  <c r="AK723" i="3"/>
  <c r="AM723" i="3" s="1"/>
  <c r="AN723" i="3"/>
  <c r="AB724" i="3"/>
  <c r="AC724" i="3"/>
  <c r="AD724" i="3"/>
  <c r="AE724" i="3"/>
  <c r="AF724" i="3"/>
  <c r="AG724" i="3"/>
  <c r="AH724" i="3"/>
  <c r="AI724" i="3"/>
  <c r="AJ724" i="3"/>
  <c r="AK724" i="3"/>
  <c r="AM724" i="3" s="1"/>
  <c r="AN724" i="3"/>
  <c r="AB725" i="3"/>
  <c r="AC725" i="3"/>
  <c r="AD725" i="3"/>
  <c r="AE725" i="3"/>
  <c r="AF725" i="3"/>
  <c r="AG725" i="3"/>
  <c r="AH725" i="3"/>
  <c r="AI725" i="3"/>
  <c r="AJ725" i="3"/>
  <c r="AK725" i="3"/>
  <c r="AM725" i="3" s="1"/>
  <c r="AN725" i="3"/>
  <c r="AB726" i="3"/>
  <c r="AC726" i="3"/>
  <c r="AD726" i="3"/>
  <c r="AE726" i="3"/>
  <c r="AF726" i="3"/>
  <c r="AG726" i="3"/>
  <c r="AH726" i="3"/>
  <c r="AI726" i="3"/>
  <c r="AJ726" i="3"/>
  <c r="AK726" i="3"/>
  <c r="AM726" i="3" s="1"/>
  <c r="AN726" i="3"/>
  <c r="AB727" i="3"/>
  <c r="AC727" i="3"/>
  <c r="AD727" i="3"/>
  <c r="AE727" i="3"/>
  <c r="AF727" i="3"/>
  <c r="AG727" i="3"/>
  <c r="AH727" i="3"/>
  <c r="AI727" i="3"/>
  <c r="AJ727" i="3"/>
  <c r="AK727" i="3"/>
  <c r="AM727" i="3" s="1"/>
  <c r="AN727" i="3"/>
  <c r="AB728" i="3"/>
  <c r="AC728" i="3"/>
  <c r="AD728" i="3"/>
  <c r="AE728" i="3"/>
  <c r="AF728" i="3"/>
  <c r="AG728" i="3"/>
  <c r="AH728" i="3"/>
  <c r="AI728" i="3"/>
  <c r="AJ728" i="3"/>
  <c r="AK728" i="3"/>
  <c r="AM728" i="3" s="1"/>
  <c r="AN728" i="3"/>
  <c r="AB729" i="3"/>
  <c r="AC729" i="3"/>
  <c r="AD729" i="3"/>
  <c r="AE729" i="3"/>
  <c r="AF729" i="3"/>
  <c r="AG729" i="3"/>
  <c r="AH729" i="3"/>
  <c r="AI729" i="3"/>
  <c r="AJ729" i="3"/>
  <c r="AK729" i="3"/>
  <c r="AM729" i="3" s="1"/>
  <c r="AN729" i="3"/>
  <c r="AB730" i="3"/>
  <c r="AC730" i="3"/>
  <c r="AD730" i="3"/>
  <c r="AE730" i="3"/>
  <c r="AF730" i="3"/>
  <c r="AG730" i="3"/>
  <c r="AH730" i="3"/>
  <c r="AI730" i="3"/>
  <c r="AJ730" i="3"/>
  <c r="AK730" i="3"/>
  <c r="AM730" i="3" s="1"/>
  <c r="AN730" i="3"/>
  <c r="AB731" i="3"/>
  <c r="AC731" i="3"/>
  <c r="AD731" i="3"/>
  <c r="AE731" i="3"/>
  <c r="AF731" i="3"/>
  <c r="AG731" i="3"/>
  <c r="AH731" i="3"/>
  <c r="AI731" i="3"/>
  <c r="AJ731" i="3"/>
  <c r="AK731" i="3"/>
  <c r="AM731" i="3" s="1"/>
  <c r="AN731" i="3"/>
  <c r="AB732" i="3"/>
  <c r="AC732" i="3"/>
  <c r="AD732" i="3"/>
  <c r="AE732" i="3"/>
  <c r="AF732" i="3"/>
  <c r="AG732" i="3"/>
  <c r="AH732" i="3"/>
  <c r="AI732" i="3"/>
  <c r="AJ732" i="3"/>
  <c r="AK732" i="3"/>
  <c r="AM732" i="3" s="1"/>
  <c r="AN732" i="3"/>
  <c r="AB733" i="3"/>
  <c r="AC733" i="3"/>
  <c r="AD733" i="3"/>
  <c r="AE733" i="3"/>
  <c r="AF733" i="3"/>
  <c r="AG733" i="3"/>
  <c r="AH733" i="3"/>
  <c r="AI733" i="3"/>
  <c r="AJ733" i="3"/>
  <c r="AK733" i="3"/>
  <c r="AM733" i="3" s="1"/>
  <c r="AN733" i="3"/>
  <c r="AB734" i="3"/>
  <c r="AC734" i="3"/>
  <c r="AD734" i="3"/>
  <c r="AE734" i="3"/>
  <c r="AF734" i="3"/>
  <c r="AG734" i="3"/>
  <c r="AH734" i="3"/>
  <c r="AI734" i="3"/>
  <c r="AJ734" i="3"/>
  <c r="AK734" i="3"/>
  <c r="AM734" i="3" s="1"/>
  <c r="AN734" i="3"/>
  <c r="AB735" i="3"/>
  <c r="AC735" i="3"/>
  <c r="AD735" i="3"/>
  <c r="AE735" i="3"/>
  <c r="AF735" i="3"/>
  <c r="AG735" i="3"/>
  <c r="AH735" i="3"/>
  <c r="AI735" i="3"/>
  <c r="AJ735" i="3"/>
  <c r="AK735" i="3"/>
  <c r="AM735" i="3" s="1"/>
  <c r="AN735" i="3"/>
  <c r="AB736" i="3"/>
  <c r="AC736" i="3"/>
  <c r="AD736" i="3"/>
  <c r="AE736" i="3"/>
  <c r="AF736" i="3"/>
  <c r="AG736" i="3"/>
  <c r="AH736" i="3"/>
  <c r="AI736" i="3"/>
  <c r="AJ736" i="3"/>
  <c r="AK736" i="3"/>
  <c r="AM736" i="3" s="1"/>
  <c r="AN736" i="3"/>
  <c r="AB737" i="3"/>
  <c r="AC737" i="3"/>
  <c r="AD737" i="3"/>
  <c r="AE737" i="3"/>
  <c r="AF737" i="3"/>
  <c r="AG737" i="3"/>
  <c r="AH737" i="3"/>
  <c r="AI737" i="3"/>
  <c r="AJ737" i="3"/>
  <c r="AK737" i="3"/>
  <c r="AM737" i="3" s="1"/>
  <c r="AN737" i="3"/>
  <c r="AB738" i="3"/>
  <c r="AC738" i="3"/>
  <c r="AD738" i="3"/>
  <c r="AE738" i="3"/>
  <c r="AF738" i="3"/>
  <c r="AG738" i="3"/>
  <c r="AH738" i="3"/>
  <c r="AI738" i="3"/>
  <c r="AJ738" i="3"/>
  <c r="AK738" i="3"/>
  <c r="AM738" i="3" s="1"/>
  <c r="AN738" i="3"/>
  <c r="AB739" i="3"/>
  <c r="AC739" i="3"/>
  <c r="AD739" i="3"/>
  <c r="AE739" i="3"/>
  <c r="AF739" i="3"/>
  <c r="AG739" i="3"/>
  <c r="AH739" i="3"/>
  <c r="AI739" i="3"/>
  <c r="AJ739" i="3"/>
  <c r="AK739" i="3"/>
  <c r="AM739" i="3" s="1"/>
  <c r="AN739" i="3"/>
  <c r="AB740" i="3"/>
  <c r="AC740" i="3"/>
  <c r="AD740" i="3"/>
  <c r="AE740" i="3"/>
  <c r="AF740" i="3"/>
  <c r="AG740" i="3"/>
  <c r="AH740" i="3"/>
  <c r="AI740" i="3"/>
  <c r="AJ740" i="3"/>
  <c r="AK740" i="3"/>
  <c r="AM740" i="3" s="1"/>
  <c r="AN740" i="3"/>
  <c r="AB741" i="3"/>
  <c r="AC741" i="3"/>
  <c r="AD741" i="3"/>
  <c r="AE741" i="3"/>
  <c r="AF741" i="3"/>
  <c r="AG741" i="3"/>
  <c r="AH741" i="3"/>
  <c r="AI741" i="3"/>
  <c r="AJ741" i="3"/>
  <c r="AK741" i="3"/>
  <c r="AM741" i="3" s="1"/>
  <c r="AN741" i="3"/>
  <c r="AB742" i="3"/>
  <c r="AC742" i="3"/>
  <c r="AD742" i="3"/>
  <c r="AE742" i="3"/>
  <c r="AF742" i="3"/>
  <c r="AG742" i="3"/>
  <c r="AH742" i="3"/>
  <c r="AI742" i="3"/>
  <c r="AJ742" i="3"/>
  <c r="AK742" i="3"/>
  <c r="AM742" i="3" s="1"/>
  <c r="AN742" i="3"/>
  <c r="AB743" i="3"/>
  <c r="AC743" i="3"/>
  <c r="AD743" i="3"/>
  <c r="AE743" i="3"/>
  <c r="AF743" i="3"/>
  <c r="AG743" i="3"/>
  <c r="AH743" i="3"/>
  <c r="AI743" i="3"/>
  <c r="AJ743" i="3"/>
  <c r="AK743" i="3"/>
  <c r="AM743" i="3" s="1"/>
  <c r="AN743" i="3"/>
  <c r="AB744" i="3"/>
  <c r="AC744" i="3"/>
  <c r="AD744" i="3"/>
  <c r="AE744" i="3"/>
  <c r="AF744" i="3"/>
  <c r="AG744" i="3"/>
  <c r="AH744" i="3"/>
  <c r="AI744" i="3"/>
  <c r="AJ744" i="3"/>
  <c r="AK744" i="3"/>
  <c r="AM744" i="3" s="1"/>
  <c r="AN744" i="3"/>
  <c r="AB745" i="3"/>
  <c r="AC745" i="3"/>
  <c r="AD745" i="3"/>
  <c r="AE745" i="3"/>
  <c r="AF745" i="3"/>
  <c r="AG745" i="3"/>
  <c r="AH745" i="3"/>
  <c r="AI745" i="3"/>
  <c r="AJ745" i="3"/>
  <c r="AK745" i="3"/>
  <c r="AM745" i="3" s="1"/>
  <c r="AN745" i="3"/>
  <c r="AB746" i="3"/>
  <c r="AC746" i="3"/>
  <c r="AD746" i="3"/>
  <c r="AE746" i="3"/>
  <c r="AF746" i="3"/>
  <c r="AG746" i="3"/>
  <c r="AH746" i="3"/>
  <c r="AI746" i="3"/>
  <c r="AJ746" i="3"/>
  <c r="AK746" i="3"/>
  <c r="AM746" i="3" s="1"/>
  <c r="AN746" i="3"/>
  <c r="AB747" i="3"/>
  <c r="AC747" i="3"/>
  <c r="AD747" i="3"/>
  <c r="AE747" i="3"/>
  <c r="AF747" i="3"/>
  <c r="AG747" i="3"/>
  <c r="AH747" i="3"/>
  <c r="AI747" i="3"/>
  <c r="AJ747" i="3"/>
  <c r="AK747" i="3"/>
  <c r="AM747" i="3" s="1"/>
  <c r="AN747" i="3"/>
  <c r="AB748" i="3"/>
  <c r="AC748" i="3"/>
  <c r="AD748" i="3"/>
  <c r="AE748" i="3"/>
  <c r="AF748" i="3"/>
  <c r="AG748" i="3"/>
  <c r="AH748" i="3"/>
  <c r="AI748" i="3"/>
  <c r="AJ748" i="3"/>
  <c r="AK748" i="3"/>
  <c r="AM748" i="3" s="1"/>
  <c r="AN748" i="3"/>
  <c r="AB749" i="3"/>
  <c r="AC749" i="3"/>
  <c r="AD749" i="3"/>
  <c r="AE749" i="3"/>
  <c r="AF749" i="3"/>
  <c r="AG749" i="3"/>
  <c r="AH749" i="3"/>
  <c r="AI749" i="3"/>
  <c r="AJ749" i="3"/>
  <c r="AK749" i="3"/>
  <c r="AM749" i="3" s="1"/>
  <c r="AN749" i="3"/>
  <c r="AB750" i="3"/>
  <c r="AC750" i="3"/>
  <c r="AD750" i="3"/>
  <c r="AE750" i="3"/>
  <c r="AF750" i="3"/>
  <c r="AG750" i="3"/>
  <c r="AH750" i="3"/>
  <c r="AI750" i="3"/>
  <c r="AJ750" i="3"/>
  <c r="AK750" i="3"/>
  <c r="AM750" i="3" s="1"/>
  <c r="AN750" i="3"/>
  <c r="AB751" i="3"/>
  <c r="AC751" i="3"/>
  <c r="AD751" i="3"/>
  <c r="AE751" i="3"/>
  <c r="AF751" i="3"/>
  <c r="AG751" i="3"/>
  <c r="AH751" i="3"/>
  <c r="AI751" i="3"/>
  <c r="AJ751" i="3"/>
  <c r="AK751" i="3"/>
  <c r="AM751" i="3" s="1"/>
  <c r="AN751" i="3"/>
  <c r="AB752" i="3"/>
  <c r="AC752" i="3"/>
  <c r="AD752" i="3"/>
  <c r="AE752" i="3"/>
  <c r="AF752" i="3"/>
  <c r="AG752" i="3"/>
  <c r="AH752" i="3"/>
  <c r="AI752" i="3"/>
  <c r="AJ752" i="3"/>
  <c r="AK752" i="3"/>
  <c r="AM752" i="3" s="1"/>
  <c r="AN752" i="3"/>
  <c r="AB753" i="3"/>
  <c r="AC753" i="3"/>
  <c r="AD753" i="3"/>
  <c r="AE753" i="3"/>
  <c r="AF753" i="3"/>
  <c r="AG753" i="3"/>
  <c r="AH753" i="3"/>
  <c r="AI753" i="3"/>
  <c r="AJ753" i="3"/>
  <c r="AK753" i="3"/>
  <c r="AM753" i="3" s="1"/>
  <c r="AN753" i="3"/>
  <c r="AB754" i="3"/>
  <c r="AC754" i="3"/>
  <c r="AD754" i="3"/>
  <c r="AE754" i="3"/>
  <c r="AF754" i="3"/>
  <c r="AG754" i="3"/>
  <c r="AH754" i="3"/>
  <c r="AI754" i="3"/>
  <c r="AJ754" i="3"/>
  <c r="AK754" i="3"/>
  <c r="AM754" i="3" s="1"/>
  <c r="AN754" i="3"/>
  <c r="AB755" i="3"/>
  <c r="AC755" i="3"/>
  <c r="AD755" i="3"/>
  <c r="AE755" i="3"/>
  <c r="AF755" i="3"/>
  <c r="AG755" i="3"/>
  <c r="AH755" i="3"/>
  <c r="AI755" i="3"/>
  <c r="AJ755" i="3"/>
  <c r="AK755" i="3"/>
  <c r="AM755" i="3" s="1"/>
  <c r="AN755" i="3"/>
  <c r="AB756" i="3"/>
  <c r="AC756" i="3"/>
  <c r="AD756" i="3"/>
  <c r="AE756" i="3"/>
  <c r="AF756" i="3"/>
  <c r="AG756" i="3"/>
  <c r="AH756" i="3"/>
  <c r="AI756" i="3"/>
  <c r="AJ756" i="3"/>
  <c r="AK756" i="3"/>
  <c r="AM756" i="3" s="1"/>
  <c r="AN756" i="3"/>
  <c r="AB757" i="3"/>
  <c r="AC757" i="3"/>
  <c r="AD757" i="3"/>
  <c r="AE757" i="3"/>
  <c r="AF757" i="3"/>
  <c r="AG757" i="3"/>
  <c r="AH757" i="3"/>
  <c r="AI757" i="3"/>
  <c r="AJ757" i="3"/>
  <c r="AK757" i="3"/>
  <c r="AM757" i="3" s="1"/>
  <c r="AN757" i="3"/>
  <c r="AB758" i="3"/>
  <c r="AC758" i="3"/>
  <c r="AD758" i="3"/>
  <c r="AE758" i="3"/>
  <c r="AF758" i="3"/>
  <c r="AG758" i="3"/>
  <c r="AH758" i="3"/>
  <c r="AI758" i="3"/>
  <c r="AJ758" i="3"/>
  <c r="AK758" i="3"/>
  <c r="AM758" i="3" s="1"/>
  <c r="AN758" i="3"/>
  <c r="AB759" i="3"/>
  <c r="AC759" i="3"/>
  <c r="AD759" i="3"/>
  <c r="AE759" i="3"/>
  <c r="AF759" i="3"/>
  <c r="AG759" i="3"/>
  <c r="AH759" i="3"/>
  <c r="AI759" i="3"/>
  <c r="AJ759" i="3"/>
  <c r="AK759" i="3"/>
  <c r="AM759" i="3" s="1"/>
  <c r="AN759" i="3"/>
  <c r="AB760" i="3"/>
  <c r="AC760" i="3"/>
  <c r="AD760" i="3"/>
  <c r="AE760" i="3"/>
  <c r="AF760" i="3"/>
  <c r="AG760" i="3"/>
  <c r="AH760" i="3"/>
  <c r="AI760" i="3"/>
  <c r="AJ760" i="3"/>
  <c r="AK760" i="3"/>
  <c r="AM760" i="3" s="1"/>
  <c r="AN760" i="3"/>
  <c r="AB761" i="3"/>
  <c r="AC761" i="3"/>
  <c r="AD761" i="3"/>
  <c r="AE761" i="3"/>
  <c r="AF761" i="3"/>
  <c r="AG761" i="3"/>
  <c r="AH761" i="3"/>
  <c r="AI761" i="3"/>
  <c r="AJ761" i="3"/>
  <c r="AK761" i="3"/>
  <c r="AM761" i="3" s="1"/>
  <c r="AN761" i="3"/>
  <c r="AB762" i="3"/>
  <c r="AC762" i="3"/>
  <c r="AD762" i="3"/>
  <c r="AE762" i="3"/>
  <c r="AF762" i="3"/>
  <c r="AG762" i="3"/>
  <c r="AH762" i="3"/>
  <c r="AI762" i="3"/>
  <c r="AJ762" i="3"/>
  <c r="AK762" i="3"/>
  <c r="AM762" i="3" s="1"/>
  <c r="AN762" i="3"/>
  <c r="AB763" i="3"/>
  <c r="AC763" i="3"/>
  <c r="AD763" i="3"/>
  <c r="AE763" i="3"/>
  <c r="AF763" i="3"/>
  <c r="AG763" i="3"/>
  <c r="AH763" i="3"/>
  <c r="AI763" i="3"/>
  <c r="AJ763" i="3"/>
  <c r="AK763" i="3"/>
  <c r="AM763" i="3" s="1"/>
  <c r="AN763" i="3"/>
  <c r="AB764" i="3"/>
  <c r="AC764" i="3"/>
  <c r="AD764" i="3"/>
  <c r="AE764" i="3"/>
  <c r="AF764" i="3"/>
  <c r="AG764" i="3"/>
  <c r="AH764" i="3"/>
  <c r="AI764" i="3"/>
  <c r="AJ764" i="3"/>
  <c r="AK764" i="3"/>
  <c r="AM764" i="3" s="1"/>
  <c r="AN764" i="3"/>
  <c r="AB765" i="3"/>
  <c r="AC765" i="3"/>
  <c r="AD765" i="3"/>
  <c r="AE765" i="3"/>
  <c r="AF765" i="3"/>
  <c r="AG765" i="3"/>
  <c r="AH765" i="3"/>
  <c r="AI765" i="3"/>
  <c r="AJ765" i="3"/>
  <c r="AK765" i="3"/>
  <c r="AM765" i="3" s="1"/>
  <c r="AN765" i="3"/>
  <c r="AB766" i="3"/>
  <c r="AC766" i="3"/>
  <c r="AD766" i="3"/>
  <c r="AE766" i="3"/>
  <c r="AF766" i="3"/>
  <c r="AG766" i="3"/>
  <c r="AH766" i="3"/>
  <c r="AI766" i="3"/>
  <c r="AJ766" i="3"/>
  <c r="AK766" i="3"/>
  <c r="AM766" i="3" s="1"/>
  <c r="AN766" i="3"/>
  <c r="AB767" i="3"/>
  <c r="AC767" i="3"/>
  <c r="AD767" i="3"/>
  <c r="AE767" i="3"/>
  <c r="AF767" i="3"/>
  <c r="AG767" i="3"/>
  <c r="AH767" i="3"/>
  <c r="AI767" i="3"/>
  <c r="AJ767" i="3"/>
  <c r="AK767" i="3"/>
  <c r="AM767" i="3" s="1"/>
  <c r="AN767" i="3"/>
  <c r="AB768" i="3"/>
  <c r="AC768" i="3"/>
  <c r="AD768" i="3"/>
  <c r="AE768" i="3"/>
  <c r="AF768" i="3"/>
  <c r="AG768" i="3"/>
  <c r="AH768" i="3"/>
  <c r="AI768" i="3"/>
  <c r="AJ768" i="3"/>
  <c r="AK768" i="3"/>
  <c r="AM768" i="3" s="1"/>
  <c r="AN768" i="3"/>
  <c r="AB769" i="3"/>
  <c r="AC769" i="3"/>
  <c r="AD769" i="3"/>
  <c r="AE769" i="3"/>
  <c r="AF769" i="3"/>
  <c r="AG769" i="3"/>
  <c r="AH769" i="3"/>
  <c r="AI769" i="3"/>
  <c r="AJ769" i="3"/>
  <c r="AK769" i="3"/>
  <c r="AM769" i="3" s="1"/>
  <c r="AN769" i="3"/>
  <c r="AB770" i="3"/>
  <c r="AC770" i="3"/>
  <c r="AD770" i="3"/>
  <c r="AE770" i="3"/>
  <c r="AF770" i="3"/>
  <c r="AG770" i="3"/>
  <c r="AH770" i="3"/>
  <c r="AI770" i="3"/>
  <c r="AJ770" i="3"/>
  <c r="AK770" i="3"/>
  <c r="AM770" i="3" s="1"/>
  <c r="AN770" i="3"/>
  <c r="AB771" i="3"/>
  <c r="AC771" i="3"/>
  <c r="AD771" i="3"/>
  <c r="AE771" i="3"/>
  <c r="AF771" i="3"/>
  <c r="AG771" i="3"/>
  <c r="AH771" i="3"/>
  <c r="AI771" i="3"/>
  <c r="AJ771" i="3"/>
  <c r="AK771" i="3"/>
  <c r="AM771" i="3" s="1"/>
  <c r="AN771" i="3"/>
  <c r="AB772" i="3"/>
  <c r="AC772" i="3"/>
  <c r="AD772" i="3"/>
  <c r="AE772" i="3"/>
  <c r="AF772" i="3"/>
  <c r="AG772" i="3"/>
  <c r="AH772" i="3"/>
  <c r="AI772" i="3"/>
  <c r="AJ772" i="3"/>
  <c r="AK772" i="3"/>
  <c r="AM772" i="3" s="1"/>
  <c r="AN772" i="3"/>
  <c r="AB773" i="3"/>
  <c r="AC773" i="3"/>
  <c r="AD773" i="3"/>
  <c r="AE773" i="3"/>
  <c r="AF773" i="3"/>
  <c r="AG773" i="3"/>
  <c r="AH773" i="3"/>
  <c r="AI773" i="3"/>
  <c r="AJ773" i="3"/>
  <c r="AK773" i="3"/>
  <c r="AM773" i="3" s="1"/>
  <c r="AN773" i="3"/>
  <c r="AB774" i="3"/>
  <c r="AC774" i="3"/>
  <c r="AD774" i="3"/>
  <c r="AE774" i="3"/>
  <c r="AF774" i="3"/>
  <c r="AG774" i="3"/>
  <c r="AH774" i="3"/>
  <c r="AI774" i="3"/>
  <c r="AJ774" i="3"/>
  <c r="AK774" i="3"/>
  <c r="AM774" i="3" s="1"/>
  <c r="AN774" i="3"/>
  <c r="AB775" i="3"/>
  <c r="AC775" i="3"/>
  <c r="AD775" i="3"/>
  <c r="AE775" i="3"/>
  <c r="AF775" i="3"/>
  <c r="AG775" i="3"/>
  <c r="AH775" i="3"/>
  <c r="AI775" i="3"/>
  <c r="AJ775" i="3"/>
  <c r="AK775" i="3"/>
  <c r="AM775" i="3" s="1"/>
  <c r="AN775" i="3"/>
  <c r="AB776" i="3"/>
  <c r="AC776" i="3"/>
  <c r="AD776" i="3"/>
  <c r="AE776" i="3"/>
  <c r="AF776" i="3"/>
  <c r="AG776" i="3"/>
  <c r="AH776" i="3"/>
  <c r="AI776" i="3"/>
  <c r="AJ776" i="3"/>
  <c r="AK776" i="3"/>
  <c r="AM776" i="3" s="1"/>
  <c r="AN776" i="3"/>
  <c r="AB777" i="3"/>
  <c r="AC777" i="3"/>
  <c r="AD777" i="3"/>
  <c r="AE777" i="3"/>
  <c r="AF777" i="3"/>
  <c r="AG777" i="3"/>
  <c r="AH777" i="3"/>
  <c r="AI777" i="3"/>
  <c r="AJ777" i="3"/>
  <c r="AK777" i="3"/>
  <c r="AM777" i="3" s="1"/>
  <c r="AN777" i="3"/>
  <c r="AB778" i="3"/>
  <c r="AC778" i="3"/>
  <c r="AD778" i="3"/>
  <c r="AE778" i="3"/>
  <c r="AF778" i="3"/>
  <c r="AG778" i="3"/>
  <c r="AH778" i="3"/>
  <c r="AI778" i="3"/>
  <c r="AJ778" i="3"/>
  <c r="AK778" i="3"/>
  <c r="AM778" i="3" s="1"/>
  <c r="AN778" i="3"/>
  <c r="AB779" i="3"/>
  <c r="AC779" i="3"/>
  <c r="AD779" i="3"/>
  <c r="AE779" i="3"/>
  <c r="AF779" i="3"/>
  <c r="AG779" i="3"/>
  <c r="AH779" i="3"/>
  <c r="AI779" i="3"/>
  <c r="AJ779" i="3"/>
  <c r="AK779" i="3"/>
  <c r="AM779" i="3" s="1"/>
  <c r="AN779" i="3"/>
  <c r="AB780" i="3"/>
  <c r="AC780" i="3"/>
  <c r="AD780" i="3"/>
  <c r="AE780" i="3"/>
  <c r="AF780" i="3"/>
  <c r="AG780" i="3"/>
  <c r="AH780" i="3"/>
  <c r="AI780" i="3"/>
  <c r="AJ780" i="3"/>
  <c r="AK780" i="3"/>
  <c r="AM780" i="3" s="1"/>
  <c r="AN780" i="3"/>
  <c r="AB781" i="3"/>
  <c r="AC781" i="3"/>
  <c r="AD781" i="3"/>
  <c r="AE781" i="3"/>
  <c r="AF781" i="3"/>
  <c r="AG781" i="3"/>
  <c r="AH781" i="3"/>
  <c r="AI781" i="3"/>
  <c r="AJ781" i="3"/>
  <c r="AK781" i="3"/>
  <c r="AM781" i="3" s="1"/>
  <c r="AN781" i="3"/>
  <c r="AB782" i="3"/>
  <c r="AC782" i="3"/>
  <c r="AD782" i="3"/>
  <c r="AE782" i="3"/>
  <c r="AF782" i="3"/>
  <c r="AG782" i="3"/>
  <c r="AH782" i="3"/>
  <c r="AI782" i="3"/>
  <c r="AJ782" i="3"/>
  <c r="AK782" i="3"/>
  <c r="AM782" i="3" s="1"/>
  <c r="AN782" i="3"/>
  <c r="AB783" i="3"/>
  <c r="AC783" i="3"/>
  <c r="AD783" i="3"/>
  <c r="AE783" i="3"/>
  <c r="AF783" i="3"/>
  <c r="AG783" i="3"/>
  <c r="AH783" i="3"/>
  <c r="AI783" i="3"/>
  <c r="AJ783" i="3"/>
  <c r="AK783" i="3"/>
  <c r="AM783" i="3" s="1"/>
  <c r="AN783" i="3"/>
  <c r="AB784" i="3"/>
  <c r="AC784" i="3"/>
  <c r="AD784" i="3"/>
  <c r="AE784" i="3"/>
  <c r="AF784" i="3"/>
  <c r="AG784" i="3"/>
  <c r="AH784" i="3"/>
  <c r="AI784" i="3"/>
  <c r="AJ784" i="3"/>
  <c r="AK784" i="3"/>
  <c r="AM784" i="3" s="1"/>
  <c r="AN784" i="3"/>
  <c r="AB785" i="3"/>
  <c r="AC785" i="3"/>
  <c r="AD785" i="3"/>
  <c r="AE785" i="3"/>
  <c r="AF785" i="3"/>
  <c r="AG785" i="3"/>
  <c r="AH785" i="3"/>
  <c r="AI785" i="3"/>
  <c r="AJ785" i="3"/>
  <c r="AK785" i="3"/>
  <c r="AM785" i="3" s="1"/>
  <c r="AN785" i="3"/>
  <c r="AB786" i="3"/>
  <c r="AC786" i="3"/>
  <c r="AD786" i="3"/>
  <c r="AE786" i="3"/>
  <c r="AF786" i="3"/>
  <c r="AG786" i="3"/>
  <c r="AH786" i="3"/>
  <c r="AI786" i="3"/>
  <c r="AJ786" i="3"/>
  <c r="AK786" i="3"/>
  <c r="AM786" i="3" s="1"/>
  <c r="AN786" i="3"/>
  <c r="AB787" i="3"/>
  <c r="AC787" i="3"/>
  <c r="AD787" i="3"/>
  <c r="AE787" i="3"/>
  <c r="AF787" i="3"/>
  <c r="AG787" i="3"/>
  <c r="AH787" i="3"/>
  <c r="AI787" i="3"/>
  <c r="AJ787" i="3"/>
  <c r="AK787" i="3"/>
  <c r="AM787" i="3" s="1"/>
  <c r="AN787" i="3"/>
  <c r="AB788" i="3"/>
  <c r="AC788" i="3"/>
  <c r="AD788" i="3"/>
  <c r="AE788" i="3"/>
  <c r="AF788" i="3"/>
  <c r="AG788" i="3"/>
  <c r="AH788" i="3"/>
  <c r="AI788" i="3"/>
  <c r="AJ788" i="3"/>
  <c r="AK788" i="3"/>
  <c r="AM788" i="3" s="1"/>
  <c r="AN788" i="3"/>
  <c r="AB789" i="3"/>
  <c r="AC789" i="3"/>
  <c r="AD789" i="3"/>
  <c r="AE789" i="3"/>
  <c r="AF789" i="3"/>
  <c r="AG789" i="3"/>
  <c r="AH789" i="3"/>
  <c r="AI789" i="3"/>
  <c r="AJ789" i="3"/>
  <c r="AK789" i="3"/>
  <c r="AM789" i="3" s="1"/>
  <c r="AN789" i="3"/>
  <c r="AB790" i="3"/>
  <c r="AC790" i="3"/>
  <c r="AD790" i="3"/>
  <c r="AE790" i="3"/>
  <c r="AF790" i="3"/>
  <c r="AG790" i="3"/>
  <c r="AH790" i="3"/>
  <c r="AI790" i="3"/>
  <c r="AJ790" i="3"/>
  <c r="AK790" i="3"/>
  <c r="AM790" i="3" s="1"/>
  <c r="AN790" i="3"/>
  <c r="AB791" i="3"/>
  <c r="AC791" i="3"/>
  <c r="AD791" i="3"/>
  <c r="AE791" i="3"/>
  <c r="AF791" i="3"/>
  <c r="AG791" i="3"/>
  <c r="AH791" i="3"/>
  <c r="AI791" i="3"/>
  <c r="AJ791" i="3"/>
  <c r="AK791" i="3"/>
  <c r="AM791" i="3" s="1"/>
  <c r="AN791" i="3"/>
  <c r="AB792" i="3"/>
  <c r="AC792" i="3"/>
  <c r="AD792" i="3"/>
  <c r="AE792" i="3"/>
  <c r="AF792" i="3"/>
  <c r="AG792" i="3"/>
  <c r="AH792" i="3"/>
  <c r="AI792" i="3"/>
  <c r="AJ792" i="3"/>
  <c r="AK792" i="3"/>
  <c r="AM792" i="3" s="1"/>
  <c r="AN792" i="3"/>
  <c r="AB793" i="3"/>
  <c r="AC793" i="3"/>
  <c r="AD793" i="3"/>
  <c r="AE793" i="3"/>
  <c r="AF793" i="3"/>
  <c r="AG793" i="3"/>
  <c r="AH793" i="3"/>
  <c r="AI793" i="3"/>
  <c r="AJ793" i="3"/>
  <c r="AK793" i="3"/>
  <c r="AM793" i="3" s="1"/>
  <c r="AN793" i="3"/>
  <c r="AB794" i="3"/>
  <c r="AC794" i="3"/>
  <c r="AD794" i="3"/>
  <c r="AE794" i="3"/>
  <c r="AF794" i="3"/>
  <c r="AG794" i="3"/>
  <c r="AH794" i="3"/>
  <c r="AI794" i="3"/>
  <c r="AJ794" i="3"/>
  <c r="AK794" i="3"/>
  <c r="AM794" i="3" s="1"/>
  <c r="AN794" i="3"/>
  <c r="AB795" i="3"/>
  <c r="AC795" i="3"/>
  <c r="AD795" i="3"/>
  <c r="AE795" i="3"/>
  <c r="AF795" i="3"/>
  <c r="AG795" i="3"/>
  <c r="AH795" i="3"/>
  <c r="AI795" i="3"/>
  <c r="AJ795" i="3"/>
  <c r="AK795" i="3"/>
  <c r="AM795" i="3" s="1"/>
  <c r="AN795" i="3"/>
  <c r="AB796" i="3"/>
  <c r="AC796" i="3"/>
  <c r="AD796" i="3"/>
  <c r="AE796" i="3"/>
  <c r="AF796" i="3"/>
  <c r="AG796" i="3"/>
  <c r="AH796" i="3"/>
  <c r="AI796" i="3"/>
  <c r="AJ796" i="3"/>
  <c r="AK796" i="3"/>
  <c r="AM796" i="3" s="1"/>
  <c r="AN796" i="3"/>
  <c r="AB797" i="3"/>
  <c r="AC797" i="3"/>
  <c r="AD797" i="3"/>
  <c r="AE797" i="3"/>
  <c r="AF797" i="3"/>
  <c r="AG797" i="3"/>
  <c r="AH797" i="3"/>
  <c r="AI797" i="3"/>
  <c r="AJ797" i="3"/>
  <c r="AK797" i="3"/>
  <c r="AM797" i="3" s="1"/>
  <c r="AN797" i="3"/>
  <c r="AB798" i="3"/>
  <c r="AC798" i="3"/>
  <c r="AD798" i="3"/>
  <c r="AE798" i="3"/>
  <c r="AF798" i="3"/>
  <c r="AG798" i="3"/>
  <c r="AH798" i="3"/>
  <c r="AI798" i="3"/>
  <c r="AJ798" i="3"/>
  <c r="AK798" i="3"/>
  <c r="AM798" i="3" s="1"/>
  <c r="AN798" i="3"/>
  <c r="AB799" i="3"/>
  <c r="AC799" i="3"/>
  <c r="AD799" i="3"/>
  <c r="AE799" i="3"/>
  <c r="AF799" i="3"/>
  <c r="AG799" i="3"/>
  <c r="AH799" i="3"/>
  <c r="AI799" i="3"/>
  <c r="AJ799" i="3"/>
  <c r="AK799" i="3"/>
  <c r="AM799" i="3" s="1"/>
  <c r="AN799" i="3"/>
  <c r="AB800" i="3"/>
  <c r="AC800" i="3"/>
  <c r="AD800" i="3"/>
  <c r="AE800" i="3"/>
  <c r="AF800" i="3"/>
  <c r="AG800" i="3"/>
  <c r="AH800" i="3"/>
  <c r="AI800" i="3"/>
  <c r="AJ800" i="3"/>
  <c r="AK800" i="3"/>
  <c r="AM800" i="3" s="1"/>
  <c r="AN800" i="3"/>
  <c r="AB801" i="3"/>
  <c r="AC801" i="3"/>
  <c r="AD801" i="3"/>
  <c r="AE801" i="3"/>
  <c r="AF801" i="3"/>
  <c r="AG801" i="3"/>
  <c r="AH801" i="3"/>
  <c r="AI801" i="3"/>
  <c r="AJ801" i="3"/>
  <c r="AK801" i="3"/>
  <c r="AM801" i="3" s="1"/>
  <c r="AN801" i="3"/>
  <c r="AB802" i="3"/>
  <c r="AC802" i="3"/>
  <c r="AD802" i="3"/>
  <c r="AE802" i="3"/>
  <c r="AF802" i="3"/>
  <c r="AG802" i="3"/>
  <c r="AH802" i="3"/>
  <c r="AI802" i="3"/>
  <c r="AJ802" i="3"/>
  <c r="AK802" i="3"/>
  <c r="AM802" i="3" s="1"/>
  <c r="AN802" i="3"/>
  <c r="AB803" i="3"/>
  <c r="AC803" i="3"/>
  <c r="AD803" i="3"/>
  <c r="AE803" i="3"/>
  <c r="AF803" i="3"/>
  <c r="AG803" i="3"/>
  <c r="AH803" i="3"/>
  <c r="AI803" i="3"/>
  <c r="AJ803" i="3"/>
  <c r="AK803" i="3"/>
  <c r="AM803" i="3" s="1"/>
  <c r="AN803" i="3"/>
  <c r="AB804" i="3"/>
  <c r="AC804" i="3"/>
  <c r="AD804" i="3"/>
  <c r="AE804" i="3"/>
  <c r="AF804" i="3"/>
  <c r="AG804" i="3"/>
  <c r="AH804" i="3"/>
  <c r="AI804" i="3"/>
  <c r="AJ804" i="3"/>
  <c r="AK804" i="3"/>
  <c r="AM804" i="3" s="1"/>
  <c r="AN804" i="3"/>
  <c r="AB805" i="3"/>
  <c r="AC805" i="3"/>
  <c r="AD805" i="3"/>
  <c r="AE805" i="3"/>
  <c r="AF805" i="3"/>
  <c r="AG805" i="3"/>
  <c r="AH805" i="3"/>
  <c r="AI805" i="3"/>
  <c r="AJ805" i="3"/>
  <c r="AK805" i="3"/>
  <c r="AM805" i="3" s="1"/>
  <c r="AN805" i="3"/>
  <c r="AB806" i="3"/>
  <c r="AC806" i="3"/>
  <c r="AD806" i="3"/>
  <c r="AE806" i="3"/>
  <c r="AF806" i="3"/>
  <c r="AG806" i="3"/>
  <c r="AH806" i="3"/>
  <c r="AI806" i="3"/>
  <c r="AJ806" i="3"/>
  <c r="AK806" i="3"/>
  <c r="AM806" i="3" s="1"/>
  <c r="AN806" i="3"/>
  <c r="AB807" i="3"/>
  <c r="AC807" i="3"/>
  <c r="AD807" i="3"/>
  <c r="AE807" i="3"/>
  <c r="AF807" i="3"/>
  <c r="AG807" i="3"/>
  <c r="AH807" i="3"/>
  <c r="AI807" i="3"/>
  <c r="AJ807" i="3"/>
  <c r="AK807" i="3"/>
  <c r="AM807" i="3" s="1"/>
  <c r="AN807" i="3"/>
  <c r="AB808" i="3"/>
  <c r="AC808" i="3"/>
  <c r="AD808" i="3"/>
  <c r="AE808" i="3"/>
  <c r="AF808" i="3"/>
  <c r="AG808" i="3"/>
  <c r="AH808" i="3"/>
  <c r="AI808" i="3"/>
  <c r="AJ808" i="3"/>
  <c r="AK808" i="3"/>
  <c r="AM808" i="3" s="1"/>
  <c r="AN808" i="3"/>
  <c r="AB809" i="3"/>
  <c r="AC809" i="3"/>
  <c r="AD809" i="3"/>
  <c r="AE809" i="3"/>
  <c r="AF809" i="3"/>
  <c r="AG809" i="3"/>
  <c r="AH809" i="3"/>
  <c r="AI809" i="3"/>
  <c r="AJ809" i="3"/>
  <c r="AK809" i="3"/>
  <c r="AM809" i="3" s="1"/>
  <c r="AN809" i="3"/>
  <c r="AB810" i="3"/>
  <c r="AC810" i="3"/>
  <c r="AD810" i="3"/>
  <c r="AE810" i="3"/>
  <c r="AF810" i="3"/>
  <c r="AG810" i="3"/>
  <c r="AH810" i="3"/>
  <c r="AI810" i="3"/>
  <c r="AJ810" i="3"/>
  <c r="AK810" i="3"/>
  <c r="AM810" i="3" s="1"/>
  <c r="AN810" i="3"/>
  <c r="AB811" i="3"/>
  <c r="AC811" i="3"/>
  <c r="AD811" i="3"/>
  <c r="AE811" i="3"/>
  <c r="AF811" i="3"/>
  <c r="AG811" i="3"/>
  <c r="AH811" i="3"/>
  <c r="AI811" i="3"/>
  <c r="AJ811" i="3"/>
  <c r="AK811" i="3"/>
  <c r="AM811" i="3" s="1"/>
  <c r="AN811" i="3"/>
  <c r="AB812" i="3"/>
  <c r="AC812" i="3"/>
  <c r="AD812" i="3"/>
  <c r="AE812" i="3"/>
  <c r="AF812" i="3"/>
  <c r="AG812" i="3"/>
  <c r="AH812" i="3"/>
  <c r="AI812" i="3"/>
  <c r="AJ812" i="3"/>
  <c r="AK812" i="3"/>
  <c r="AM812" i="3" s="1"/>
  <c r="AN812" i="3"/>
  <c r="AB813" i="3"/>
  <c r="AC813" i="3"/>
  <c r="AD813" i="3"/>
  <c r="AE813" i="3"/>
  <c r="AF813" i="3"/>
  <c r="AG813" i="3"/>
  <c r="AH813" i="3"/>
  <c r="AI813" i="3"/>
  <c r="AJ813" i="3"/>
  <c r="AK813" i="3"/>
  <c r="AM813" i="3" s="1"/>
  <c r="AN813" i="3"/>
  <c r="AB814" i="3"/>
  <c r="AC814" i="3"/>
  <c r="AD814" i="3"/>
  <c r="AE814" i="3"/>
  <c r="AF814" i="3"/>
  <c r="AG814" i="3"/>
  <c r="AH814" i="3"/>
  <c r="AI814" i="3"/>
  <c r="AJ814" i="3"/>
  <c r="AK814" i="3"/>
  <c r="AM814" i="3" s="1"/>
  <c r="AN814" i="3"/>
  <c r="AB815" i="3"/>
  <c r="AC815" i="3"/>
  <c r="AD815" i="3"/>
  <c r="AE815" i="3"/>
  <c r="AF815" i="3"/>
  <c r="AG815" i="3"/>
  <c r="AH815" i="3"/>
  <c r="AI815" i="3"/>
  <c r="AJ815" i="3"/>
  <c r="AK815" i="3"/>
  <c r="AM815" i="3" s="1"/>
  <c r="AN815" i="3"/>
  <c r="AB816" i="3"/>
  <c r="AC816" i="3"/>
  <c r="AD816" i="3"/>
  <c r="AE816" i="3"/>
  <c r="AF816" i="3"/>
  <c r="AG816" i="3"/>
  <c r="AH816" i="3"/>
  <c r="AI816" i="3"/>
  <c r="AJ816" i="3"/>
  <c r="AK816" i="3"/>
  <c r="AM816" i="3" s="1"/>
  <c r="AN816" i="3"/>
  <c r="AB817" i="3"/>
  <c r="AC817" i="3"/>
  <c r="AD817" i="3"/>
  <c r="AE817" i="3"/>
  <c r="AF817" i="3"/>
  <c r="AG817" i="3"/>
  <c r="AH817" i="3"/>
  <c r="AI817" i="3"/>
  <c r="AJ817" i="3"/>
  <c r="AK817" i="3"/>
  <c r="AM817" i="3" s="1"/>
  <c r="AN817" i="3"/>
  <c r="AB818" i="3"/>
  <c r="AC818" i="3"/>
  <c r="AD818" i="3"/>
  <c r="AE818" i="3"/>
  <c r="AF818" i="3"/>
  <c r="AG818" i="3"/>
  <c r="AH818" i="3"/>
  <c r="AI818" i="3"/>
  <c r="AJ818" i="3"/>
  <c r="AK818" i="3"/>
  <c r="AM818" i="3" s="1"/>
  <c r="AN818" i="3"/>
  <c r="AB819" i="3"/>
  <c r="AC819" i="3"/>
  <c r="AD819" i="3"/>
  <c r="AE819" i="3"/>
  <c r="AF819" i="3"/>
  <c r="AG819" i="3"/>
  <c r="AH819" i="3"/>
  <c r="AI819" i="3"/>
  <c r="AJ819" i="3"/>
  <c r="AK819" i="3"/>
  <c r="AM819" i="3" s="1"/>
  <c r="AN819" i="3"/>
  <c r="AB820" i="3"/>
  <c r="AC820" i="3"/>
  <c r="AD820" i="3"/>
  <c r="AE820" i="3"/>
  <c r="AF820" i="3"/>
  <c r="AG820" i="3"/>
  <c r="AH820" i="3"/>
  <c r="AI820" i="3"/>
  <c r="AJ820" i="3"/>
  <c r="AK820" i="3"/>
  <c r="AM820" i="3" s="1"/>
  <c r="AN820" i="3"/>
  <c r="AB821" i="3"/>
  <c r="AC821" i="3"/>
  <c r="AD821" i="3"/>
  <c r="AE821" i="3"/>
  <c r="AF821" i="3"/>
  <c r="AG821" i="3"/>
  <c r="AH821" i="3"/>
  <c r="AI821" i="3"/>
  <c r="AJ821" i="3"/>
  <c r="AK821" i="3"/>
  <c r="AM821" i="3" s="1"/>
  <c r="AN821" i="3"/>
  <c r="AB822" i="3"/>
  <c r="AC822" i="3"/>
  <c r="AD822" i="3"/>
  <c r="AE822" i="3"/>
  <c r="AF822" i="3"/>
  <c r="AG822" i="3"/>
  <c r="AH822" i="3"/>
  <c r="AI822" i="3"/>
  <c r="AJ822" i="3"/>
  <c r="AK822" i="3"/>
  <c r="AM822" i="3" s="1"/>
  <c r="AN822" i="3"/>
  <c r="AB823" i="3"/>
  <c r="AC823" i="3"/>
  <c r="AD823" i="3"/>
  <c r="AE823" i="3"/>
  <c r="AF823" i="3"/>
  <c r="AG823" i="3"/>
  <c r="AH823" i="3"/>
  <c r="AI823" i="3"/>
  <c r="AJ823" i="3"/>
  <c r="AK823" i="3"/>
  <c r="AM823" i="3" s="1"/>
  <c r="AN823" i="3"/>
  <c r="AB824" i="3"/>
  <c r="AC824" i="3"/>
  <c r="AD824" i="3"/>
  <c r="AE824" i="3"/>
  <c r="AF824" i="3"/>
  <c r="AG824" i="3"/>
  <c r="AH824" i="3"/>
  <c r="AI824" i="3"/>
  <c r="AJ824" i="3"/>
  <c r="AK824" i="3"/>
  <c r="AM824" i="3" s="1"/>
  <c r="AN824" i="3"/>
  <c r="AB825" i="3"/>
  <c r="AC825" i="3"/>
  <c r="AD825" i="3"/>
  <c r="AE825" i="3"/>
  <c r="AF825" i="3"/>
  <c r="AG825" i="3"/>
  <c r="AH825" i="3"/>
  <c r="AI825" i="3"/>
  <c r="AJ825" i="3"/>
  <c r="AK825" i="3"/>
  <c r="AM825" i="3" s="1"/>
  <c r="AN825" i="3"/>
  <c r="AB826" i="3"/>
  <c r="AC826" i="3"/>
  <c r="AD826" i="3"/>
  <c r="AE826" i="3"/>
  <c r="AF826" i="3"/>
  <c r="AG826" i="3"/>
  <c r="AH826" i="3"/>
  <c r="AI826" i="3"/>
  <c r="AJ826" i="3"/>
  <c r="AK826" i="3"/>
  <c r="AM826" i="3" s="1"/>
  <c r="AN826" i="3"/>
  <c r="AB827" i="3"/>
  <c r="AC827" i="3"/>
  <c r="AD827" i="3"/>
  <c r="AE827" i="3"/>
  <c r="AF827" i="3"/>
  <c r="AG827" i="3"/>
  <c r="AH827" i="3"/>
  <c r="AI827" i="3"/>
  <c r="AJ827" i="3"/>
  <c r="AK827" i="3"/>
  <c r="AM827" i="3" s="1"/>
  <c r="AN827" i="3"/>
  <c r="AB828" i="3"/>
  <c r="AC828" i="3"/>
  <c r="AD828" i="3"/>
  <c r="AE828" i="3"/>
  <c r="AF828" i="3"/>
  <c r="AG828" i="3"/>
  <c r="AH828" i="3"/>
  <c r="AI828" i="3"/>
  <c r="AJ828" i="3"/>
  <c r="AK828" i="3"/>
  <c r="AM828" i="3" s="1"/>
  <c r="AN828" i="3"/>
  <c r="AB829" i="3"/>
  <c r="AC829" i="3"/>
  <c r="AD829" i="3"/>
  <c r="AE829" i="3"/>
  <c r="AF829" i="3"/>
  <c r="AG829" i="3"/>
  <c r="AH829" i="3"/>
  <c r="AI829" i="3"/>
  <c r="AJ829" i="3"/>
  <c r="AK829" i="3"/>
  <c r="AM829" i="3" s="1"/>
  <c r="AN829" i="3"/>
  <c r="AB830" i="3"/>
  <c r="AC830" i="3"/>
  <c r="AD830" i="3"/>
  <c r="AE830" i="3"/>
  <c r="AF830" i="3"/>
  <c r="AG830" i="3"/>
  <c r="AH830" i="3"/>
  <c r="AI830" i="3"/>
  <c r="AJ830" i="3"/>
  <c r="AK830" i="3"/>
  <c r="AM830" i="3" s="1"/>
  <c r="AN830" i="3"/>
  <c r="AB831" i="3"/>
  <c r="AC831" i="3"/>
  <c r="AD831" i="3"/>
  <c r="AE831" i="3"/>
  <c r="AF831" i="3"/>
  <c r="AG831" i="3"/>
  <c r="AH831" i="3"/>
  <c r="AI831" i="3"/>
  <c r="AJ831" i="3"/>
  <c r="AK831" i="3"/>
  <c r="AM831" i="3" s="1"/>
  <c r="AN831" i="3"/>
  <c r="AB832" i="3"/>
  <c r="AC832" i="3"/>
  <c r="AD832" i="3"/>
  <c r="AE832" i="3"/>
  <c r="AF832" i="3"/>
  <c r="AG832" i="3"/>
  <c r="AH832" i="3"/>
  <c r="AI832" i="3"/>
  <c r="AJ832" i="3"/>
  <c r="AK832" i="3"/>
  <c r="AM832" i="3" s="1"/>
  <c r="AN832" i="3"/>
  <c r="AB833" i="3"/>
  <c r="AC833" i="3"/>
  <c r="AD833" i="3"/>
  <c r="AE833" i="3"/>
  <c r="AF833" i="3"/>
  <c r="AG833" i="3"/>
  <c r="AH833" i="3"/>
  <c r="AI833" i="3"/>
  <c r="AJ833" i="3"/>
  <c r="AK833" i="3"/>
  <c r="AM833" i="3" s="1"/>
  <c r="AN833" i="3"/>
  <c r="AB834" i="3"/>
  <c r="AC834" i="3"/>
  <c r="AD834" i="3"/>
  <c r="AE834" i="3"/>
  <c r="AF834" i="3"/>
  <c r="AG834" i="3"/>
  <c r="AH834" i="3"/>
  <c r="AI834" i="3"/>
  <c r="AJ834" i="3"/>
  <c r="AK834" i="3"/>
  <c r="AM834" i="3" s="1"/>
  <c r="AN834" i="3"/>
  <c r="AB835" i="3"/>
  <c r="AC835" i="3"/>
  <c r="AD835" i="3"/>
  <c r="AE835" i="3"/>
  <c r="AF835" i="3"/>
  <c r="AG835" i="3"/>
  <c r="AH835" i="3"/>
  <c r="AI835" i="3"/>
  <c r="AJ835" i="3"/>
  <c r="AK835" i="3"/>
  <c r="AM835" i="3" s="1"/>
  <c r="AN835" i="3"/>
  <c r="AB836" i="3"/>
  <c r="AC836" i="3"/>
  <c r="AD836" i="3"/>
  <c r="AE836" i="3"/>
  <c r="AF836" i="3"/>
  <c r="AG836" i="3"/>
  <c r="AH836" i="3"/>
  <c r="AI836" i="3"/>
  <c r="AJ836" i="3"/>
  <c r="AK836" i="3"/>
  <c r="AM836" i="3" s="1"/>
  <c r="AN836" i="3"/>
  <c r="AB837" i="3"/>
  <c r="AC837" i="3"/>
  <c r="AD837" i="3"/>
  <c r="AE837" i="3"/>
  <c r="AF837" i="3"/>
  <c r="AG837" i="3"/>
  <c r="AH837" i="3"/>
  <c r="AI837" i="3"/>
  <c r="AJ837" i="3"/>
  <c r="AK837" i="3"/>
  <c r="AM837" i="3" s="1"/>
  <c r="AN837" i="3"/>
  <c r="AB838" i="3"/>
  <c r="AC838" i="3"/>
  <c r="AD838" i="3"/>
  <c r="AE838" i="3"/>
  <c r="AF838" i="3"/>
  <c r="AG838" i="3"/>
  <c r="AH838" i="3"/>
  <c r="AI838" i="3"/>
  <c r="AJ838" i="3"/>
  <c r="AK838" i="3"/>
  <c r="AM838" i="3" s="1"/>
  <c r="AN838" i="3"/>
  <c r="AB839" i="3"/>
  <c r="AC839" i="3"/>
  <c r="AD839" i="3"/>
  <c r="AE839" i="3"/>
  <c r="AF839" i="3"/>
  <c r="AG839" i="3"/>
  <c r="AH839" i="3"/>
  <c r="AI839" i="3"/>
  <c r="AJ839" i="3"/>
  <c r="AK839" i="3"/>
  <c r="AM839" i="3" s="1"/>
  <c r="AN839" i="3"/>
  <c r="AB840" i="3"/>
  <c r="AC840" i="3"/>
  <c r="AD840" i="3"/>
  <c r="AE840" i="3"/>
  <c r="AF840" i="3"/>
  <c r="AG840" i="3"/>
  <c r="AH840" i="3"/>
  <c r="AI840" i="3"/>
  <c r="AJ840" i="3"/>
  <c r="AK840" i="3"/>
  <c r="AM840" i="3" s="1"/>
  <c r="AN840" i="3"/>
  <c r="AB841" i="3"/>
  <c r="AC841" i="3"/>
  <c r="AD841" i="3"/>
  <c r="AE841" i="3"/>
  <c r="AF841" i="3"/>
  <c r="AG841" i="3"/>
  <c r="AH841" i="3"/>
  <c r="AI841" i="3"/>
  <c r="AJ841" i="3"/>
  <c r="AK841" i="3"/>
  <c r="AM841" i="3" s="1"/>
  <c r="AN841" i="3"/>
  <c r="AB842" i="3"/>
  <c r="AC842" i="3"/>
  <c r="AD842" i="3"/>
  <c r="AE842" i="3"/>
  <c r="AF842" i="3"/>
  <c r="AG842" i="3"/>
  <c r="AH842" i="3"/>
  <c r="AI842" i="3"/>
  <c r="AJ842" i="3"/>
  <c r="AK842" i="3"/>
  <c r="AM842" i="3" s="1"/>
  <c r="AN842" i="3"/>
  <c r="AB843" i="3"/>
  <c r="AC843" i="3"/>
  <c r="AD843" i="3"/>
  <c r="AE843" i="3"/>
  <c r="AF843" i="3"/>
  <c r="AG843" i="3"/>
  <c r="AH843" i="3"/>
  <c r="AI843" i="3"/>
  <c r="AJ843" i="3"/>
  <c r="AK843" i="3"/>
  <c r="AM843" i="3" s="1"/>
  <c r="AN843" i="3"/>
  <c r="AB844" i="3"/>
  <c r="AC844" i="3"/>
  <c r="AD844" i="3"/>
  <c r="AE844" i="3"/>
  <c r="AF844" i="3"/>
  <c r="AG844" i="3"/>
  <c r="AH844" i="3"/>
  <c r="AI844" i="3"/>
  <c r="AJ844" i="3"/>
  <c r="AK844" i="3"/>
  <c r="AM844" i="3" s="1"/>
  <c r="AN844" i="3"/>
  <c r="AB845" i="3"/>
  <c r="AC845" i="3"/>
  <c r="AD845" i="3"/>
  <c r="AE845" i="3"/>
  <c r="AF845" i="3"/>
  <c r="AG845" i="3"/>
  <c r="AH845" i="3"/>
  <c r="AI845" i="3"/>
  <c r="AJ845" i="3"/>
  <c r="AK845" i="3"/>
  <c r="AM845" i="3" s="1"/>
  <c r="AN845" i="3"/>
  <c r="AB846" i="3"/>
  <c r="AC846" i="3"/>
  <c r="AD846" i="3"/>
  <c r="AE846" i="3"/>
  <c r="AF846" i="3"/>
  <c r="AG846" i="3"/>
  <c r="AH846" i="3"/>
  <c r="AI846" i="3"/>
  <c r="AJ846" i="3"/>
  <c r="AK846" i="3"/>
  <c r="AM846" i="3" s="1"/>
  <c r="AN846" i="3"/>
  <c r="AB847" i="3"/>
  <c r="AC847" i="3"/>
  <c r="AD847" i="3"/>
  <c r="AE847" i="3"/>
  <c r="AF847" i="3"/>
  <c r="AG847" i="3"/>
  <c r="AH847" i="3"/>
  <c r="AI847" i="3"/>
  <c r="AJ847" i="3"/>
  <c r="AK847" i="3"/>
  <c r="AM847" i="3" s="1"/>
  <c r="AN847" i="3"/>
  <c r="AB848" i="3"/>
  <c r="AC848" i="3"/>
  <c r="AD848" i="3"/>
  <c r="AE848" i="3"/>
  <c r="AF848" i="3"/>
  <c r="AG848" i="3"/>
  <c r="AH848" i="3"/>
  <c r="AI848" i="3"/>
  <c r="AJ848" i="3"/>
  <c r="AK848" i="3"/>
  <c r="AM848" i="3" s="1"/>
  <c r="AN848" i="3"/>
  <c r="AB849" i="3"/>
  <c r="AC849" i="3"/>
  <c r="AD849" i="3"/>
  <c r="AE849" i="3"/>
  <c r="AF849" i="3"/>
  <c r="AG849" i="3"/>
  <c r="AH849" i="3"/>
  <c r="AI849" i="3"/>
  <c r="AJ849" i="3"/>
  <c r="AK849" i="3"/>
  <c r="AM849" i="3" s="1"/>
  <c r="AN849" i="3"/>
  <c r="AB850" i="3"/>
  <c r="AC850" i="3"/>
  <c r="AD850" i="3"/>
  <c r="AE850" i="3"/>
  <c r="AF850" i="3"/>
  <c r="AG850" i="3"/>
  <c r="AH850" i="3"/>
  <c r="AI850" i="3"/>
  <c r="AJ850" i="3"/>
  <c r="AK850" i="3"/>
  <c r="AM850" i="3" s="1"/>
  <c r="AN850" i="3"/>
  <c r="AB851" i="3"/>
  <c r="AC851" i="3"/>
  <c r="AD851" i="3"/>
  <c r="AE851" i="3"/>
  <c r="AF851" i="3"/>
  <c r="AG851" i="3"/>
  <c r="AH851" i="3"/>
  <c r="AI851" i="3"/>
  <c r="AJ851" i="3"/>
  <c r="AK851" i="3"/>
  <c r="AM851" i="3" s="1"/>
  <c r="AN851" i="3"/>
  <c r="AB852" i="3"/>
  <c r="AC852" i="3"/>
  <c r="AD852" i="3"/>
  <c r="AE852" i="3"/>
  <c r="AF852" i="3"/>
  <c r="AG852" i="3"/>
  <c r="AH852" i="3"/>
  <c r="AI852" i="3"/>
  <c r="AJ852" i="3"/>
  <c r="AK852" i="3"/>
  <c r="AM852" i="3" s="1"/>
  <c r="AN852" i="3"/>
  <c r="AB853" i="3"/>
  <c r="AC853" i="3"/>
  <c r="AD853" i="3"/>
  <c r="AE853" i="3"/>
  <c r="AF853" i="3"/>
  <c r="AG853" i="3"/>
  <c r="AH853" i="3"/>
  <c r="AI853" i="3"/>
  <c r="AJ853" i="3"/>
  <c r="AK853" i="3"/>
  <c r="AM853" i="3" s="1"/>
  <c r="AN853" i="3"/>
  <c r="AB854" i="3"/>
  <c r="AC854" i="3"/>
  <c r="AD854" i="3"/>
  <c r="AE854" i="3"/>
  <c r="AF854" i="3"/>
  <c r="AG854" i="3"/>
  <c r="AH854" i="3"/>
  <c r="AI854" i="3"/>
  <c r="AJ854" i="3"/>
  <c r="AK854" i="3"/>
  <c r="AM854" i="3" s="1"/>
  <c r="AN854" i="3"/>
  <c r="AB855" i="3"/>
  <c r="AC855" i="3"/>
  <c r="AD855" i="3"/>
  <c r="AE855" i="3"/>
  <c r="AF855" i="3"/>
  <c r="AG855" i="3"/>
  <c r="AH855" i="3"/>
  <c r="AI855" i="3"/>
  <c r="AJ855" i="3"/>
  <c r="AK855" i="3"/>
  <c r="AM855" i="3" s="1"/>
  <c r="AN855" i="3"/>
  <c r="AB856" i="3"/>
  <c r="AC856" i="3"/>
  <c r="AD856" i="3"/>
  <c r="AE856" i="3"/>
  <c r="AF856" i="3"/>
  <c r="AG856" i="3"/>
  <c r="AH856" i="3"/>
  <c r="AI856" i="3"/>
  <c r="AJ856" i="3"/>
  <c r="AK856" i="3"/>
  <c r="AM856" i="3" s="1"/>
  <c r="AN856" i="3"/>
  <c r="AB857" i="3"/>
  <c r="AC857" i="3"/>
  <c r="AD857" i="3"/>
  <c r="AE857" i="3"/>
  <c r="AF857" i="3"/>
  <c r="AG857" i="3"/>
  <c r="AH857" i="3"/>
  <c r="AI857" i="3"/>
  <c r="AJ857" i="3"/>
  <c r="AK857" i="3"/>
  <c r="AM857" i="3" s="1"/>
  <c r="AN857" i="3"/>
  <c r="AB858" i="3"/>
  <c r="AC858" i="3"/>
  <c r="AD858" i="3"/>
  <c r="AE858" i="3"/>
  <c r="AF858" i="3"/>
  <c r="AG858" i="3"/>
  <c r="AH858" i="3"/>
  <c r="AI858" i="3"/>
  <c r="AJ858" i="3"/>
  <c r="AK858" i="3"/>
  <c r="AM858" i="3" s="1"/>
  <c r="AN858" i="3"/>
  <c r="AB859" i="3"/>
  <c r="AC859" i="3"/>
  <c r="AD859" i="3"/>
  <c r="AE859" i="3"/>
  <c r="AF859" i="3"/>
  <c r="AG859" i="3"/>
  <c r="AH859" i="3"/>
  <c r="AI859" i="3"/>
  <c r="AJ859" i="3"/>
  <c r="AK859" i="3"/>
  <c r="AM859" i="3" s="1"/>
  <c r="AN859" i="3"/>
  <c r="AB860" i="3"/>
  <c r="AC860" i="3"/>
  <c r="AD860" i="3"/>
  <c r="AE860" i="3"/>
  <c r="AF860" i="3"/>
  <c r="AG860" i="3"/>
  <c r="AH860" i="3"/>
  <c r="AI860" i="3"/>
  <c r="AJ860" i="3"/>
  <c r="AK860" i="3"/>
  <c r="AM860" i="3" s="1"/>
  <c r="AN860" i="3"/>
  <c r="AB861" i="3"/>
  <c r="AC861" i="3"/>
  <c r="AD861" i="3"/>
  <c r="AE861" i="3"/>
  <c r="AF861" i="3"/>
  <c r="AG861" i="3"/>
  <c r="AH861" i="3"/>
  <c r="AI861" i="3"/>
  <c r="AJ861" i="3"/>
  <c r="AK861" i="3"/>
  <c r="AM861" i="3" s="1"/>
  <c r="AN861" i="3"/>
  <c r="AB862" i="3"/>
  <c r="AC862" i="3"/>
  <c r="AD862" i="3"/>
  <c r="AE862" i="3"/>
  <c r="AF862" i="3"/>
  <c r="AG862" i="3"/>
  <c r="AH862" i="3"/>
  <c r="AI862" i="3"/>
  <c r="AJ862" i="3"/>
  <c r="AK862" i="3"/>
  <c r="AM862" i="3" s="1"/>
  <c r="AN862" i="3"/>
  <c r="AB863" i="3"/>
  <c r="AC863" i="3"/>
  <c r="AD863" i="3"/>
  <c r="AE863" i="3"/>
  <c r="AF863" i="3"/>
  <c r="AG863" i="3"/>
  <c r="AH863" i="3"/>
  <c r="AI863" i="3"/>
  <c r="AJ863" i="3"/>
  <c r="AK863" i="3"/>
  <c r="AM863" i="3" s="1"/>
  <c r="AN863" i="3"/>
  <c r="AB864" i="3"/>
  <c r="AC864" i="3"/>
  <c r="AD864" i="3"/>
  <c r="AE864" i="3"/>
  <c r="AF864" i="3"/>
  <c r="AG864" i="3"/>
  <c r="AH864" i="3"/>
  <c r="AI864" i="3"/>
  <c r="AJ864" i="3"/>
  <c r="AK864" i="3"/>
  <c r="AM864" i="3" s="1"/>
  <c r="AN864" i="3"/>
  <c r="AB865" i="3"/>
  <c r="AC865" i="3"/>
  <c r="AD865" i="3"/>
  <c r="AE865" i="3"/>
  <c r="AF865" i="3"/>
  <c r="AG865" i="3"/>
  <c r="AH865" i="3"/>
  <c r="AI865" i="3"/>
  <c r="AJ865" i="3"/>
  <c r="AK865" i="3"/>
  <c r="AM865" i="3" s="1"/>
  <c r="AN865" i="3"/>
  <c r="AB866" i="3"/>
  <c r="AC866" i="3"/>
  <c r="AD866" i="3"/>
  <c r="AE866" i="3"/>
  <c r="AF866" i="3"/>
  <c r="AG866" i="3"/>
  <c r="AH866" i="3"/>
  <c r="AI866" i="3"/>
  <c r="AJ866" i="3"/>
  <c r="AK866" i="3"/>
  <c r="AM866" i="3" s="1"/>
  <c r="AN866" i="3"/>
  <c r="AB867" i="3"/>
  <c r="AC867" i="3"/>
  <c r="AD867" i="3"/>
  <c r="AE867" i="3"/>
  <c r="AF867" i="3"/>
  <c r="AG867" i="3"/>
  <c r="AH867" i="3"/>
  <c r="AI867" i="3"/>
  <c r="AJ867" i="3"/>
  <c r="AK867" i="3"/>
  <c r="AM867" i="3" s="1"/>
  <c r="AN867" i="3"/>
  <c r="AB868" i="3"/>
  <c r="AC868" i="3"/>
  <c r="AD868" i="3"/>
  <c r="AE868" i="3"/>
  <c r="AF868" i="3"/>
  <c r="AG868" i="3"/>
  <c r="AH868" i="3"/>
  <c r="AI868" i="3"/>
  <c r="AJ868" i="3"/>
  <c r="AK868" i="3"/>
  <c r="AM868" i="3" s="1"/>
  <c r="AN868" i="3"/>
  <c r="AB869" i="3"/>
  <c r="AC869" i="3"/>
  <c r="AD869" i="3"/>
  <c r="AE869" i="3"/>
  <c r="AF869" i="3"/>
  <c r="AG869" i="3"/>
  <c r="AH869" i="3"/>
  <c r="AI869" i="3"/>
  <c r="AJ869" i="3"/>
  <c r="AK869" i="3"/>
  <c r="AM869" i="3" s="1"/>
  <c r="AN869" i="3"/>
  <c r="AB870" i="3"/>
  <c r="AC870" i="3"/>
  <c r="AD870" i="3"/>
  <c r="AE870" i="3"/>
  <c r="AF870" i="3"/>
  <c r="AG870" i="3"/>
  <c r="AH870" i="3"/>
  <c r="AI870" i="3"/>
  <c r="AJ870" i="3"/>
  <c r="AK870" i="3"/>
  <c r="AM870" i="3" s="1"/>
  <c r="AN870" i="3"/>
  <c r="AB871" i="3"/>
  <c r="AC871" i="3"/>
  <c r="AD871" i="3"/>
  <c r="AE871" i="3"/>
  <c r="AF871" i="3"/>
  <c r="AG871" i="3"/>
  <c r="AH871" i="3"/>
  <c r="AI871" i="3"/>
  <c r="AJ871" i="3"/>
  <c r="AK871" i="3"/>
  <c r="AM871" i="3" s="1"/>
  <c r="AN871" i="3"/>
  <c r="AB872" i="3"/>
  <c r="AC872" i="3"/>
  <c r="AD872" i="3"/>
  <c r="AE872" i="3"/>
  <c r="AF872" i="3"/>
  <c r="AG872" i="3"/>
  <c r="AH872" i="3"/>
  <c r="AI872" i="3"/>
  <c r="AJ872" i="3"/>
  <c r="AK872" i="3"/>
  <c r="AM872" i="3" s="1"/>
  <c r="AN872" i="3"/>
  <c r="AB873" i="3"/>
  <c r="AC873" i="3"/>
  <c r="AD873" i="3"/>
  <c r="AE873" i="3"/>
  <c r="AF873" i="3"/>
  <c r="AG873" i="3"/>
  <c r="AH873" i="3"/>
  <c r="AI873" i="3"/>
  <c r="AJ873" i="3"/>
  <c r="AK873" i="3"/>
  <c r="AM873" i="3" s="1"/>
  <c r="AN873" i="3"/>
  <c r="AB874" i="3"/>
  <c r="AC874" i="3"/>
  <c r="AD874" i="3"/>
  <c r="AE874" i="3"/>
  <c r="AF874" i="3"/>
  <c r="AG874" i="3"/>
  <c r="AH874" i="3"/>
  <c r="AI874" i="3"/>
  <c r="AJ874" i="3"/>
  <c r="AK874" i="3"/>
  <c r="AM874" i="3" s="1"/>
  <c r="AN874" i="3"/>
  <c r="AB875" i="3"/>
  <c r="AC875" i="3"/>
  <c r="AD875" i="3"/>
  <c r="AE875" i="3"/>
  <c r="AF875" i="3"/>
  <c r="AG875" i="3"/>
  <c r="AH875" i="3"/>
  <c r="AI875" i="3"/>
  <c r="AJ875" i="3"/>
  <c r="AK875" i="3"/>
  <c r="AM875" i="3" s="1"/>
  <c r="AN875" i="3"/>
  <c r="AB876" i="3"/>
  <c r="AC876" i="3"/>
  <c r="AD876" i="3"/>
  <c r="AE876" i="3"/>
  <c r="AF876" i="3"/>
  <c r="AG876" i="3"/>
  <c r="AH876" i="3"/>
  <c r="AI876" i="3"/>
  <c r="AJ876" i="3"/>
  <c r="AK876" i="3"/>
  <c r="AM876" i="3" s="1"/>
  <c r="AN876" i="3"/>
  <c r="AB877" i="3"/>
  <c r="AC877" i="3"/>
  <c r="AD877" i="3"/>
  <c r="AE877" i="3"/>
  <c r="AF877" i="3"/>
  <c r="AG877" i="3"/>
  <c r="AH877" i="3"/>
  <c r="AI877" i="3"/>
  <c r="AJ877" i="3"/>
  <c r="AK877" i="3"/>
  <c r="AM877" i="3" s="1"/>
  <c r="AN877" i="3"/>
  <c r="AB878" i="3"/>
  <c r="AC878" i="3"/>
  <c r="AD878" i="3"/>
  <c r="AE878" i="3"/>
  <c r="AF878" i="3"/>
  <c r="AG878" i="3"/>
  <c r="AH878" i="3"/>
  <c r="AI878" i="3"/>
  <c r="AJ878" i="3"/>
  <c r="AK878" i="3"/>
  <c r="AM878" i="3" s="1"/>
  <c r="AN878" i="3"/>
  <c r="AB879" i="3"/>
  <c r="AC879" i="3"/>
  <c r="AD879" i="3"/>
  <c r="AE879" i="3"/>
  <c r="AF879" i="3"/>
  <c r="AG879" i="3"/>
  <c r="AH879" i="3"/>
  <c r="AI879" i="3"/>
  <c r="AJ879" i="3"/>
  <c r="AK879" i="3"/>
  <c r="AM879" i="3" s="1"/>
  <c r="AN879" i="3"/>
  <c r="AB880" i="3"/>
  <c r="AC880" i="3"/>
  <c r="AD880" i="3"/>
  <c r="AE880" i="3"/>
  <c r="AF880" i="3"/>
  <c r="AG880" i="3"/>
  <c r="AH880" i="3"/>
  <c r="AI880" i="3"/>
  <c r="AJ880" i="3"/>
  <c r="AK880" i="3"/>
  <c r="AM880" i="3" s="1"/>
  <c r="AN880" i="3"/>
  <c r="AB881" i="3"/>
  <c r="AC881" i="3"/>
  <c r="AD881" i="3"/>
  <c r="AE881" i="3"/>
  <c r="AF881" i="3"/>
  <c r="AG881" i="3"/>
  <c r="AH881" i="3"/>
  <c r="AI881" i="3"/>
  <c r="AJ881" i="3"/>
  <c r="AK881" i="3"/>
  <c r="AM881" i="3" s="1"/>
  <c r="AN881" i="3"/>
  <c r="AB882" i="3"/>
  <c r="AC882" i="3"/>
  <c r="AD882" i="3"/>
  <c r="AE882" i="3"/>
  <c r="AF882" i="3"/>
  <c r="AG882" i="3"/>
  <c r="AH882" i="3"/>
  <c r="AI882" i="3"/>
  <c r="AJ882" i="3"/>
  <c r="AK882" i="3"/>
  <c r="AM882" i="3" s="1"/>
  <c r="AN882" i="3"/>
  <c r="AB883" i="3"/>
  <c r="AC883" i="3"/>
  <c r="AD883" i="3"/>
  <c r="AE883" i="3"/>
  <c r="AF883" i="3"/>
  <c r="AG883" i="3"/>
  <c r="AH883" i="3"/>
  <c r="AI883" i="3"/>
  <c r="AJ883" i="3"/>
  <c r="AK883" i="3"/>
  <c r="AM883" i="3" s="1"/>
  <c r="AN883" i="3"/>
  <c r="AB884" i="3"/>
  <c r="AC884" i="3"/>
  <c r="AD884" i="3"/>
  <c r="AE884" i="3"/>
  <c r="AF884" i="3"/>
  <c r="AG884" i="3"/>
  <c r="AH884" i="3"/>
  <c r="AI884" i="3"/>
  <c r="AJ884" i="3"/>
  <c r="AK884" i="3"/>
  <c r="AM884" i="3" s="1"/>
  <c r="AN884" i="3"/>
  <c r="AB885" i="3"/>
  <c r="AC885" i="3"/>
  <c r="AD885" i="3"/>
  <c r="AE885" i="3"/>
  <c r="AF885" i="3"/>
  <c r="AG885" i="3"/>
  <c r="AH885" i="3"/>
  <c r="AI885" i="3"/>
  <c r="AJ885" i="3"/>
  <c r="AK885" i="3"/>
  <c r="AM885" i="3" s="1"/>
  <c r="AN885" i="3"/>
  <c r="AB886" i="3"/>
  <c r="AC886" i="3"/>
  <c r="AD886" i="3"/>
  <c r="AE886" i="3"/>
  <c r="AF886" i="3"/>
  <c r="AG886" i="3"/>
  <c r="AH886" i="3"/>
  <c r="AI886" i="3"/>
  <c r="AJ886" i="3"/>
  <c r="AK886" i="3"/>
  <c r="AM886" i="3" s="1"/>
  <c r="AN886" i="3"/>
  <c r="AB887" i="3"/>
  <c r="AC887" i="3"/>
  <c r="AD887" i="3"/>
  <c r="AE887" i="3"/>
  <c r="AF887" i="3"/>
  <c r="AG887" i="3"/>
  <c r="AH887" i="3"/>
  <c r="AI887" i="3"/>
  <c r="AJ887" i="3"/>
  <c r="AK887" i="3"/>
  <c r="AM887" i="3" s="1"/>
  <c r="AN887" i="3"/>
  <c r="AB888" i="3"/>
  <c r="AC888" i="3"/>
  <c r="AD888" i="3"/>
  <c r="AE888" i="3"/>
  <c r="AF888" i="3"/>
  <c r="AG888" i="3"/>
  <c r="AH888" i="3"/>
  <c r="AI888" i="3"/>
  <c r="AJ888" i="3"/>
  <c r="AK888" i="3"/>
  <c r="AM888" i="3" s="1"/>
  <c r="AN888" i="3"/>
  <c r="AB889" i="3"/>
  <c r="AC889" i="3"/>
  <c r="AD889" i="3"/>
  <c r="AE889" i="3"/>
  <c r="AF889" i="3"/>
  <c r="AG889" i="3"/>
  <c r="AH889" i="3"/>
  <c r="AI889" i="3"/>
  <c r="AJ889" i="3"/>
  <c r="AK889" i="3"/>
  <c r="AM889" i="3" s="1"/>
  <c r="AN889" i="3"/>
  <c r="AB890" i="3"/>
  <c r="AC890" i="3"/>
  <c r="AD890" i="3"/>
  <c r="AE890" i="3"/>
  <c r="AF890" i="3"/>
  <c r="AG890" i="3"/>
  <c r="AH890" i="3"/>
  <c r="AI890" i="3"/>
  <c r="AJ890" i="3"/>
  <c r="AK890" i="3"/>
  <c r="AM890" i="3" s="1"/>
  <c r="AN890" i="3"/>
  <c r="AB891" i="3"/>
  <c r="AC891" i="3"/>
  <c r="AD891" i="3"/>
  <c r="AE891" i="3"/>
  <c r="AF891" i="3"/>
  <c r="AG891" i="3"/>
  <c r="AH891" i="3"/>
  <c r="AI891" i="3"/>
  <c r="AJ891" i="3"/>
  <c r="AK891" i="3"/>
  <c r="AM891" i="3" s="1"/>
  <c r="AN891" i="3"/>
  <c r="AB892" i="3"/>
  <c r="AC892" i="3"/>
  <c r="AD892" i="3"/>
  <c r="AE892" i="3"/>
  <c r="AF892" i="3"/>
  <c r="AG892" i="3"/>
  <c r="AH892" i="3"/>
  <c r="AI892" i="3"/>
  <c r="AJ892" i="3"/>
  <c r="AK892" i="3"/>
  <c r="AM892" i="3" s="1"/>
  <c r="AN892" i="3"/>
  <c r="AB893" i="3"/>
  <c r="AC893" i="3"/>
  <c r="AD893" i="3"/>
  <c r="AE893" i="3"/>
  <c r="AF893" i="3"/>
  <c r="AG893" i="3"/>
  <c r="AH893" i="3"/>
  <c r="AI893" i="3"/>
  <c r="AJ893" i="3"/>
  <c r="AK893" i="3"/>
  <c r="AM893" i="3" s="1"/>
  <c r="AN893" i="3"/>
  <c r="AB894" i="3"/>
  <c r="AC894" i="3"/>
  <c r="AD894" i="3"/>
  <c r="AE894" i="3"/>
  <c r="AF894" i="3"/>
  <c r="AG894" i="3"/>
  <c r="AH894" i="3"/>
  <c r="AI894" i="3"/>
  <c r="AJ894" i="3"/>
  <c r="AK894" i="3"/>
  <c r="AM894" i="3" s="1"/>
  <c r="AN894" i="3"/>
  <c r="AB895" i="3"/>
  <c r="AC895" i="3"/>
  <c r="AD895" i="3"/>
  <c r="AE895" i="3"/>
  <c r="AF895" i="3"/>
  <c r="AG895" i="3"/>
  <c r="AH895" i="3"/>
  <c r="AI895" i="3"/>
  <c r="AJ895" i="3"/>
  <c r="AK895" i="3"/>
  <c r="AM895" i="3" s="1"/>
  <c r="AN895" i="3"/>
  <c r="AB896" i="3"/>
  <c r="AC896" i="3"/>
  <c r="AD896" i="3"/>
  <c r="AE896" i="3"/>
  <c r="AF896" i="3"/>
  <c r="AG896" i="3"/>
  <c r="AH896" i="3"/>
  <c r="AI896" i="3"/>
  <c r="AJ896" i="3"/>
  <c r="AK896" i="3"/>
  <c r="AM896" i="3" s="1"/>
  <c r="AN896" i="3"/>
  <c r="AB897" i="3"/>
  <c r="AC897" i="3"/>
  <c r="AD897" i="3"/>
  <c r="AE897" i="3"/>
  <c r="AF897" i="3"/>
  <c r="AG897" i="3"/>
  <c r="AH897" i="3"/>
  <c r="AI897" i="3"/>
  <c r="AJ897" i="3"/>
  <c r="AK897" i="3"/>
  <c r="AM897" i="3" s="1"/>
  <c r="AN897" i="3"/>
  <c r="AB898" i="3"/>
  <c r="AC898" i="3"/>
  <c r="AD898" i="3"/>
  <c r="AE898" i="3"/>
  <c r="AF898" i="3"/>
  <c r="AG898" i="3"/>
  <c r="AH898" i="3"/>
  <c r="AI898" i="3"/>
  <c r="AJ898" i="3"/>
  <c r="AK898" i="3"/>
  <c r="AM898" i="3" s="1"/>
  <c r="AN898" i="3"/>
  <c r="AB899" i="3"/>
  <c r="AC899" i="3"/>
  <c r="AD899" i="3"/>
  <c r="AE899" i="3"/>
  <c r="AF899" i="3"/>
  <c r="AG899" i="3"/>
  <c r="AH899" i="3"/>
  <c r="AI899" i="3"/>
  <c r="AJ899" i="3"/>
  <c r="AK899" i="3"/>
  <c r="AM899" i="3" s="1"/>
  <c r="AN899" i="3"/>
  <c r="AB900" i="3"/>
  <c r="AC900" i="3"/>
  <c r="AD900" i="3"/>
  <c r="AE900" i="3"/>
  <c r="AF900" i="3"/>
  <c r="AG900" i="3"/>
  <c r="AH900" i="3"/>
  <c r="AI900" i="3"/>
  <c r="AJ900" i="3"/>
  <c r="AK900" i="3"/>
  <c r="AM900" i="3" s="1"/>
  <c r="AN900" i="3"/>
  <c r="AB901" i="3"/>
  <c r="AC901" i="3"/>
  <c r="AD901" i="3"/>
  <c r="AE901" i="3"/>
  <c r="AF901" i="3"/>
  <c r="AG901" i="3"/>
  <c r="AH901" i="3"/>
  <c r="AI901" i="3"/>
  <c r="AJ901" i="3"/>
  <c r="AK901" i="3"/>
  <c r="AM901" i="3" s="1"/>
  <c r="AN901" i="3"/>
  <c r="AB902" i="3"/>
  <c r="AC902" i="3"/>
  <c r="AD902" i="3"/>
  <c r="AE902" i="3"/>
  <c r="AF902" i="3"/>
  <c r="AG902" i="3"/>
  <c r="AH902" i="3"/>
  <c r="AI902" i="3"/>
  <c r="AJ902" i="3"/>
  <c r="AK902" i="3"/>
  <c r="AM902" i="3" s="1"/>
  <c r="AN902" i="3"/>
  <c r="AB903" i="3"/>
  <c r="AC903" i="3"/>
  <c r="AD903" i="3"/>
  <c r="AE903" i="3"/>
  <c r="AF903" i="3"/>
  <c r="AG903" i="3"/>
  <c r="AH903" i="3"/>
  <c r="AI903" i="3"/>
  <c r="AJ903" i="3"/>
  <c r="AK903" i="3"/>
  <c r="AM903" i="3" s="1"/>
  <c r="AN903" i="3"/>
  <c r="AB904" i="3"/>
  <c r="AC904" i="3"/>
  <c r="AD904" i="3"/>
  <c r="AE904" i="3"/>
  <c r="AF904" i="3"/>
  <c r="AG904" i="3"/>
  <c r="AH904" i="3"/>
  <c r="AI904" i="3"/>
  <c r="AJ904" i="3"/>
  <c r="AK904" i="3"/>
  <c r="AM904" i="3" s="1"/>
  <c r="AN904" i="3"/>
  <c r="AB905" i="3"/>
  <c r="AC905" i="3"/>
  <c r="AD905" i="3"/>
  <c r="AE905" i="3"/>
  <c r="AF905" i="3"/>
  <c r="AG905" i="3"/>
  <c r="AH905" i="3"/>
  <c r="AI905" i="3"/>
  <c r="AJ905" i="3"/>
  <c r="AK905" i="3"/>
  <c r="AM905" i="3" s="1"/>
  <c r="AN905" i="3"/>
  <c r="AB906" i="3"/>
  <c r="AC906" i="3"/>
  <c r="AD906" i="3"/>
  <c r="AE906" i="3"/>
  <c r="AF906" i="3"/>
  <c r="AG906" i="3"/>
  <c r="AH906" i="3"/>
  <c r="AI906" i="3"/>
  <c r="AJ906" i="3"/>
  <c r="AK906" i="3"/>
  <c r="AM906" i="3" s="1"/>
  <c r="AN906" i="3"/>
  <c r="AB907" i="3"/>
  <c r="AC907" i="3"/>
  <c r="AD907" i="3"/>
  <c r="AE907" i="3"/>
  <c r="AF907" i="3"/>
  <c r="AG907" i="3"/>
  <c r="AH907" i="3"/>
  <c r="AI907" i="3"/>
  <c r="AJ907" i="3"/>
  <c r="AK907" i="3"/>
  <c r="AM907" i="3" s="1"/>
  <c r="AN907" i="3"/>
  <c r="AB908" i="3"/>
  <c r="AC908" i="3"/>
  <c r="AD908" i="3"/>
  <c r="AE908" i="3"/>
  <c r="AF908" i="3"/>
  <c r="AG908" i="3"/>
  <c r="AH908" i="3"/>
  <c r="AI908" i="3"/>
  <c r="AJ908" i="3"/>
  <c r="AK908" i="3"/>
  <c r="AM908" i="3" s="1"/>
  <c r="AN908" i="3"/>
  <c r="AB909" i="3"/>
  <c r="AC909" i="3"/>
  <c r="AD909" i="3"/>
  <c r="AE909" i="3"/>
  <c r="AF909" i="3"/>
  <c r="AG909" i="3"/>
  <c r="AH909" i="3"/>
  <c r="AI909" i="3"/>
  <c r="AJ909" i="3"/>
  <c r="AK909" i="3"/>
  <c r="AM909" i="3" s="1"/>
  <c r="AN909" i="3"/>
  <c r="AB910" i="3"/>
  <c r="AC910" i="3"/>
  <c r="AD910" i="3"/>
  <c r="AE910" i="3"/>
  <c r="AF910" i="3"/>
  <c r="AG910" i="3"/>
  <c r="AH910" i="3"/>
  <c r="AI910" i="3"/>
  <c r="AJ910" i="3"/>
  <c r="AK910" i="3"/>
  <c r="AM910" i="3" s="1"/>
  <c r="AN910" i="3"/>
  <c r="AB911" i="3"/>
  <c r="AC911" i="3"/>
  <c r="AD911" i="3"/>
  <c r="AE911" i="3"/>
  <c r="AF911" i="3"/>
  <c r="AG911" i="3"/>
  <c r="AH911" i="3"/>
  <c r="AI911" i="3"/>
  <c r="AJ911" i="3"/>
  <c r="AK911" i="3"/>
  <c r="AM911" i="3" s="1"/>
  <c r="AN911" i="3"/>
  <c r="AB912" i="3"/>
  <c r="AC912" i="3"/>
  <c r="AD912" i="3"/>
  <c r="AE912" i="3"/>
  <c r="AF912" i="3"/>
  <c r="AG912" i="3"/>
  <c r="AH912" i="3"/>
  <c r="AI912" i="3"/>
  <c r="AJ912" i="3"/>
  <c r="AK912" i="3"/>
  <c r="AM912" i="3" s="1"/>
  <c r="AN912" i="3"/>
  <c r="AB913" i="3"/>
  <c r="AC913" i="3"/>
  <c r="AD913" i="3"/>
  <c r="AE913" i="3"/>
  <c r="AF913" i="3"/>
  <c r="AG913" i="3"/>
  <c r="AH913" i="3"/>
  <c r="AI913" i="3"/>
  <c r="AJ913" i="3"/>
  <c r="AK913" i="3"/>
  <c r="AM913" i="3" s="1"/>
  <c r="AN913" i="3"/>
  <c r="AB914" i="3"/>
  <c r="AC914" i="3"/>
  <c r="AD914" i="3"/>
  <c r="AE914" i="3"/>
  <c r="AF914" i="3"/>
  <c r="AG914" i="3"/>
  <c r="AH914" i="3"/>
  <c r="AI914" i="3"/>
  <c r="AJ914" i="3"/>
  <c r="AK914" i="3"/>
  <c r="AM914" i="3" s="1"/>
  <c r="AN914" i="3"/>
  <c r="AB915" i="3"/>
  <c r="AC915" i="3"/>
  <c r="AD915" i="3"/>
  <c r="AE915" i="3"/>
  <c r="AF915" i="3"/>
  <c r="AG915" i="3"/>
  <c r="AH915" i="3"/>
  <c r="AI915" i="3"/>
  <c r="AJ915" i="3"/>
  <c r="AK915" i="3"/>
  <c r="AM915" i="3" s="1"/>
  <c r="AN915" i="3"/>
  <c r="AB916" i="3"/>
  <c r="AC916" i="3"/>
  <c r="AD916" i="3"/>
  <c r="AE916" i="3"/>
  <c r="AF916" i="3"/>
  <c r="AG916" i="3"/>
  <c r="AH916" i="3"/>
  <c r="AI916" i="3"/>
  <c r="AJ916" i="3"/>
  <c r="AK916" i="3"/>
  <c r="AM916" i="3" s="1"/>
  <c r="AN916" i="3"/>
  <c r="AB917" i="3"/>
  <c r="AC917" i="3"/>
  <c r="AD917" i="3"/>
  <c r="AE917" i="3"/>
  <c r="AF917" i="3"/>
  <c r="AG917" i="3"/>
  <c r="AH917" i="3"/>
  <c r="AI917" i="3"/>
  <c r="AJ917" i="3"/>
  <c r="AK917" i="3"/>
  <c r="AM917" i="3" s="1"/>
  <c r="AN917" i="3"/>
  <c r="AB918" i="3"/>
  <c r="AC918" i="3"/>
  <c r="AD918" i="3"/>
  <c r="AE918" i="3"/>
  <c r="AF918" i="3"/>
  <c r="AG918" i="3"/>
  <c r="AH918" i="3"/>
  <c r="AI918" i="3"/>
  <c r="AJ918" i="3"/>
  <c r="AK918" i="3"/>
  <c r="AM918" i="3" s="1"/>
  <c r="AN918" i="3"/>
  <c r="AB919" i="3"/>
  <c r="AC919" i="3"/>
  <c r="AD919" i="3"/>
  <c r="AE919" i="3"/>
  <c r="AF919" i="3"/>
  <c r="AG919" i="3"/>
  <c r="AH919" i="3"/>
  <c r="AI919" i="3"/>
  <c r="AJ919" i="3"/>
  <c r="AK919" i="3"/>
  <c r="AM919" i="3" s="1"/>
  <c r="AN919" i="3"/>
  <c r="AB920" i="3"/>
  <c r="AC920" i="3"/>
  <c r="AD920" i="3"/>
  <c r="AE920" i="3"/>
  <c r="AF920" i="3"/>
  <c r="AG920" i="3"/>
  <c r="AH920" i="3"/>
  <c r="AI920" i="3"/>
  <c r="AJ920" i="3"/>
  <c r="AK920" i="3"/>
  <c r="AM920" i="3" s="1"/>
  <c r="AN920" i="3"/>
  <c r="AB921" i="3"/>
  <c r="AC921" i="3"/>
  <c r="AD921" i="3"/>
  <c r="AE921" i="3"/>
  <c r="AF921" i="3"/>
  <c r="AG921" i="3"/>
  <c r="AH921" i="3"/>
  <c r="AI921" i="3"/>
  <c r="AJ921" i="3"/>
  <c r="AK921" i="3"/>
  <c r="AM921" i="3" s="1"/>
  <c r="AN921" i="3"/>
  <c r="AB922" i="3"/>
  <c r="AC922" i="3"/>
  <c r="AD922" i="3"/>
  <c r="AE922" i="3"/>
  <c r="AF922" i="3"/>
  <c r="AG922" i="3"/>
  <c r="AH922" i="3"/>
  <c r="AI922" i="3"/>
  <c r="AJ922" i="3"/>
  <c r="AK922" i="3"/>
  <c r="AM922" i="3" s="1"/>
  <c r="AN922" i="3"/>
  <c r="AB923" i="3"/>
  <c r="AC923" i="3"/>
  <c r="AD923" i="3"/>
  <c r="AE923" i="3"/>
  <c r="AF923" i="3"/>
  <c r="AG923" i="3"/>
  <c r="AH923" i="3"/>
  <c r="AI923" i="3"/>
  <c r="AJ923" i="3"/>
  <c r="AK923" i="3"/>
  <c r="AM923" i="3" s="1"/>
  <c r="AN923" i="3"/>
  <c r="AB924" i="3"/>
  <c r="AC924" i="3"/>
  <c r="AD924" i="3"/>
  <c r="AE924" i="3"/>
  <c r="AF924" i="3"/>
  <c r="AG924" i="3"/>
  <c r="AH924" i="3"/>
  <c r="AI924" i="3"/>
  <c r="AJ924" i="3"/>
  <c r="AK924" i="3"/>
  <c r="AM924" i="3" s="1"/>
  <c r="AN924" i="3"/>
  <c r="AB925" i="3"/>
  <c r="AC925" i="3"/>
  <c r="AD925" i="3"/>
  <c r="AE925" i="3"/>
  <c r="AF925" i="3"/>
  <c r="AG925" i="3"/>
  <c r="AH925" i="3"/>
  <c r="AI925" i="3"/>
  <c r="AJ925" i="3"/>
  <c r="AK925" i="3"/>
  <c r="AM925" i="3" s="1"/>
  <c r="AN925" i="3"/>
  <c r="AB926" i="3"/>
  <c r="AC926" i="3"/>
  <c r="AD926" i="3"/>
  <c r="AE926" i="3"/>
  <c r="AF926" i="3"/>
  <c r="AG926" i="3"/>
  <c r="AH926" i="3"/>
  <c r="AI926" i="3"/>
  <c r="AJ926" i="3"/>
  <c r="AK926" i="3"/>
  <c r="AM926" i="3" s="1"/>
  <c r="AN926" i="3"/>
  <c r="AB927" i="3"/>
  <c r="AC927" i="3"/>
  <c r="AD927" i="3"/>
  <c r="AE927" i="3"/>
  <c r="AF927" i="3"/>
  <c r="AG927" i="3"/>
  <c r="AH927" i="3"/>
  <c r="AI927" i="3"/>
  <c r="AJ927" i="3"/>
  <c r="AK927" i="3"/>
  <c r="AM927" i="3" s="1"/>
  <c r="AN927" i="3"/>
  <c r="AB928" i="3"/>
  <c r="AC928" i="3"/>
  <c r="AD928" i="3"/>
  <c r="AE928" i="3"/>
  <c r="AF928" i="3"/>
  <c r="AG928" i="3"/>
  <c r="AH928" i="3"/>
  <c r="AI928" i="3"/>
  <c r="AJ928" i="3"/>
  <c r="AK928" i="3"/>
  <c r="AM928" i="3" s="1"/>
  <c r="AN928" i="3"/>
  <c r="AB929" i="3"/>
  <c r="AC929" i="3"/>
  <c r="AD929" i="3"/>
  <c r="AE929" i="3"/>
  <c r="AF929" i="3"/>
  <c r="AG929" i="3"/>
  <c r="AH929" i="3"/>
  <c r="AI929" i="3"/>
  <c r="AJ929" i="3"/>
  <c r="AK929" i="3"/>
  <c r="AM929" i="3" s="1"/>
  <c r="AN929" i="3"/>
  <c r="AB930" i="3"/>
  <c r="AC930" i="3"/>
  <c r="AD930" i="3"/>
  <c r="AE930" i="3"/>
  <c r="AF930" i="3"/>
  <c r="AG930" i="3"/>
  <c r="AH930" i="3"/>
  <c r="AI930" i="3"/>
  <c r="AJ930" i="3"/>
  <c r="AK930" i="3"/>
  <c r="AM930" i="3" s="1"/>
  <c r="AN930" i="3"/>
  <c r="AB931" i="3"/>
  <c r="AC931" i="3"/>
  <c r="AD931" i="3"/>
  <c r="AE931" i="3"/>
  <c r="AF931" i="3"/>
  <c r="AG931" i="3"/>
  <c r="AH931" i="3"/>
  <c r="AI931" i="3"/>
  <c r="AJ931" i="3"/>
  <c r="AK931" i="3"/>
  <c r="AM931" i="3" s="1"/>
  <c r="AN931" i="3"/>
  <c r="AB932" i="3"/>
  <c r="AC932" i="3"/>
  <c r="AD932" i="3"/>
  <c r="AE932" i="3"/>
  <c r="AF932" i="3"/>
  <c r="AG932" i="3"/>
  <c r="AH932" i="3"/>
  <c r="AI932" i="3"/>
  <c r="AJ932" i="3"/>
  <c r="AK932" i="3"/>
  <c r="AM932" i="3" s="1"/>
  <c r="AN932" i="3"/>
  <c r="AB933" i="3"/>
  <c r="AC933" i="3"/>
  <c r="AD933" i="3"/>
  <c r="AE933" i="3"/>
  <c r="AF933" i="3"/>
  <c r="AG933" i="3"/>
  <c r="AH933" i="3"/>
  <c r="AI933" i="3"/>
  <c r="AJ933" i="3"/>
  <c r="AK933" i="3"/>
  <c r="AM933" i="3" s="1"/>
  <c r="AN933" i="3"/>
  <c r="AB934" i="3"/>
  <c r="AC934" i="3"/>
  <c r="AD934" i="3"/>
  <c r="AE934" i="3"/>
  <c r="AF934" i="3"/>
  <c r="AG934" i="3"/>
  <c r="AH934" i="3"/>
  <c r="AI934" i="3"/>
  <c r="AJ934" i="3"/>
  <c r="AK934" i="3"/>
  <c r="AM934" i="3" s="1"/>
  <c r="AN934" i="3"/>
  <c r="AB935" i="3"/>
  <c r="AC935" i="3"/>
  <c r="AD935" i="3"/>
  <c r="AE935" i="3"/>
  <c r="AF935" i="3"/>
  <c r="AG935" i="3"/>
  <c r="AH935" i="3"/>
  <c r="AI935" i="3"/>
  <c r="AJ935" i="3"/>
  <c r="AK935" i="3"/>
  <c r="AM935" i="3" s="1"/>
  <c r="AN935" i="3"/>
  <c r="AB936" i="3"/>
  <c r="AC936" i="3"/>
  <c r="AD936" i="3"/>
  <c r="AE936" i="3"/>
  <c r="AF936" i="3"/>
  <c r="AG936" i="3"/>
  <c r="AH936" i="3"/>
  <c r="AI936" i="3"/>
  <c r="AJ936" i="3"/>
  <c r="AK936" i="3"/>
  <c r="AM936" i="3" s="1"/>
  <c r="AN936" i="3"/>
  <c r="AB937" i="3"/>
  <c r="AC937" i="3"/>
  <c r="AD937" i="3"/>
  <c r="AE937" i="3"/>
  <c r="AF937" i="3"/>
  <c r="AG937" i="3"/>
  <c r="AH937" i="3"/>
  <c r="AI937" i="3"/>
  <c r="AJ937" i="3"/>
  <c r="AK937" i="3"/>
  <c r="AM937" i="3" s="1"/>
  <c r="AN937" i="3"/>
  <c r="AB938" i="3"/>
  <c r="AC938" i="3"/>
  <c r="AD938" i="3"/>
  <c r="AE938" i="3"/>
  <c r="AF938" i="3"/>
  <c r="AG938" i="3"/>
  <c r="AH938" i="3"/>
  <c r="AI938" i="3"/>
  <c r="AJ938" i="3"/>
  <c r="AK938" i="3"/>
  <c r="AM938" i="3" s="1"/>
  <c r="AN938" i="3"/>
  <c r="AB939" i="3"/>
  <c r="AC939" i="3"/>
  <c r="AD939" i="3"/>
  <c r="AE939" i="3"/>
  <c r="AF939" i="3"/>
  <c r="AG939" i="3"/>
  <c r="AH939" i="3"/>
  <c r="AI939" i="3"/>
  <c r="AJ939" i="3"/>
  <c r="AK939" i="3"/>
  <c r="AM939" i="3" s="1"/>
  <c r="AN939" i="3"/>
  <c r="AB940" i="3"/>
  <c r="AC940" i="3"/>
  <c r="AD940" i="3"/>
  <c r="AE940" i="3"/>
  <c r="AF940" i="3"/>
  <c r="AG940" i="3"/>
  <c r="AH940" i="3"/>
  <c r="AI940" i="3"/>
  <c r="AJ940" i="3"/>
  <c r="AK940" i="3"/>
  <c r="AM940" i="3" s="1"/>
  <c r="AN940" i="3"/>
  <c r="AB941" i="3"/>
  <c r="AC941" i="3"/>
  <c r="AD941" i="3"/>
  <c r="AE941" i="3"/>
  <c r="AF941" i="3"/>
  <c r="AG941" i="3"/>
  <c r="AH941" i="3"/>
  <c r="AI941" i="3"/>
  <c r="AJ941" i="3"/>
  <c r="AK941" i="3"/>
  <c r="AM941" i="3" s="1"/>
  <c r="AN941" i="3"/>
  <c r="AB942" i="3"/>
  <c r="AC942" i="3"/>
  <c r="AD942" i="3"/>
  <c r="AE942" i="3"/>
  <c r="AF942" i="3"/>
  <c r="AG942" i="3"/>
  <c r="AH942" i="3"/>
  <c r="AI942" i="3"/>
  <c r="AJ942" i="3"/>
  <c r="AK942" i="3"/>
  <c r="AM942" i="3" s="1"/>
  <c r="AN942" i="3"/>
  <c r="AB943" i="3"/>
  <c r="AC943" i="3"/>
  <c r="AD943" i="3"/>
  <c r="AE943" i="3"/>
  <c r="AF943" i="3"/>
  <c r="AG943" i="3"/>
  <c r="AH943" i="3"/>
  <c r="AI943" i="3"/>
  <c r="AJ943" i="3"/>
  <c r="AK943" i="3"/>
  <c r="AM943" i="3" s="1"/>
  <c r="AN943" i="3"/>
  <c r="AB944" i="3"/>
  <c r="AC944" i="3"/>
  <c r="AD944" i="3"/>
  <c r="AE944" i="3"/>
  <c r="AF944" i="3"/>
  <c r="AG944" i="3"/>
  <c r="AH944" i="3"/>
  <c r="AI944" i="3"/>
  <c r="AJ944" i="3"/>
  <c r="AK944" i="3"/>
  <c r="AM944" i="3" s="1"/>
  <c r="AN944" i="3"/>
  <c r="AB945" i="3"/>
  <c r="AC945" i="3"/>
  <c r="AD945" i="3"/>
  <c r="AE945" i="3"/>
  <c r="AF945" i="3"/>
  <c r="AG945" i="3"/>
  <c r="AH945" i="3"/>
  <c r="AI945" i="3"/>
  <c r="AJ945" i="3"/>
  <c r="AK945" i="3"/>
  <c r="AM945" i="3" s="1"/>
  <c r="AN945" i="3"/>
  <c r="AB946" i="3"/>
  <c r="AC946" i="3"/>
  <c r="AD946" i="3"/>
  <c r="AE946" i="3"/>
  <c r="AF946" i="3"/>
  <c r="AG946" i="3"/>
  <c r="AH946" i="3"/>
  <c r="AI946" i="3"/>
  <c r="AJ946" i="3"/>
  <c r="AK946" i="3"/>
  <c r="AM946" i="3" s="1"/>
  <c r="AN946" i="3"/>
  <c r="AB947" i="3"/>
  <c r="AC947" i="3"/>
  <c r="AD947" i="3"/>
  <c r="AE947" i="3"/>
  <c r="AF947" i="3"/>
  <c r="AG947" i="3"/>
  <c r="AH947" i="3"/>
  <c r="AI947" i="3"/>
  <c r="AJ947" i="3"/>
  <c r="AK947" i="3"/>
  <c r="AM947" i="3" s="1"/>
  <c r="AN947" i="3"/>
  <c r="AB948" i="3"/>
  <c r="AC948" i="3"/>
  <c r="AD948" i="3"/>
  <c r="AE948" i="3"/>
  <c r="AF948" i="3"/>
  <c r="AG948" i="3"/>
  <c r="AH948" i="3"/>
  <c r="AI948" i="3"/>
  <c r="AJ948" i="3"/>
  <c r="AK948" i="3"/>
  <c r="AM948" i="3" s="1"/>
  <c r="AN948" i="3"/>
  <c r="AB949" i="3"/>
  <c r="AC949" i="3"/>
  <c r="AD949" i="3"/>
  <c r="AE949" i="3"/>
  <c r="AF949" i="3"/>
  <c r="AG949" i="3"/>
  <c r="AH949" i="3"/>
  <c r="AI949" i="3"/>
  <c r="AJ949" i="3"/>
  <c r="AK949" i="3"/>
  <c r="AM949" i="3" s="1"/>
  <c r="AN949" i="3"/>
  <c r="AB950" i="3"/>
  <c r="AC950" i="3"/>
  <c r="AD950" i="3"/>
  <c r="AE950" i="3"/>
  <c r="AF950" i="3"/>
  <c r="AG950" i="3"/>
  <c r="AH950" i="3"/>
  <c r="AI950" i="3"/>
  <c r="AJ950" i="3"/>
  <c r="AK950" i="3"/>
  <c r="AM950" i="3" s="1"/>
  <c r="AN950" i="3"/>
  <c r="AB951" i="3"/>
  <c r="AC951" i="3"/>
  <c r="AD951" i="3"/>
  <c r="AE951" i="3"/>
  <c r="AF951" i="3"/>
  <c r="AG951" i="3"/>
  <c r="AH951" i="3"/>
  <c r="AI951" i="3"/>
  <c r="AJ951" i="3"/>
  <c r="AK951" i="3"/>
  <c r="AM951" i="3" s="1"/>
  <c r="AN951" i="3"/>
  <c r="AB952" i="3"/>
  <c r="AC952" i="3"/>
  <c r="AD952" i="3"/>
  <c r="AE952" i="3"/>
  <c r="AF952" i="3"/>
  <c r="AG952" i="3"/>
  <c r="AH952" i="3"/>
  <c r="AI952" i="3"/>
  <c r="AJ952" i="3"/>
  <c r="AK952" i="3"/>
  <c r="AM952" i="3" s="1"/>
  <c r="AN952" i="3"/>
  <c r="AB953" i="3"/>
  <c r="AC953" i="3"/>
  <c r="AD953" i="3"/>
  <c r="AE953" i="3"/>
  <c r="AF953" i="3"/>
  <c r="AG953" i="3"/>
  <c r="AH953" i="3"/>
  <c r="AI953" i="3"/>
  <c r="AJ953" i="3"/>
  <c r="AK953" i="3"/>
  <c r="AM953" i="3" s="1"/>
  <c r="AN953" i="3"/>
  <c r="AB954" i="3"/>
  <c r="AC954" i="3"/>
  <c r="AD954" i="3"/>
  <c r="AE954" i="3"/>
  <c r="AF954" i="3"/>
  <c r="AG954" i="3"/>
  <c r="AH954" i="3"/>
  <c r="AI954" i="3"/>
  <c r="AJ954" i="3"/>
  <c r="AK954" i="3"/>
  <c r="AM954" i="3" s="1"/>
  <c r="AN954" i="3"/>
  <c r="AB955" i="3"/>
  <c r="AC955" i="3"/>
  <c r="AD955" i="3"/>
  <c r="AE955" i="3"/>
  <c r="AF955" i="3"/>
  <c r="AG955" i="3"/>
  <c r="AH955" i="3"/>
  <c r="AI955" i="3"/>
  <c r="AJ955" i="3"/>
  <c r="AK955" i="3"/>
  <c r="AM955" i="3" s="1"/>
  <c r="AN955" i="3"/>
  <c r="AB956" i="3"/>
  <c r="AC956" i="3"/>
  <c r="AD956" i="3"/>
  <c r="AE956" i="3"/>
  <c r="AF956" i="3"/>
  <c r="AG956" i="3"/>
  <c r="AH956" i="3"/>
  <c r="AI956" i="3"/>
  <c r="AJ956" i="3"/>
  <c r="AK956" i="3"/>
  <c r="AM956" i="3" s="1"/>
  <c r="AN956" i="3"/>
  <c r="AB957" i="3"/>
  <c r="AC957" i="3"/>
  <c r="AD957" i="3"/>
  <c r="AE957" i="3"/>
  <c r="AF957" i="3"/>
  <c r="AG957" i="3"/>
  <c r="AH957" i="3"/>
  <c r="AI957" i="3"/>
  <c r="AJ957" i="3"/>
  <c r="AK957" i="3"/>
  <c r="AM957" i="3" s="1"/>
  <c r="AN957" i="3"/>
  <c r="AB958" i="3"/>
  <c r="AC958" i="3"/>
  <c r="AD958" i="3"/>
  <c r="AE958" i="3"/>
  <c r="AF958" i="3"/>
  <c r="AG958" i="3"/>
  <c r="AH958" i="3"/>
  <c r="AI958" i="3"/>
  <c r="AJ958" i="3"/>
  <c r="AK958" i="3"/>
  <c r="AM958" i="3" s="1"/>
  <c r="AN958" i="3"/>
  <c r="AB959" i="3"/>
  <c r="AC959" i="3"/>
  <c r="AD959" i="3"/>
  <c r="AE959" i="3"/>
  <c r="AF959" i="3"/>
  <c r="AG959" i="3"/>
  <c r="AH959" i="3"/>
  <c r="AI959" i="3"/>
  <c r="AJ959" i="3"/>
  <c r="AK959" i="3"/>
  <c r="AM959" i="3" s="1"/>
  <c r="AN959" i="3"/>
  <c r="AB960" i="3"/>
  <c r="AC960" i="3"/>
  <c r="AD960" i="3"/>
  <c r="AE960" i="3"/>
  <c r="AF960" i="3"/>
  <c r="AG960" i="3"/>
  <c r="AH960" i="3"/>
  <c r="AI960" i="3"/>
  <c r="AJ960" i="3"/>
  <c r="AK960" i="3"/>
  <c r="AM960" i="3" s="1"/>
  <c r="AN960" i="3"/>
  <c r="AB961" i="3"/>
  <c r="AC961" i="3"/>
  <c r="AD961" i="3"/>
  <c r="AE961" i="3"/>
  <c r="AF961" i="3"/>
  <c r="AG961" i="3"/>
  <c r="AH961" i="3"/>
  <c r="AI961" i="3"/>
  <c r="AJ961" i="3"/>
  <c r="AK961" i="3"/>
  <c r="AM961" i="3" s="1"/>
  <c r="AN961" i="3"/>
  <c r="AB962" i="3"/>
  <c r="AC962" i="3"/>
  <c r="AD962" i="3"/>
  <c r="AE962" i="3"/>
  <c r="AF962" i="3"/>
  <c r="AG962" i="3"/>
  <c r="AH962" i="3"/>
  <c r="AI962" i="3"/>
  <c r="AJ962" i="3"/>
  <c r="AK962" i="3"/>
  <c r="AM962" i="3" s="1"/>
  <c r="AN962" i="3"/>
  <c r="AB963" i="3"/>
  <c r="AC963" i="3"/>
  <c r="AD963" i="3"/>
  <c r="AE963" i="3"/>
  <c r="AF963" i="3"/>
  <c r="AG963" i="3"/>
  <c r="AH963" i="3"/>
  <c r="AI963" i="3"/>
  <c r="AJ963" i="3"/>
  <c r="AK963" i="3"/>
  <c r="AM963" i="3" s="1"/>
  <c r="AN963" i="3"/>
  <c r="AB964" i="3"/>
  <c r="AC964" i="3"/>
  <c r="AD964" i="3"/>
  <c r="AE964" i="3"/>
  <c r="AF964" i="3"/>
  <c r="AG964" i="3"/>
  <c r="AH964" i="3"/>
  <c r="AI964" i="3"/>
  <c r="AJ964" i="3"/>
  <c r="AK964" i="3"/>
  <c r="AM964" i="3" s="1"/>
  <c r="AN964" i="3"/>
  <c r="AB965" i="3"/>
  <c r="AC965" i="3"/>
  <c r="AD965" i="3"/>
  <c r="AE965" i="3"/>
  <c r="AF965" i="3"/>
  <c r="AG965" i="3"/>
  <c r="AH965" i="3"/>
  <c r="AI965" i="3"/>
  <c r="AJ965" i="3"/>
  <c r="AK965" i="3"/>
  <c r="AM965" i="3" s="1"/>
  <c r="AN965" i="3"/>
  <c r="AB966" i="3"/>
  <c r="AC966" i="3"/>
  <c r="AD966" i="3"/>
  <c r="AE966" i="3"/>
  <c r="AF966" i="3"/>
  <c r="AG966" i="3"/>
  <c r="AH966" i="3"/>
  <c r="AI966" i="3"/>
  <c r="AJ966" i="3"/>
  <c r="AK966" i="3"/>
  <c r="AM966" i="3" s="1"/>
  <c r="AN966" i="3"/>
  <c r="AB967" i="3"/>
  <c r="AC967" i="3"/>
  <c r="AD967" i="3"/>
  <c r="AE967" i="3"/>
  <c r="AF967" i="3"/>
  <c r="AG967" i="3"/>
  <c r="AH967" i="3"/>
  <c r="AI967" i="3"/>
  <c r="AJ967" i="3"/>
  <c r="AK967" i="3"/>
  <c r="AM967" i="3" s="1"/>
  <c r="AN967" i="3"/>
  <c r="AB968" i="3"/>
  <c r="AC968" i="3"/>
  <c r="AD968" i="3"/>
  <c r="AE968" i="3"/>
  <c r="AF968" i="3"/>
  <c r="AG968" i="3"/>
  <c r="AH968" i="3"/>
  <c r="AI968" i="3"/>
  <c r="AJ968" i="3"/>
  <c r="AK968" i="3"/>
  <c r="AM968" i="3" s="1"/>
  <c r="AN968" i="3"/>
  <c r="AB969" i="3"/>
  <c r="AC969" i="3"/>
  <c r="AD969" i="3"/>
  <c r="AE969" i="3"/>
  <c r="AF969" i="3"/>
  <c r="AG969" i="3"/>
  <c r="AH969" i="3"/>
  <c r="AI969" i="3"/>
  <c r="AJ969" i="3"/>
  <c r="AK969" i="3"/>
  <c r="AM969" i="3" s="1"/>
  <c r="AN969" i="3"/>
  <c r="AB970" i="3"/>
  <c r="AC970" i="3"/>
  <c r="AD970" i="3"/>
  <c r="AE970" i="3"/>
  <c r="AF970" i="3"/>
  <c r="AG970" i="3"/>
  <c r="AH970" i="3"/>
  <c r="AI970" i="3"/>
  <c r="AJ970" i="3"/>
  <c r="AK970" i="3"/>
  <c r="AM970" i="3" s="1"/>
  <c r="AN970" i="3"/>
  <c r="AB971" i="3"/>
  <c r="AC971" i="3"/>
  <c r="AD971" i="3"/>
  <c r="AE971" i="3"/>
  <c r="AF971" i="3"/>
  <c r="AG971" i="3"/>
  <c r="AH971" i="3"/>
  <c r="AI971" i="3"/>
  <c r="AJ971" i="3"/>
  <c r="AK971" i="3"/>
  <c r="AM971" i="3" s="1"/>
  <c r="AN971" i="3"/>
  <c r="AB972" i="3"/>
  <c r="AC972" i="3"/>
  <c r="AD972" i="3"/>
  <c r="AE972" i="3"/>
  <c r="AF972" i="3"/>
  <c r="AG972" i="3"/>
  <c r="AH972" i="3"/>
  <c r="AI972" i="3"/>
  <c r="AJ972" i="3"/>
  <c r="AK972" i="3"/>
  <c r="AM972" i="3" s="1"/>
  <c r="AN972" i="3"/>
  <c r="AB973" i="3"/>
  <c r="AC973" i="3"/>
  <c r="AD973" i="3"/>
  <c r="AE973" i="3"/>
  <c r="AF973" i="3"/>
  <c r="AG973" i="3"/>
  <c r="AH973" i="3"/>
  <c r="AI973" i="3"/>
  <c r="AJ973" i="3"/>
  <c r="AK973" i="3"/>
  <c r="AM973" i="3" s="1"/>
  <c r="AN973" i="3"/>
  <c r="AB974" i="3"/>
  <c r="AC974" i="3"/>
  <c r="AD974" i="3"/>
  <c r="AE974" i="3"/>
  <c r="AF974" i="3"/>
  <c r="AG974" i="3"/>
  <c r="AH974" i="3"/>
  <c r="AI974" i="3"/>
  <c r="AJ974" i="3"/>
  <c r="AK974" i="3"/>
  <c r="AM974" i="3" s="1"/>
  <c r="AN974" i="3"/>
  <c r="AB975" i="3"/>
  <c r="AC975" i="3"/>
  <c r="AD975" i="3"/>
  <c r="AE975" i="3"/>
  <c r="AF975" i="3"/>
  <c r="AG975" i="3"/>
  <c r="AH975" i="3"/>
  <c r="AI975" i="3"/>
  <c r="AJ975" i="3"/>
  <c r="AK975" i="3"/>
  <c r="AM975" i="3" s="1"/>
  <c r="AN975" i="3"/>
  <c r="AB976" i="3"/>
  <c r="AC976" i="3"/>
  <c r="AD976" i="3"/>
  <c r="AE976" i="3"/>
  <c r="AF976" i="3"/>
  <c r="AG976" i="3"/>
  <c r="AH976" i="3"/>
  <c r="AI976" i="3"/>
  <c r="AJ976" i="3"/>
  <c r="AK976" i="3"/>
  <c r="AM976" i="3" s="1"/>
  <c r="AN976" i="3"/>
  <c r="AB977" i="3"/>
  <c r="AC977" i="3"/>
  <c r="AD977" i="3"/>
  <c r="AE977" i="3"/>
  <c r="AF977" i="3"/>
  <c r="AG977" i="3"/>
  <c r="AH977" i="3"/>
  <c r="AI977" i="3"/>
  <c r="AJ977" i="3"/>
  <c r="AK977" i="3"/>
  <c r="AM977" i="3" s="1"/>
  <c r="AN977" i="3"/>
  <c r="AB978" i="3"/>
  <c r="AC978" i="3"/>
  <c r="AD978" i="3"/>
  <c r="AE978" i="3"/>
  <c r="AF978" i="3"/>
  <c r="AG978" i="3"/>
  <c r="AH978" i="3"/>
  <c r="AI978" i="3"/>
  <c r="AJ978" i="3"/>
  <c r="AK978" i="3"/>
  <c r="AM978" i="3" s="1"/>
  <c r="AN978" i="3"/>
  <c r="AB979" i="3"/>
  <c r="AC979" i="3"/>
  <c r="AD979" i="3"/>
  <c r="AE979" i="3"/>
  <c r="AF979" i="3"/>
  <c r="AG979" i="3"/>
  <c r="AH979" i="3"/>
  <c r="AI979" i="3"/>
  <c r="AJ979" i="3"/>
  <c r="AK979" i="3"/>
  <c r="AM979" i="3" s="1"/>
  <c r="AN979" i="3"/>
  <c r="AB980" i="3"/>
  <c r="AC980" i="3"/>
  <c r="AD980" i="3"/>
  <c r="AE980" i="3"/>
  <c r="AF980" i="3"/>
  <c r="AG980" i="3"/>
  <c r="AH980" i="3"/>
  <c r="AI980" i="3"/>
  <c r="AJ980" i="3"/>
  <c r="AK980" i="3"/>
  <c r="AM980" i="3" s="1"/>
  <c r="AN980" i="3"/>
  <c r="AB981" i="3"/>
  <c r="AC981" i="3"/>
  <c r="AD981" i="3"/>
  <c r="AE981" i="3"/>
  <c r="AF981" i="3"/>
  <c r="AG981" i="3"/>
  <c r="AH981" i="3"/>
  <c r="AI981" i="3"/>
  <c r="AJ981" i="3"/>
  <c r="AK981" i="3"/>
  <c r="AM981" i="3" s="1"/>
  <c r="AN981" i="3"/>
  <c r="AB982" i="3"/>
  <c r="AC982" i="3"/>
  <c r="AD982" i="3"/>
  <c r="AE982" i="3"/>
  <c r="AF982" i="3"/>
  <c r="AG982" i="3"/>
  <c r="AH982" i="3"/>
  <c r="AI982" i="3"/>
  <c r="AJ982" i="3"/>
  <c r="AK982" i="3"/>
  <c r="AM982" i="3" s="1"/>
  <c r="AN982" i="3"/>
  <c r="AB983" i="3"/>
  <c r="AC983" i="3"/>
  <c r="AD983" i="3"/>
  <c r="AE983" i="3"/>
  <c r="AF983" i="3"/>
  <c r="AG983" i="3"/>
  <c r="AH983" i="3"/>
  <c r="AI983" i="3"/>
  <c r="AJ983" i="3"/>
  <c r="AK983" i="3"/>
  <c r="AM983" i="3" s="1"/>
  <c r="AN983" i="3"/>
  <c r="AB984" i="3"/>
  <c r="AC984" i="3"/>
  <c r="AD984" i="3"/>
  <c r="AE984" i="3"/>
  <c r="AF984" i="3"/>
  <c r="AG984" i="3"/>
  <c r="AH984" i="3"/>
  <c r="AI984" i="3"/>
  <c r="AJ984" i="3"/>
  <c r="AK984" i="3"/>
  <c r="AM984" i="3" s="1"/>
  <c r="AN984" i="3"/>
  <c r="AB985" i="3"/>
  <c r="AC985" i="3"/>
  <c r="AD985" i="3"/>
  <c r="AE985" i="3"/>
  <c r="AF985" i="3"/>
  <c r="AG985" i="3"/>
  <c r="AH985" i="3"/>
  <c r="AI985" i="3"/>
  <c r="AJ985" i="3"/>
  <c r="AK985" i="3"/>
  <c r="AM985" i="3" s="1"/>
  <c r="AN985" i="3"/>
  <c r="AB986" i="3"/>
  <c r="AC986" i="3"/>
  <c r="AD986" i="3"/>
  <c r="AE986" i="3"/>
  <c r="AF986" i="3"/>
  <c r="AG986" i="3"/>
  <c r="AH986" i="3"/>
  <c r="AI986" i="3"/>
  <c r="AJ986" i="3"/>
  <c r="AK986" i="3"/>
  <c r="AM986" i="3" s="1"/>
  <c r="AN986" i="3"/>
  <c r="AB987" i="3"/>
  <c r="AC987" i="3"/>
  <c r="AD987" i="3"/>
  <c r="AE987" i="3"/>
  <c r="AF987" i="3"/>
  <c r="AG987" i="3"/>
  <c r="AH987" i="3"/>
  <c r="AI987" i="3"/>
  <c r="AJ987" i="3"/>
  <c r="AK987" i="3"/>
  <c r="AM987" i="3" s="1"/>
  <c r="AN987" i="3"/>
  <c r="AB988" i="3"/>
  <c r="AC988" i="3"/>
  <c r="AD988" i="3"/>
  <c r="AE988" i="3"/>
  <c r="AF988" i="3"/>
  <c r="AG988" i="3"/>
  <c r="AH988" i="3"/>
  <c r="AI988" i="3"/>
  <c r="AJ988" i="3"/>
  <c r="AK988" i="3"/>
  <c r="AM988" i="3" s="1"/>
  <c r="AN988" i="3"/>
  <c r="AB989" i="3"/>
  <c r="AC989" i="3"/>
  <c r="AD989" i="3"/>
  <c r="AE989" i="3"/>
  <c r="AF989" i="3"/>
  <c r="AG989" i="3"/>
  <c r="AH989" i="3"/>
  <c r="AI989" i="3"/>
  <c r="AJ989" i="3"/>
  <c r="AK989" i="3"/>
  <c r="AM989" i="3" s="1"/>
  <c r="AN989" i="3"/>
  <c r="AB990" i="3"/>
  <c r="AC990" i="3"/>
  <c r="AD990" i="3"/>
  <c r="AE990" i="3"/>
  <c r="AF990" i="3"/>
  <c r="AG990" i="3"/>
  <c r="AH990" i="3"/>
  <c r="AI990" i="3"/>
  <c r="AJ990" i="3"/>
  <c r="AK990" i="3"/>
  <c r="AM990" i="3" s="1"/>
  <c r="AN990" i="3"/>
  <c r="AB991" i="3"/>
  <c r="AC991" i="3"/>
  <c r="AD991" i="3"/>
  <c r="AE991" i="3"/>
  <c r="AF991" i="3"/>
  <c r="AG991" i="3"/>
  <c r="AH991" i="3"/>
  <c r="AI991" i="3"/>
  <c r="AJ991" i="3"/>
  <c r="AK991" i="3"/>
  <c r="AM991" i="3" s="1"/>
  <c r="AN991" i="3"/>
  <c r="AB992" i="3"/>
  <c r="AC992" i="3"/>
  <c r="AD992" i="3"/>
  <c r="AE992" i="3"/>
  <c r="AF992" i="3"/>
  <c r="AG992" i="3"/>
  <c r="AH992" i="3"/>
  <c r="AI992" i="3"/>
  <c r="AJ992" i="3"/>
  <c r="AK992" i="3"/>
  <c r="AM992" i="3" s="1"/>
  <c r="AN992" i="3"/>
  <c r="AB993" i="3"/>
  <c r="AC993" i="3"/>
  <c r="AD993" i="3"/>
  <c r="AE993" i="3"/>
  <c r="AF993" i="3"/>
  <c r="AG993" i="3"/>
  <c r="AH993" i="3"/>
  <c r="AI993" i="3"/>
  <c r="AJ993" i="3"/>
  <c r="AK993" i="3"/>
  <c r="AM993" i="3" s="1"/>
  <c r="AN993" i="3"/>
  <c r="AB994" i="3"/>
  <c r="AC994" i="3"/>
  <c r="AD994" i="3"/>
  <c r="AE994" i="3"/>
  <c r="AF994" i="3"/>
  <c r="AG994" i="3"/>
  <c r="AH994" i="3"/>
  <c r="AI994" i="3"/>
  <c r="AJ994" i="3"/>
  <c r="AK994" i="3"/>
  <c r="AM994" i="3" s="1"/>
  <c r="AN994" i="3"/>
  <c r="AB995" i="3"/>
  <c r="AC995" i="3"/>
  <c r="AD995" i="3"/>
  <c r="AE995" i="3"/>
  <c r="AF995" i="3"/>
  <c r="AG995" i="3"/>
  <c r="AH995" i="3"/>
  <c r="AI995" i="3"/>
  <c r="AJ995" i="3"/>
  <c r="AK995" i="3"/>
  <c r="AM995" i="3" s="1"/>
  <c r="AN995" i="3"/>
  <c r="AB996" i="3"/>
  <c r="AC996" i="3"/>
  <c r="AD996" i="3"/>
  <c r="AE996" i="3"/>
  <c r="AF996" i="3"/>
  <c r="AG996" i="3"/>
  <c r="AH996" i="3"/>
  <c r="AI996" i="3"/>
  <c r="AJ996" i="3"/>
  <c r="AK996" i="3"/>
  <c r="AM996" i="3" s="1"/>
  <c r="AN996" i="3"/>
  <c r="AB997" i="3"/>
  <c r="AC997" i="3"/>
  <c r="AD997" i="3"/>
  <c r="AE997" i="3"/>
  <c r="AF997" i="3"/>
  <c r="AG997" i="3"/>
  <c r="AH997" i="3"/>
  <c r="AI997" i="3"/>
  <c r="AJ997" i="3"/>
  <c r="AK997" i="3"/>
  <c r="AM997" i="3" s="1"/>
  <c r="AN997" i="3"/>
  <c r="AB998" i="3"/>
  <c r="AC998" i="3"/>
  <c r="AD998" i="3"/>
  <c r="AE998" i="3"/>
  <c r="AF998" i="3"/>
  <c r="AG998" i="3"/>
  <c r="AH998" i="3"/>
  <c r="AI998" i="3"/>
  <c r="AJ998" i="3"/>
  <c r="AK998" i="3"/>
  <c r="AM998" i="3" s="1"/>
  <c r="AN998" i="3"/>
  <c r="AB999" i="3"/>
  <c r="AC999" i="3"/>
  <c r="AD999" i="3"/>
  <c r="AE999" i="3"/>
  <c r="AF999" i="3"/>
  <c r="AG999" i="3"/>
  <c r="AH999" i="3"/>
  <c r="AI999" i="3"/>
  <c r="AJ999" i="3"/>
  <c r="AK999" i="3"/>
  <c r="AM999" i="3" s="1"/>
  <c r="AN999" i="3"/>
  <c r="AB1000" i="3"/>
  <c r="AC1000" i="3"/>
  <c r="AD1000" i="3"/>
  <c r="AE1000" i="3"/>
  <c r="AF1000" i="3"/>
  <c r="AG1000" i="3"/>
  <c r="AH1000" i="3"/>
  <c r="AI1000" i="3"/>
  <c r="AJ1000" i="3"/>
  <c r="AK1000" i="3"/>
  <c r="AM1000" i="3" s="1"/>
  <c r="AN1000" i="3"/>
  <c r="AB1001" i="3"/>
  <c r="AC1001" i="3"/>
  <c r="AD1001" i="3"/>
  <c r="AE1001" i="3"/>
  <c r="AF1001" i="3"/>
  <c r="AG1001" i="3"/>
  <c r="AH1001" i="3"/>
  <c r="AI1001" i="3"/>
  <c r="AJ1001" i="3"/>
  <c r="AK1001" i="3"/>
  <c r="AM1001" i="3" s="1"/>
  <c r="AN1001" i="3"/>
  <c r="AB1002" i="3"/>
  <c r="AC1002" i="3"/>
  <c r="AD1002" i="3"/>
  <c r="AE1002" i="3"/>
  <c r="AF1002" i="3"/>
  <c r="AG1002" i="3"/>
  <c r="AH1002" i="3"/>
  <c r="AI1002" i="3"/>
  <c r="AJ1002" i="3"/>
  <c r="AK1002" i="3"/>
  <c r="AM1002" i="3" s="1"/>
  <c r="AN1002" i="3"/>
  <c r="AB1003" i="3"/>
  <c r="AC1003" i="3"/>
  <c r="AD1003" i="3"/>
  <c r="AE1003" i="3"/>
  <c r="AF1003" i="3"/>
  <c r="AG1003" i="3"/>
  <c r="AH1003" i="3"/>
  <c r="AI1003" i="3"/>
  <c r="AJ1003" i="3"/>
  <c r="AK1003" i="3"/>
  <c r="AM1003" i="3" s="1"/>
  <c r="AN1003" i="3"/>
  <c r="AB1004" i="3"/>
  <c r="AC1004" i="3"/>
  <c r="AD1004" i="3"/>
  <c r="AE1004" i="3"/>
  <c r="AF1004" i="3"/>
  <c r="AG1004" i="3"/>
  <c r="AH1004" i="3"/>
  <c r="AI1004" i="3"/>
  <c r="AJ1004" i="3"/>
  <c r="AK1004" i="3"/>
  <c r="AM1004" i="3" s="1"/>
  <c r="AN1004" i="3"/>
  <c r="AB1005" i="3"/>
  <c r="AC1005" i="3"/>
  <c r="AD1005" i="3"/>
  <c r="AE1005" i="3"/>
  <c r="AF1005" i="3"/>
  <c r="AG1005" i="3"/>
  <c r="AH1005" i="3"/>
  <c r="AI1005" i="3"/>
  <c r="AJ1005" i="3"/>
  <c r="AK1005" i="3"/>
  <c r="AM1005" i="3" s="1"/>
  <c r="AN1005" i="3"/>
  <c r="AB1006" i="3"/>
  <c r="AC1006" i="3"/>
  <c r="AD1006" i="3"/>
  <c r="AE1006" i="3"/>
  <c r="AF1006" i="3"/>
  <c r="AG1006" i="3"/>
  <c r="AH1006" i="3"/>
  <c r="AI1006" i="3"/>
  <c r="AJ1006" i="3"/>
  <c r="AK1006" i="3"/>
  <c r="AM1006" i="3" s="1"/>
  <c r="AN1006" i="3"/>
  <c r="AB1007" i="3"/>
  <c r="AC1007" i="3"/>
  <c r="AD1007" i="3"/>
  <c r="AE1007" i="3"/>
  <c r="AF1007" i="3"/>
  <c r="AG1007" i="3"/>
  <c r="AH1007" i="3"/>
  <c r="AI1007" i="3"/>
  <c r="AJ1007" i="3"/>
  <c r="AK1007" i="3"/>
  <c r="AM1007" i="3" s="1"/>
  <c r="AN1007" i="3"/>
  <c r="AB1008" i="3"/>
  <c r="AC1008" i="3"/>
  <c r="AD1008" i="3"/>
  <c r="AE1008" i="3"/>
  <c r="AF1008" i="3"/>
  <c r="AG1008" i="3"/>
  <c r="AH1008" i="3"/>
  <c r="AI1008" i="3"/>
  <c r="AJ1008" i="3"/>
  <c r="AK1008" i="3"/>
  <c r="AM1008" i="3" s="1"/>
  <c r="AN1008" i="3"/>
  <c r="AB1009" i="3"/>
  <c r="AC1009" i="3"/>
  <c r="AD1009" i="3"/>
  <c r="AE1009" i="3"/>
  <c r="AF1009" i="3"/>
  <c r="AG1009" i="3"/>
  <c r="AH1009" i="3"/>
  <c r="AI1009" i="3"/>
  <c r="AJ1009" i="3"/>
  <c r="AK1009" i="3"/>
  <c r="AM1009" i="3" s="1"/>
  <c r="AN1009" i="3"/>
  <c r="AB1010" i="3"/>
  <c r="AC1010" i="3"/>
  <c r="AD1010" i="3"/>
  <c r="AE1010" i="3"/>
  <c r="AF1010" i="3"/>
  <c r="AG1010" i="3"/>
  <c r="AH1010" i="3"/>
  <c r="AI1010" i="3"/>
  <c r="AJ1010" i="3"/>
  <c r="AK1010" i="3"/>
  <c r="AM1010" i="3" s="1"/>
  <c r="AN1010" i="3"/>
  <c r="AB1011" i="3"/>
  <c r="AC1011" i="3"/>
  <c r="AD1011" i="3"/>
  <c r="AE1011" i="3"/>
  <c r="AF1011" i="3"/>
  <c r="AG1011" i="3"/>
  <c r="AH1011" i="3"/>
  <c r="AI1011" i="3"/>
  <c r="AJ1011" i="3"/>
  <c r="AK1011" i="3"/>
  <c r="AM1011" i="3" s="1"/>
  <c r="AN1011" i="3"/>
  <c r="AB1012" i="3"/>
  <c r="AC1012" i="3"/>
  <c r="AD1012" i="3"/>
  <c r="AE1012" i="3"/>
  <c r="AF1012" i="3"/>
  <c r="AG1012" i="3"/>
  <c r="AH1012" i="3"/>
  <c r="AI1012" i="3"/>
  <c r="AJ1012" i="3"/>
  <c r="AK1012" i="3"/>
  <c r="AM1012" i="3" s="1"/>
  <c r="AN1012" i="3"/>
  <c r="AB1013" i="3"/>
  <c r="AC1013" i="3"/>
  <c r="AD1013" i="3"/>
  <c r="AE1013" i="3"/>
  <c r="AF1013" i="3"/>
  <c r="AG1013" i="3"/>
  <c r="AH1013" i="3"/>
  <c r="AI1013" i="3"/>
  <c r="AJ1013" i="3"/>
  <c r="AK1013" i="3"/>
  <c r="AM1013" i="3" s="1"/>
  <c r="AN1013" i="3"/>
  <c r="AB1014" i="3"/>
  <c r="AC1014" i="3"/>
  <c r="AD1014" i="3"/>
  <c r="AE1014" i="3"/>
  <c r="AF1014" i="3"/>
  <c r="AG1014" i="3"/>
  <c r="AH1014" i="3"/>
  <c r="AI1014" i="3"/>
  <c r="AJ1014" i="3"/>
  <c r="AK1014" i="3"/>
  <c r="AM1014" i="3" s="1"/>
  <c r="AN1014" i="3"/>
  <c r="AB1015" i="3"/>
  <c r="AC1015" i="3"/>
  <c r="AD1015" i="3"/>
  <c r="AE1015" i="3"/>
  <c r="AF1015" i="3"/>
  <c r="AG1015" i="3"/>
  <c r="AH1015" i="3"/>
  <c r="AI1015" i="3"/>
  <c r="AJ1015" i="3"/>
  <c r="AK1015" i="3"/>
  <c r="AM1015" i="3" s="1"/>
  <c r="AN1015" i="3"/>
  <c r="AB1016" i="3"/>
  <c r="AC1016" i="3"/>
  <c r="AD1016" i="3"/>
  <c r="AE1016" i="3"/>
  <c r="AF1016" i="3"/>
  <c r="AG1016" i="3"/>
  <c r="AH1016" i="3"/>
  <c r="AI1016" i="3"/>
  <c r="AJ1016" i="3"/>
  <c r="AK1016" i="3"/>
  <c r="AM1016" i="3" s="1"/>
  <c r="AN1016" i="3"/>
  <c r="AB1017" i="3"/>
  <c r="AC1017" i="3"/>
  <c r="AD1017" i="3"/>
  <c r="AE1017" i="3"/>
  <c r="AF1017" i="3"/>
  <c r="AG1017" i="3"/>
  <c r="AH1017" i="3"/>
  <c r="AI1017" i="3"/>
  <c r="AJ1017" i="3"/>
  <c r="AK1017" i="3"/>
  <c r="AM1017" i="3" s="1"/>
  <c r="AN1017" i="3"/>
  <c r="AB1018" i="3"/>
  <c r="AC1018" i="3"/>
  <c r="AD1018" i="3"/>
  <c r="AE1018" i="3"/>
  <c r="AF1018" i="3"/>
  <c r="AG1018" i="3"/>
  <c r="AH1018" i="3"/>
  <c r="AI1018" i="3"/>
  <c r="AJ1018" i="3"/>
  <c r="AK1018" i="3"/>
  <c r="AM1018" i="3" s="1"/>
  <c r="AN1018" i="3"/>
  <c r="AB1019" i="3"/>
  <c r="AC1019" i="3"/>
  <c r="AD1019" i="3"/>
  <c r="AE1019" i="3"/>
  <c r="AF1019" i="3"/>
  <c r="AG1019" i="3"/>
  <c r="AH1019" i="3"/>
  <c r="AI1019" i="3"/>
  <c r="AJ1019" i="3"/>
  <c r="AK1019" i="3"/>
  <c r="AM1019" i="3" s="1"/>
  <c r="AN1019" i="3"/>
  <c r="AB1020" i="3"/>
  <c r="AC1020" i="3"/>
  <c r="AD1020" i="3"/>
  <c r="AE1020" i="3"/>
  <c r="AF1020" i="3"/>
  <c r="AG1020" i="3"/>
  <c r="AH1020" i="3"/>
  <c r="AI1020" i="3"/>
  <c r="AJ1020" i="3"/>
  <c r="AK1020" i="3"/>
  <c r="AM1020" i="3" s="1"/>
  <c r="AN1020" i="3"/>
  <c r="AB1021" i="3"/>
  <c r="AC1021" i="3"/>
  <c r="AD1021" i="3"/>
  <c r="AE1021" i="3"/>
  <c r="AF1021" i="3"/>
  <c r="AG1021" i="3"/>
  <c r="AH1021" i="3"/>
  <c r="AI1021" i="3"/>
  <c r="AJ1021" i="3"/>
  <c r="AK1021" i="3"/>
  <c r="AM1021" i="3" s="1"/>
  <c r="AN1021" i="3"/>
  <c r="AB1022" i="3"/>
  <c r="AC1022" i="3"/>
  <c r="AD1022" i="3"/>
  <c r="AE1022" i="3"/>
  <c r="AF1022" i="3"/>
  <c r="AG1022" i="3"/>
  <c r="AH1022" i="3"/>
  <c r="AI1022" i="3"/>
  <c r="AJ1022" i="3"/>
  <c r="AK1022" i="3"/>
  <c r="AM1022" i="3" s="1"/>
  <c r="AN1022" i="3"/>
  <c r="AB1023" i="3"/>
  <c r="AC1023" i="3"/>
  <c r="AD1023" i="3"/>
  <c r="AE1023" i="3"/>
  <c r="AF1023" i="3"/>
  <c r="AG1023" i="3"/>
  <c r="AH1023" i="3"/>
  <c r="AI1023" i="3"/>
  <c r="AJ1023" i="3"/>
  <c r="AK1023" i="3"/>
  <c r="AM1023" i="3" s="1"/>
  <c r="AN1023" i="3"/>
  <c r="AB1024" i="3"/>
  <c r="AC1024" i="3"/>
  <c r="AD1024" i="3"/>
  <c r="AE1024" i="3"/>
  <c r="AF1024" i="3"/>
  <c r="AG1024" i="3"/>
  <c r="AH1024" i="3"/>
  <c r="AI1024" i="3"/>
  <c r="AJ1024" i="3"/>
  <c r="AK1024" i="3"/>
  <c r="AM1024" i="3" s="1"/>
  <c r="AN1024" i="3"/>
  <c r="AB1025" i="3"/>
  <c r="AC1025" i="3"/>
  <c r="AD1025" i="3"/>
  <c r="AE1025" i="3"/>
  <c r="AF1025" i="3"/>
  <c r="AG1025" i="3"/>
  <c r="AH1025" i="3"/>
  <c r="AI1025" i="3"/>
  <c r="AJ1025" i="3"/>
  <c r="AK1025" i="3"/>
  <c r="AM1025" i="3" s="1"/>
  <c r="AN1025" i="3"/>
  <c r="AB1026" i="3"/>
  <c r="AC1026" i="3"/>
  <c r="AD1026" i="3"/>
  <c r="AE1026" i="3"/>
  <c r="AF1026" i="3"/>
  <c r="AG1026" i="3"/>
  <c r="AH1026" i="3"/>
  <c r="AI1026" i="3"/>
  <c r="AJ1026" i="3"/>
  <c r="AK1026" i="3"/>
  <c r="AM1026" i="3" s="1"/>
  <c r="AN1026" i="3"/>
  <c r="AB1027" i="3"/>
  <c r="AC1027" i="3"/>
  <c r="AD1027" i="3"/>
  <c r="AE1027" i="3"/>
  <c r="AF1027" i="3"/>
  <c r="AG1027" i="3"/>
  <c r="AH1027" i="3"/>
  <c r="AI1027" i="3"/>
  <c r="AJ1027" i="3"/>
  <c r="AK1027" i="3"/>
  <c r="AM1027" i="3" s="1"/>
  <c r="AN1027" i="3"/>
  <c r="AB1028" i="3"/>
  <c r="AC1028" i="3"/>
  <c r="AD1028" i="3"/>
  <c r="AE1028" i="3"/>
  <c r="AF1028" i="3"/>
  <c r="AG1028" i="3"/>
  <c r="AH1028" i="3"/>
  <c r="AI1028" i="3"/>
  <c r="AJ1028" i="3"/>
  <c r="AK1028" i="3"/>
  <c r="AM1028" i="3" s="1"/>
  <c r="AN1028" i="3"/>
  <c r="AB1029" i="3"/>
  <c r="AC1029" i="3"/>
  <c r="AD1029" i="3"/>
  <c r="AE1029" i="3"/>
  <c r="AF1029" i="3"/>
  <c r="AG1029" i="3"/>
  <c r="AH1029" i="3"/>
  <c r="AI1029" i="3"/>
  <c r="AJ1029" i="3"/>
  <c r="AK1029" i="3"/>
  <c r="AM1029" i="3" s="1"/>
  <c r="AN1029" i="3"/>
  <c r="AB1030" i="3"/>
  <c r="AC1030" i="3"/>
  <c r="AD1030" i="3"/>
  <c r="AE1030" i="3"/>
  <c r="AF1030" i="3"/>
  <c r="AG1030" i="3"/>
  <c r="AH1030" i="3"/>
  <c r="AI1030" i="3"/>
  <c r="AJ1030" i="3"/>
  <c r="AK1030" i="3"/>
  <c r="AM1030" i="3" s="1"/>
  <c r="AN1030" i="3"/>
  <c r="AB1031" i="3"/>
  <c r="AC1031" i="3"/>
  <c r="AD1031" i="3"/>
  <c r="AE1031" i="3"/>
  <c r="AF1031" i="3"/>
  <c r="AG1031" i="3"/>
  <c r="AH1031" i="3"/>
  <c r="AI1031" i="3"/>
  <c r="AJ1031" i="3"/>
  <c r="AK1031" i="3"/>
  <c r="AM1031" i="3" s="1"/>
  <c r="AN1031" i="3"/>
  <c r="AB1032" i="3"/>
  <c r="AC1032" i="3"/>
  <c r="AD1032" i="3"/>
  <c r="AE1032" i="3"/>
  <c r="AF1032" i="3"/>
  <c r="AG1032" i="3"/>
  <c r="AH1032" i="3"/>
  <c r="AI1032" i="3"/>
  <c r="AJ1032" i="3"/>
  <c r="AK1032" i="3"/>
  <c r="AM1032" i="3" s="1"/>
  <c r="AN1032" i="3"/>
  <c r="AB1033" i="3"/>
  <c r="AC1033" i="3"/>
  <c r="AD1033" i="3"/>
  <c r="AE1033" i="3"/>
  <c r="AF1033" i="3"/>
  <c r="AG1033" i="3"/>
  <c r="AH1033" i="3"/>
  <c r="AI1033" i="3"/>
  <c r="AJ1033" i="3"/>
  <c r="AK1033" i="3"/>
  <c r="AM1033" i="3" s="1"/>
  <c r="AN1033" i="3"/>
  <c r="AB1034" i="3"/>
  <c r="AC1034" i="3"/>
  <c r="AD1034" i="3"/>
  <c r="AE1034" i="3"/>
  <c r="AF1034" i="3"/>
  <c r="AG1034" i="3"/>
  <c r="AH1034" i="3"/>
  <c r="AI1034" i="3"/>
  <c r="AJ1034" i="3"/>
  <c r="AK1034" i="3"/>
  <c r="AM1034" i="3" s="1"/>
  <c r="AN1034" i="3"/>
  <c r="AB1035" i="3"/>
  <c r="AC1035" i="3"/>
  <c r="AD1035" i="3"/>
  <c r="AE1035" i="3"/>
  <c r="AF1035" i="3"/>
  <c r="AG1035" i="3"/>
  <c r="AH1035" i="3"/>
  <c r="AI1035" i="3"/>
  <c r="AJ1035" i="3"/>
  <c r="AK1035" i="3"/>
  <c r="AM1035" i="3" s="1"/>
  <c r="AN1035" i="3"/>
  <c r="AB1036" i="3"/>
  <c r="AC1036" i="3"/>
  <c r="AD1036" i="3"/>
  <c r="AE1036" i="3"/>
  <c r="AF1036" i="3"/>
  <c r="AG1036" i="3"/>
  <c r="AH1036" i="3"/>
  <c r="AI1036" i="3"/>
  <c r="AJ1036" i="3"/>
  <c r="AK1036" i="3"/>
  <c r="AM1036" i="3" s="1"/>
  <c r="AN1036" i="3"/>
  <c r="AB1037" i="3"/>
  <c r="AC1037" i="3"/>
  <c r="AD1037" i="3"/>
  <c r="AE1037" i="3"/>
  <c r="AF1037" i="3"/>
  <c r="AG1037" i="3"/>
  <c r="AH1037" i="3"/>
  <c r="AI1037" i="3"/>
  <c r="AJ1037" i="3"/>
  <c r="AK1037" i="3"/>
  <c r="AM1037" i="3" s="1"/>
  <c r="AN1037" i="3"/>
  <c r="AB1038" i="3"/>
  <c r="AC1038" i="3"/>
  <c r="AD1038" i="3"/>
  <c r="AE1038" i="3"/>
  <c r="AF1038" i="3"/>
  <c r="AG1038" i="3"/>
  <c r="AH1038" i="3"/>
  <c r="AI1038" i="3"/>
  <c r="AJ1038" i="3"/>
  <c r="AK1038" i="3"/>
  <c r="AM1038" i="3" s="1"/>
  <c r="AN1038" i="3"/>
  <c r="AB1039" i="3"/>
  <c r="AC1039" i="3"/>
  <c r="AD1039" i="3"/>
  <c r="AE1039" i="3"/>
  <c r="AF1039" i="3"/>
  <c r="AG1039" i="3"/>
  <c r="AH1039" i="3"/>
  <c r="AI1039" i="3"/>
  <c r="AJ1039" i="3"/>
  <c r="AK1039" i="3"/>
  <c r="AM1039" i="3" s="1"/>
  <c r="AN1039" i="3"/>
  <c r="AB1040" i="3"/>
  <c r="AC1040" i="3"/>
  <c r="AD1040" i="3"/>
  <c r="AE1040" i="3"/>
  <c r="AF1040" i="3"/>
  <c r="AG1040" i="3"/>
  <c r="AH1040" i="3"/>
  <c r="AI1040" i="3"/>
  <c r="AJ1040" i="3"/>
  <c r="AK1040" i="3"/>
  <c r="AM1040" i="3" s="1"/>
  <c r="AN1040" i="3"/>
  <c r="AB1041" i="3"/>
  <c r="AC1041" i="3"/>
  <c r="AD1041" i="3"/>
  <c r="AE1041" i="3"/>
  <c r="AF1041" i="3"/>
  <c r="AG1041" i="3"/>
  <c r="AH1041" i="3"/>
  <c r="AI1041" i="3"/>
  <c r="AJ1041" i="3"/>
  <c r="AK1041" i="3"/>
  <c r="AM1041" i="3" s="1"/>
  <c r="AN1041" i="3"/>
  <c r="AB1042" i="3"/>
  <c r="AC1042" i="3"/>
  <c r="AD1042" i="3"/>
  <c r="AE1042" i="3"/>
  <c r="AF1042" i="3"/>
  <c r="AG1042" i="3"/>
  <c r="AH1042" i="3"/>
  <c r="AI1042" i="3"/>
  <c r="AJ1042" i="3"/>
  <c r="AK1042" i="3"/>
  <c r="AM1042" i="3" s="1"/>
  <c r="AN1042" i="3"/>
  <c r="AB1043" i="3"/>
  <c r="AC1043" i="3"/>
  <c r="AD1043" i="3"/>
  <c r="AE1043" i="3"/>
  <c r="AF1043" i="3"/>
  <c r="AG1043" i="3"/>
  <c r="AH1043" i="3"/>
  <c r="AI1043" i="3"/>
  <c r="AJ1043" i="3"/>
  <c r="AK1043" i="3"/>
  <c r="AM1043" i="3" s="1"/>
  <c r="AN1043" i="3"/>
  <c r="AB1044" i="3"/>
  <c r="AC1044" i="3"/>
  <c r="AD1044" i="3"/>
  <c r="AE1044" i="3"/>
  <c r="AF1044" i="3"/>
  <c r="AG1044" i="3"/>
  <c r="AH1044" i="3"/>
  <c r="AI1044" i="3"/>
  <c r="AJ1044" i="3"/>
  <c r="AK1044" i="3"/>
  <c r="AM1044" i="3" s="1"/>
  <c r="AN1044" i="3"/>
  <c r="AB1045" i="3"/>
  <c r="AC1045" i="3"/>
  <c r="AD1045" i="3"/>
  <c r="AE1045" i="3"/>
  <c r="AF1045" i="3"/>
  <c r="AG1045" i="3"/>
  <c r="AH1045" i="3"/>
  <c r="AI1045" i="3"/>
  <c r="AJ1045" i="3"/>
  <c r="AK1045" i="3"/>
  <c r="AM1045" i="3" s="1"/>
  <c r="AN1045" i="3"/>
  <c r="AB1046" i="3"/>
  <c r="AC1046" i="3"/>
  <c r="AD1046" i="3"/>
  <c r="AE1046" i="3"/>
  <c r="AF1046" i="3"/>
  <c r="AG1046" i="3"/>
  <c r="AH1046" i="3"/>
  <c r="AI1046" i="3"/>
  <c r="AJ1046" i="3"/>
  <c r="AK1046" i="3"/>
  <c r="AM1046" i="3" s="1"/>
  <c r="AN1046" i="3"/>
  <c r="AB1047" i="3"/>
  <c r="AC1047" i="3"/>
  <c r="AD1047" i="3"/>
  <c r="AE1047" i="3"/>
  <c r="AF1047" i="3"/>
  <c r="AG1047" i="3"/>
  <c r="AH1047" i="3"/>
  <c r="AI1047" i="3"/>
  <c r="AJ1047" i="3"/>
  <c r="AK1047" i="3"/>
  <c r="AM1047" i="3" s="1"/>
  <c r="AN1047" i="3"/>
  <c r="AB1048" i="3"/>
  <c r="AC1048" i="3"/>
  <c r="AD1048" i="3"/>
  <c r="AE1048" i="3"/>
  <c r="AF1048" i="3"/>
  <c r="AG1048" i="3"/>
  <c r="AH1048" i="3"/>
  <c r="AI1048" i="3"/>
  <c r="AJ1048" i="3"/>
  <c r="AK1048" i="3"/>
  <c r="AM1048" i="3" s="1"/>
  <c r="AN1048" i="3"/>
  <c r="AB1049" i="3"/>
  <c r="AC1049" i="3"/>
  <c r="AD1049" i="3"/>
  <c r="AE1049" i="3"/>
  <c r="AF1049" i="3"/>
  <c r="AG1049" i="3"/>
  <c r="AH1049" i="3"/>
  <c r="AI1049" i="3"/>
  <c r="AJ1049" i="3"/>
  <c r="AK1049" i="3"/>
  <c r="AM1049" i="3" s="1"/>
  <c r="AN1049" i="3"/>
  <c r="AB1050" i="3"/>
  <c r="AC1050" i="3"/>
  <c r="AD1050" i="3"/>
  <c r="AE1050" i="3"/>
  <c r="AF1050" i="3"/>
  <c r="AG1050" i="3"/>
  <c r="AH1050" i="3"/>
  <c r="AI1050" i="3"/>
  <c r="AJ1050" i="3"/>
  <c r="AK1050" i="3"/>
  <c r="AM1050" i="3" s="1"/>
  <c r="AN1050" i="3"/>
  <c r="AB1051" i="3"/>
  <c r="AC1051" i="3"/>
  <c r="AD1051" i="3"/>
  <c r="AE1051" i="3"/>
  <c r="AF1051" i="3"/>
  <c r="AG1051" i="3"/>
  <c r="AH1051" i="3"/>
  <c r="AI1051" i="3"/>
  <c r="AJ1051" i="3"/>
  <c r="AK1051" i="3"/>
  <c r="AM1051" i="3" s="1"/>
  <c r="AN1051" i="3"/>
  <c r="AB1052" i="3"/>
  <c r="AC1052" i="3"/>
  <c r="AD1052" i="3"/>
  <c r="AE1052" i="3"/>
  <c r="AF1052" i="3"/>
  <c r="AG1052" i="3"/>
  <c r="AH1052" i="3"/>
  <c r="AI1052" i="3"/>
  <c r="AJ1052" i="3"/>
  <c r="AK1052" i="3"/>
  <c r="AM1052" i="3" s="1"/>
  <c r="AN1052" i="3"/>
  <c r="AB1053" i="3"/>
  <c r="AC1053" i="3"/>
  <c r="AD1053" i="3"/>
  <c r="AE1053" i="3"/>
  <c r="AF1053" i="3"/>
  <c r="AG1053" i="3"/>
  <c r="AH1053" i="3"/>
  <c r="AI1053" i="3"/>
  <c r="AJ1053" i="3"/>
  <c r="AK1053" i="3"/>
  <c r="AM1053" i="3" s="1"/>
  <c r="AN1053" i="3"/>
  <c r="AB1054" i="3"/>
  <c r="AC1054" i="3"/>
  <c r="AD1054" i="3"/>
  <c r="AE1054" i="3"/>
  <c r="AF1054" i="3"/>
  <c r="AG1054" i="3"/>
  <c r="AH1054" i="3"/>
  <c r="AI1054" i="3"/>
  <c r="AJ1054" i="3"/>
  <c r="AK1054" i="3"/>
  <c r="AM1054" i="3" s="1"/>
  <c r="AN1054" i="3"/>
  <c r="AB1055" i="3"/>
  <c r="AC1055" i="3"/>
  <c r="AD1055" i="3"/>
  <c r="AE1055" i="3"/>
  <c r="AF1055" i="3"/>
  <c r="AG1055" i="3"/>
  <c r="AH1055" i="3"/>
  <c r="AI1055" i="3"/>
  <c r="AJ1055" i="3"/>
  <c r="AK1055" i="3"/>
  <c r="AM1055" i="3" s="1"/>
  <c r="AN1055" i="3"/>
  <c r="AB1056" i="3"/>
  <c r="AC1056" i="3"/>
  <c r="AD1056" i="3"/>
  <c r="AE1056" i="3"/>
  <c r="AF1056" i="3"/>
  <c r="AG1056" i="3"/>
  <c r="AH1056" i="3"/>
  <c r="AI1056" i="3"/>
  <c r="AJ1056" i="3"/>
  <c r="AK1056" i="3"/>
  <c r="AM1056" i="3" s="1"/>
  <c r="AN1056" i="3"/>
  <c r="AB1057" i="3"/>
  <c r="AC1057" i="3"/>
  <c r="AD1057" i="3"/>
  <c r="AE1057" i="3"/>
  <c r="AF1057" i="3"/>
  <c r="AG1057" i="3"/>
  <c r="AH1057" i="3"/>
  <c r="AI1057" i="3"/>
  <c r="AJ1057" i="3"/>
  <c r="AK1057" i="3"/>
  <c r="AM1057" i="3" s="1"/>
  <c r="AN1057" i="3"/>
  <c r="AB1058" i="3"/>
  <c r="AC1058" i="3"/>
  <c r="AD1058" i="3"/>
  <c r="AE1058" i="3"/>
  <c r="AF1058" i="3"/>
  <c r="AG1058" i="3"/>
  <c r="AH1058" i="3"/>
  <c r="AI1058" i="3"/>
  <c r="AJ1058" i="3"/>
  <c r="AK1058" i="3"/>
  <c r="AM1058" i="3" s="1"/>
  <c r="AN1058" i="3"/>
  <c r="AB1059" i="3"/>
  <c r="AC1059" i="3"/>
  <c r="AD1059" i="3"/>
  <c r="AE1059" i="3"/>
  <c r="AF1059" i="3"/>
  <c r="AG1059" i="3"/>
  <c r="AH1059" i="3"/>
  <c r="AI1059" i="3"/>
  <c r="AJ1059" i="3"/>
  <c r="AK1059" i="3"/>
  <c r="AM1059" i="3" s="1"/>
  <c r="AN1059" i="3"/>
  <c r="AB1060" i="3"/>
  <c r="AC1060" i="3"/>
  <c r="AD1060" i="3"/>
  <c r="AE1060" i="3"/>
  <c r="AF1060" i="3"/>
  <c r="AG1060" i="3"/>
  <c r="AH1060" i="3"/>
  <c r="AI1060" i="3"/>
  <c r="AJ1060" i="3"/>
  <c r="AK1060" i="3"/>
  <c r="AM1060" i="3" s="1"/>
  <c r="AN1060" i="3"/>
  <c r="AB1061" i="3"/>
  <c r="AC1061" i="3"/>
  <c r="AD1061" i="3"/>
  <c r="AE1061" i="3"/>
  <c r="AF1061" i="3"/>
  <c r="AG1061" i="3"/>
  <c r="AH1061" i="3"/>
  <c r="AI1061" i="3"/>
  <c r="AJ1061" i="3"/>
  <c r="AK1061" i="3"/>
  <c r="AM1061" i="3" s="1"/>
  <c r="AN1061" i="3"/>
  <c r="AB1062" i="3"/>
  <c r="AC1062" i="3"/>
  <c r="AD1062" i="3"/>
  <c r="AE1062" i="3"/>
  <c r="AF1062" i="3"/>
  <c r="AG1062" i="3"/>
  <c r="AH1062" i="3"/>
  <c r="AI1062" i="3"/>
  <c r="AJ1062" i="3"/>
  <c r="AK1062" i="3"/>
  <c r="AM1062" i="3" s="1"/>
  <c r="AN1062" i="3"/>
  <c r="AB1063" i="3"/>
  <c r="AC1063" i="3"/>
  <c r="AD1063" i="3"/>
  <c r="AE1063" i="3"/>
  <c r="AF1063" i="3"/>
  <c r="AG1063" i="3"/>
  <c r="AH1063" i="3"/>
  <c r="AI1063" i="3"/>
  <c r="AJ1063" i="3"/>
  <c r="AK1063" i="3"/>
  <c r="AM1063" i="3" s="1"/>
  <c r="AN1063" i="3"/>
  <c r="AB1064" i="3"/>
  <c r="AC1064" i="3"/>
  <c r="AD1064" i="3"/>
  <c r="AE1064" i="3"/>
  <c r="AF1064" i="3"/>
  <c r="AG1064" i="3"/>
  <c r="AH1064" i="3"/>
  <c r="AI1064" i="3"/>
  <c r="AJ1064" i="3"/>
  <c r="AK1064" i="3"/>
  <c r="AM1064" i="3" s="1"/>
  <c r="AN1064" i="3"/>
  <c r="AB1065" i="3"/>
  <c r="AC1065" i="3"/>
  <c r="AD1065" i="3"/>
  <c r="AE1065" i="3"/>
  <c r="AF1065" i="3"/>
  <c r="AG1065" i="3"/>
  <c r="AH1065" i="3"/>
  <c r="AI1065" i="3"/>
  <c r="AJ1065" i="3"/>
  <c r="AK1065" i="3"/>
  <c r="AM1065" i="3" s="1"/>
  <c r="AN1065" i="3"/>
  <c r="AB1066" i="3"/>
  <c r="AC1066" i="3"/>
  <c r="AD1066" i="3"/>
  <c r="AE1066" i="3"/>
  <c r="AF1066" i="3"/>
  <c r="AG1066" i="3"/>
  <c r="AH1066" i="3"/>
  <c r="AI1066" i="3"/>
  <c r="AJ1066" i="3"/>
  <c r="AK1066" i="3"/>
  <c r="AM1066" i="3" s="1"/>
  <c r="AN1066" i="3"/>
  <c r="AB1067" i="3"/>
  <c r="AC1067" i="3"/>
  <c r="AD1067" i="3"/>
  <c r="AE1067" i="3"/>
  <c r="AF1067" i="3"/>
  <c r="AG1067" i="3"/>
  <c r="AH1067" i="3"/>
  <c r="AI1067" i="3"/>
  <c r="AJ1067" i="3"/>
  <c r="AK1067" i="3"/>
  <c r="AM1067" i="3" s="1"/>
  <c r="AN1067" i="3"/>
  <c r="AB1068" i="3"/>
  <c r="AC1068" i="3"/>
  <c r="AD1068" i="3"/>
  <c r="AE1068" i="3"/>
  <c r="AF1068" i="3"/>
  <c r="AG1068" i="3"/>
  <c r="AH1068" i="3"/>
  <c r="AI1068" i="3"/>
  <c r="AJ1068" i="3"/>
  <c r="AK1068" i="3"/>
  <c r="AM1068" i="3" s="1"/>
  <c r="AN1068" i="3"/>
  <c r="AB1069" i="3"/>
  <c r="AC1069" i="3"/>
  <c r="AD1069" i="3"/>
  <c r="AE1069" i="3"/>
  <c r="AF1069" i="3"/>
  <c r="AG1069" i="3"/>
  <c r="AH1069" i="3"/>
  <c r="AI1069" i="3"/>
  <c r="AJ1069" i="3"/>
  <c r="AK1069" i="3"/>
  <c r="AM1069" i="3" s="1"/>
  <c r="AN1069" i="3"/>
  <c r="AB1070" i="3"/>
  <c r="AC1070" i="3"/>
  <c r="AD1070" i="3"/>
  <c r="AE1070" i="3"/>
  <c r="AF1070" i="3"/>
  <c r="AG1070" i="3"/>
  <c r="AH1070" i="3"/>
  <c r="AI1070" i="3"/>
  <c r="AJ1070" i="3"/>
  <c r="AK1070" i="3"/>
  <c r="AM1070" i="3" s="1"/>
  <c r="AN1070" i="3"/>
  <c r="AB1071" i="3"/>
  <c r="AC1071" i="3"/>
  <c r="AD1071" i="3"/>
  <c r="AE1071" i="3"/>
  <c r="AF1071" i="3"/>
  <c r="AG1071" i="3"/>
  <c r="AH1071" i="3"/>
  <c r="AI1071" i="3"/>
  <c r="AJ1071" i="3"/>
  <c r="AK1071" i="3"/>
  <c r="AM1071" i="3" s="1"/>
  <c r="AN1071" i="3"/>
  <c r="AB1072" i="3"/>
  <c r="AC1072" i="3"/>
  <c r="AD1072" i="3"/>
  <c r="AE1072" i="3"/>
  <c r="AF1072" i="3"/>
  <c r="AG1072" i="3"/>
  <c r="AH1072" i="3"/>
  <c r="AI1072" i="3"/>
  <c r="AJ1072" i="3"/>
  <c r="AK1072" i="3"/>
  <c r="AM1072" i="3" s="1"/>
  <c r="AN1072" i="3"/>
  <c r="AB1073" i="3"/>
  <c r="AC1073" i="3"/>
  <c r="AD1073" i="3"/>
  <c r="AE1073" i="3"/>
  <c r="AF1073" i="3"/>
  <c r="AG1073" i="3"/>
  <c r="AH1073" i="3"/>
  <c r="AI1073" i="3"/>
  <c r="AJ1073" i="3"/>
  <c r="AK1073" i="3"/>
  <c r="AM1073" i="3" s="1"/>
  <c r="AN1073" i="3"/>
  <c r="AB1074" i="3"/>
  <c r="AC1074" i="3"/>
  <c r="AD1074" i="3"/>
  <c r="AE1074" i="3"/>
  <c r="AF1074" i="3"/>
  <c r="AG1074" i="3"/>
  <c r="AH1074" i="3"/>
  <c r="AI1074" i="3"/>
  <c r="AJ1074" i="3"/>
  <c r="AK1074" i="3"/>
  <c r="AM1074" i="3" s="1"/>
  <c r="AN1074" i="3"/>
  <c r="AB1075" i="3"/>
  <c r="AC1075" i="3"/>
  <c r="AD1075" i="3"/>
  <c r="AE1075" i="3"/>
  <c r="AF1075" i="3"/>
  <c r="AG1075" i="3"/>
  <c r="AH1075" i="3"/>
  <c r="AI1075" i="3"/>
  <c r="AJ1075" i="3"/>
  <c r="AK1075" i="3"/>
  <c r="AM1075" i="3" s="1"/>
  <c r="AN1075" i="3"/>
  <c r="AB1076" i="3"/>
  <c r="AC1076" i="3"/>
  <c r="AD1076" i="3"/>
  <c r="AE1076" i="3"/>
  <c r="AF1076" i="3"/>
  <c r="AG1076" i="3"/>
  <c r="AH1076" i="3"/>
  <c r="AI1076" i="3"/>
  <c r="AJ1076" i="3"/>
  <c r="AK1076" i="3"/>
  <c r="AM1076" i="3" s="1"/>
  <c r="AN1076" i="3"/>
  <c r="AB1077" i="3"/>
  <c r="AC1077" i="3"/>
  <c r="AD1077" i="3"/>
  <c r="AE1077" i="3"/>
  <c r="AF1077" i="3"/>
  <c r="AG1077" i="3"/>
  <c r="AH1077" i="3"/>
  <c r="AI1077" i="3"/>
  <c r="AJ1077" i="3"/>
  <c r="AK1077" i="3"/>
  <c r="AM1077" i="3" s="1"/>
  <c r="AN1077" i="3"/>
  <c r="AB1078" i="3"/>
  <c r="AC1078" i="3"/>
  <c r="AD1078" i="3"/>
  <c r="AE1078" i="3"/>
  <c r="AF1078" i="3"/>
  <c r="AG1078" i="3"/>
  <c r="AH1078" i="3"/>
  <c r="AI1078" i="3"/>
  <c r="AJ1078" i="3"/>
  <c r="AK1078" i="3"/>
  <c r="AM1078" i="3" s="1"/>
  <c r="AN1078" i="3"/>
  <c r="AB1079" i="3"/>
  <c r="AC1079" i="3"/>
  <c r="AD1079" i="3"/>
  <c r="AE1079" i="3"/>
  <c r="AF1079" i="3"/>
  <c r="AG1079" i="3"/>
  <c r="AH1079" i="3"/>
  <c r="AI1079" i="3"/>
  <c r="AJ1079" i="3"/>
  <c r="AK1079" i="3"/>
  <c r="AM1079" i="3" s="1"/>
  <c r="AN1079" i="3"/>
  <c r="AB1080" i="3"/>
  <c r="AC1080" i="3"/>
  <c r="AD1080" i="3"/>
  <c r="AE1080" i="3"/>
  <c r="AF1080" i="3"/>
  <c r="AG1080" i="3"/>
  <c r="AH1080" i="3"/>
  <c r="AI1080" i="3"/>
  <c r="AJ1080" i="3"/>
  <c r="AK1080" i="3"/>
  <c r="AM1080" i="3" s="1"/>
  <c r="AN1080" i="3"/>
  <c r="AB1081" i="3"/>
  <c r="AC1081" i="3"/>
  <c r="AD1081" i="3"/>
  <c r="AE1081" i="3"/>
  <c r="AF1081" i="3"/>
  <c r="AG1081" i="3"/>
  <c r="AH1081" i="3"/>
  <c r="AI1081" i="3"/>
  <c r="AJ1081" i="3"/>
  <c r="AK1081" i="3"/>
  <c r="AM1081" i="3" s="1"/>
  <c r="AN1081" i="3"/>
  <c r="AB1082" i="3"/>
  <c r="AC1082" i="3"/>
  <c r="AD1082" i="3"/>
  <c r="AE1082" i="3"/>
  <c r="AF1082" i="3"/>
  <c r="AG1082" i="3"/>
  <c r="AH1082" i="3"/>
  <c r="AI1082" i="3"/>
  <c r="AJ1082" i="3"/>
  <c r="AK1082" i="3"/>
  <c r="AM1082" i="3" s="1"/>
  <c r="AN1082" i="3"/>
  <c r="AB1083" i="3"/>
  <c r="AC1083" i="3"/>
  <c r="AD1083" i="3"/>
  <c r="AE1083" i="3"/>
  <c r="AF1083" i="3"/>
  <c r="AG1083" i="3"/>
  <c r="AH1083" i="3"/>
  <c r="AI1083" i="3"/>
  <c r="AJ1083" i="3"/>
  <c r="AK1083" i="3"/>
  <c r="AM1083" i="3" s="1"/>
  <c r="AN1083" i="3"/>
  <c r="AB1084" i="3"/>
  <c r="AC1084" i="3"/>
  <c r="AD1084" i="3"/>
  <c r="AE1084" i="3"/>
  <c r="AF1084" i="3"/>
  <c r="AG1084" i="3"/>
  <c r="AH1084" i="3"/>
  <c r="AI1084" i="3"/>
  <c r="AJ1084" i="3"/>
  <c r="AK1084" i="3"/>
  <c r="AM1084" i="3" s="1"/>
  <c r="AN1084" i="3"/>
  <c r="AB1085" i="3"/>
  <c r="AC1085" i="3"/>
  <c r="AD1085" i="3"/>
  <c r="AE1085" i="3"/>
  <c r="AF1085" i="3"/>
  <c r="AG1085" i="3"/>
  <c r="AH1085" i="3"/>
  <c r="AI1085" i="3"/>
  <c r="AJ1085" i="3"/>
  <c r="AK1085" i="3"/>
  <c r="AM1085" i="3" s="1"/>
  <c r="AN1085" i="3"/>
  <c r="AB1086" i="3"/>
  <c r="AC1086" i="3"/>
  <c r="AD1086" i="3"/>
  <c r="AE1086" i="3"/>
  <c r="AF1086" i="3"/>
  <c r="AG1086" i="3"/>
  <c r="AH1086" i="3"/>
  <c r="AI1086" i="3"/>
  <c r="AJ1086" i="3"/>
  <c r="AK1086" i="3"/>
  <c r="AM1086" i="3" s="1"/>
  <c r="AN1086" i="3"/>
  <c r="AB1087" i="3"/>
  <c r="AC1087" i="3"/>
  <c r="AD1087" i="3"/>
  <c r="AE1087" i="3"/>
  <c r="AF1087" i="3"/>
  <c r="AG1087" i="3"/>
  <c r="AH1087" i="3"/>
  <c r="AI1087" i="3"/>
  <c r="AJ1087" i="3"/>
  <c r="AK1087" i="3"/>
  <c r="AM1087" i="3" s="1"/>
  <c r="AN1087" i="3"/>
  <c r="AB1088" i="3"/>
  <c r="AC1088" i="3"/>
  <c r="AD1088" i="3"/>
  <c r="AE1088" i="3"/>
  <c r="AF1088" i="3"/>
  <c r="AG1088" i="3"/>
  <c r="AH1088" i="3"/>
  <c r="AI1088" i="3"/>
  <c r="AJ1088" i="3"/>
  <c r="AK1088" i="3"/>
  <c r="AM1088" i="3" s="1"/>
  <c r="AN1088" i="3"/>
  <c r="AB1089" i="3"/>
  <c r="AC1089" i="3"/>
  <c r="AD1089" i="3"/>
  <c r="AE1089" i="3"/>
  <c r="AF1089" i="3"/>
  <c r="AG1089" i="3"/>
  <c r="AH1089" i="3"/>
  <c r="AI1089" i="3"/>
  <c r="AJ1089" i="3"/>
  <c r="AK1089" i="3"/>
  <c r="AM1089" i="3" s="1"/>
  <c r="AN1089" i="3"/>
  <c r="AB1090" i="3"/>
  <c r="AC1090" i="3"/>
  <c r="AD1090" i="3"/>
  <c r="AE1090" i="3"/>
  <c r="AF1090" i="3"/>
  <c r="AG1090" i="3"/>
  <c r="AH1090" i="3"/>
  <c r="AI1090" i="3"/>
  <c r="AJ1090" i="3"/>
  <c r="AK1090" i="3"/>
  <c r="AM1090" i="3" s="1"/>
  <c r="AN1090" i="3"/>
  <c r="AB1091" i="3"/>
  <c r="AC1091" i="3"/>
  <c r="AD1091" i="3"/>
  <c r="AE1091" i="3"/>
  <c r="AF1091" i="3"/>
  <c r="AG1091" i="3"/>
  <c r="AH1091" i="3"/>
  <c r="AI1091" i="3"/>
  <c r="AJ1091" i="3"/>
  <c r="AK1091" i="3"/>
  <c r="AM1091" i="3" s="1"/>
  <c r="AN1091" i="3"/>
  <c r="AB1092" i="3"/>
  <c r="AC1092" i="3"/>
  <c r="AD1092" i="3"/>
  <c r="AE1092" i="3"/>
  <c r="AF1092" i="3"/>
  <c r="AG1092" i="3"/>
  <c r="AH1092" i="3"/>
  <c r="AI1092" i="3"/>
  <c r="AJ1092" i="3"/>
  <c r="AK1092" i="3"/>
  <c r="AM1092" i="3" s="1"/>
  <c r="AN1092" i="3"/>
  <c r="AB1093" i="3"/>
  <c r="AC1093" i="3"/>
  <c r="AD1093" i="3"/>
  <c r="AE1093" i="3"/>
  <c r="AF1093" i="3"/>
  <c r="AG1093" i="3"/>
  <c r="AH1093" i="3"/>
  <c r="AI1093" i="3"/>
  <c r="AJ1093" i="3"/>
  <c r="AK1093" i="3"/>
  <c r="AM1093" i="3" s="1"/>
  <c r="AN1093" i="3"/>
  <c r="AB1094" i="3"/>
  <c r="AC1094" i="3"/>
  <c r="AD1094" i="3"/>
  <c r="AE1094" i="3"/>
  <c r="AF1094" i="3"/>
  <c r="AG1094" i="3"/>
  <c r="AH1094" i="3"/>
  <c r="AI1094" i="3"/>
  <c r="AJ1094" i="3"/>
  <c r="AK1094" i="3"/>
  <c r="AM1094" i="3" s="1"/>
  <c r="AN1094" i="3"/>
  <c r="AB1095" i="3"/>
  <c r="AC1095" i="3"/>
  <c r="AD1095" i="3"/>
  <c r="AE1095" i="3"/>
  <c r="AF1095" i="3"/>
  <c r="AG1095" i="3"/>
  <c r="AH1095" i="3"/>
  <c r="AI1095" i="3"/>
  <c r="AJ1095" i="3"/>
  <c r="AK1095" i="3"/>
  <c r="AM1095" i="3" s="1"/>
  <c r="AN1095" i="3"/>
  <c r="AB1096" i="3"/>
  <c r="AC1096" i="3"/>
  <c r="AD1096" i="3"/>
  <c r="AE1096" i="3"/>
  <c r="AF1096" i="3"/>
  <c r="AG1096" i="3"/>
  <c r="AH1096" i="3"/>
  <c r="AI1096" i="3"/>
  <c r="AJ1096" i="3"/>
  <c r="AK1096" i="3"/>
  <c r="AM1096" i="3" s="1"/>
  <c r="AN1096" i="3"/>
  <c r="AB1097" i="3"/>
  <c r="AC1097" i="3"/>
  <c r="AD1097" i="3"/>
  <c r="AE1097" i="3"/>
  <c r="AF1097" i="3"/>
  <c r="AG1097" i="3"/>
  <c r="AH1097" i="3"/>
  <c r="AI1097" i="3"/>
  <c r="AJ1097" i="3"/>
  <c r="AK1097" i="3"/>
  <c r="AM1097" i="3" s="1"/>
  <c r="AN1097" i="3"/>
  <c r="AB1098" i="3"/>
  <c r="AC1098" i="3"/>
  <c r="AD1098" i="3"/>
  <c r="AE1098" i="3"/>
  <c r="AF1098" i="3"/>
  <c r="AG1098" i="3"/>
  <c r="AH1098" i="3"/>
  <c r="AI1098" i="3"/>
  <c r="AJ1098" i="3"/>
  <c r="AK1098" i="3"/>
  <c r="AM1098" i="3" s="1"/>
  <c r="AN1098" i="3"/>
  <c r="AB1099" i="3"/>
  <c r="AC1099" i="3"/>
  <c r="AD1099" i="3"/>
  <c r="AE1099" i="3"/>
  <c r="AF1099" i="3"/>
  <c r="AG1099" i="3"/>
  <c r="AH1099" i="3"/>
  <c r="AI1099" i="3"/>
  <c r="AJ1099" i="3"/>
  <c r="AK1099" i="3"/>
  <c r="AM1099" i="3" s="1"/>
  <c r="AN1099" i="3"/>
  <c r="AB1100" i="3"/>
  <c r="AC1100" i="3"/>
  <c r="AD1100" i="3"/>
  <c r="AE1100" i="3"/>
  <c r="AF1100" i="3"/>
  <c r="AG1100" i="3"/>
  <c r="AH1100" i="3"/>
  <c r="AI1100" i="3"/>
  <c r="AJ1100" i="3"/>
  <c r="AK1100" i="3"/>
  <c r="AM1100" i="3" s="1"/>
  <c r="AN1100" i="3"/>
  <c r="AB1101" i="3"/>
  <c r="AC1101" i="3"/>
  <c r="AD1101" i="3"/>
  <c r="AE1101" i="3"/>
  <c r="AF1101" i="3"/>
  <c r="AG1101" i="3"/>
  <c r="AH1101" i="3"/>
  <c r="AI1101" i="3"/>
  <c r="AJ1101" i="3"/>
  <c r="AK1101" i="3"/>
  <c r="AM1101" i="3" s="1"/>
  <c r="AN1101" i="3"/>
  <c r="AB1102" i="3"/>
  <c r="AC1102" i="3"/>
  <c r="AD1102" i="3"/>
  <c r="AE1102" i="3"/>
  <c r="AF1102" i="3"/>
  <c r="AG1102" i="3"/>
  <c r="AH1102" i="3"/>
  <c r="AI1102" i="3"/>
  <c r="AJ1102" i="3"/>
  <c r="AK1102" i="3"/>
  <c r="AM1102" i="3" s="1"/>
  <c r="AN1102" i="3"/>
  <c r="AB1103" i="3"/>
  <c r="AC1103" i="3"/>
  <c r="AD1103" i="3"/>
  <c r="AE1103" i="3"/>
  <c r="AF1103" i="3"/>
  <c r="AG1103" i="3"/>
  <c r="AH1103" i="3"/>
  <c r="AI1103" i="3"/>
  <c r="AJ1103" i="3"/>
  <c r="AK1103" i="3"/>
  <c r="AM1103" i="3" s="1"/>
  <c r="AN1103" i="3"/>
  <c r="AB1104" i="3"/>
  <c r="AC1104" i="3"/>
  <c r="AD1104" i="3"/>
  <c r="AE1104" i="3"/>
  <c r="AF1104" i="3"/>
  <c r="AG1104" i="3"/>
  <c r="AH1104" i="3"/>
  <c r="AI1104" i="3"/>
  <c r="AJ1104" i="3"/>
  <c r="AK1104" i="3"/>
  <c r="AM1104" i="3" s="1"/>
  <c r="AN1104" i="3"/>
  <c r="AB1105" i="3"/>
  <c r="AC1105" i="3"/>
  <c r="AD1105" i="3"/>
  <c r="AE1105" i="3"/>
  <c r="AF1105" i="3"/>
  <c r="AG1105" i="3"/>
  <c r="AH1105" i="3"/>
  <c r="AI1105" i="3"/>
  <c r="AJ1105" i="3"/>
  <c r="AK1105" i="3"/>
  <c r="AM1105" i="3" s="1"/>
  <c r="AN1105" i="3"/>
  <c r="AB1106" i="3"/>
  <c r="AC1106" i="3"/>
  <c r="AD1106" i="3"/>
  <c r="AE1106" i="3"/>
  <c r="AF1106" i="3"/>
  <c r="AG1106" i="3"/>
  <c r="AH1106" i="3"/>
  <c r="AI1106" i="3"/>
  <c r="AJ1106" i="3"/>
  <c r="AK1106" i="3"/>
  <c r="AM1106" i="3" s="1"/>
  <c r="AN1106" i="3"/>
  <c r="AB1107" i="3"/>
  <c r="AC1107" i="3"/>
  <c r="AD1107" i="3"/>
  <c r="AE1107" i="3"/>
  <c r="AF1107" i="3"/>
  <c r="AG1107" i="3"/>
  <c r="AH1107" i="3"/>
  <c r="AI1107" i="3"/>
  <c r="AJ1107" i="3"/>
  <c r="AK1107" i="3"/>
  <c r="AM1107" i="3" s="1"/>
  <c r="AN1107" i="3"/>
  <c r="AB1108" i="3"/>
  <c r="AC1108" i="3"/>
  <c r="AD1108" i="3"/>
  <c r="AE1108" i="3"/>
  <c r="AF1108" i="3"/>
  <c r="AG1108" i="3"/>
  <c r="AH1108" i="3"/>
  <c r="AI1108" i="3"/>
  <c r="AJ1108" i="3"/>
  <c r="AK1108" i="3"/>
  <c r="AM1108" i="3" s="1"/>
  <c r="AN1108" i="3"/>
  <c r="AB1109" i="3"/>
  <c r="AC1109" i="3"/>
  <c r="AD1109" i="3"/>
  <c r="AE1109" i="3"/>
  <c r="AF1109" i="3"/>
  <c r="AG1109" i="3"/>
  <c r="AH1109" i="3"/>
  <c r="AI1109" i="3"/>
  <c r="AJ1109" i="3"/>
  <c r="AK1109" i="3"/>
  <c r="AM1109" i="3" s="1"/>
  <c r="AN1109" i="3"/>
  <c r="AB1110" i="3"/>
  <c r="AC1110" i="3"/>
  <c r="AD1110" i="3"/>
  <c r="AE1110" i="3"/>
  <c r="AF1110" i="3"/>
  <c r="AG1110" i="3"/>
  <c r="AH1110" i="3"/>
  <c r="AI1110" i="3"/>
  <c r="AJ1110" i="3"/>
  <c r="AK1110" i="3"/>
  <c r="AM1110" i="3" s="1"/>
  <c r="AN1110" i="3"/>
  <c r="AB1111" i="3"/>
  <c r="AC1111" i="3"/>
  <c r="AD1111" i="3"/>
  <c r="AE1111" i="3"/>
  <c r="AF1111" i="3"/>
  <c r="AG1111" i="3"/>
  <c r="AH1111" i="3"/>
  <c r="AI1111" i="3"/>
  <c r="AJ1111" i="3"/>
  <c r="AK1111" i="3"/>
  <c r="AM1111" i="3" s="1"/>
  <c r="AN1111" i="3"/>
  <c r="AB1112" i="3"/>
  <c r="AC1112" i="3"/>
  <c r="AD1112" i="3"/>
  <c r="AE1112" i="3"/>
  <c r="AF1112" i="3"/>
  <c r="AG1112" i="3"/>
  <c r="AH1112" i="3"/>
  <c r="AI1112" i="3"/>
  <c r="AJ1112" i="3"/>
  <c r="AK1112" i="3"/>
  <c r="AM1112" i="3" s="1"/>
  <c r="AN1112" i="3"/>
  <c r="AB1113" i="3"/>
  <c r="AC1113" i="3"/>
  <c r="AD1113" i="3"/>
  <c r="AE1113" i="3"/>
  <c r="AF1113" i="3"/>
  <c r="AG1113" i="3"/>
  <c r="AH1113" i="3"/>
  <c r="AI1113" i="3"/>
  <c r="AJ1113" i="3"/>
  <c r="AK1113" i="3"/>
  <c r="AM1113" i="3" s="1"/>
  <c r="AN1113" i="3"/>
  <c r="AB1114" i="3"/>
  <c r="AC1114" i="3"/>
  <c r="AD1114" i="3"/>
  <c r="AE1114" i="3"/>
  <c r="AF1114" i="3"/>
  <c r="AG1114" i="3"/>
  <c r="AH1114" i="3"/>
  <c r="AI1114" i="3"/>
  <c r="AJ1114" i="3"/>
  <c r="AK1114" i="3"/>
  <c r="AM1114" i="3" s="1"/>
  <c r="AN1114" i="3"/>
  <c r="AB1115" i="3"/>
  <c r="AC1115" i="3"/>
  <c r="AD1115" i="3"/>
  <c r="AE1115" i="3"/>
  <c r="AF1115" i="3"/>
  <c r="AG1115" i="3"/>
  <c r="AH1115" i="3"/>
  <c r="AI1115" i="3"/>
  <c r="AJ1115" i="3"/>
  <c r="AK1115" i="3"/>
  <c r="AM1115" i="3" s="1"/>
  <c r="AN1115" i="3"/>
  <c r="AB1116" i="3"/>
  <c r="AC1116" i="3"/>
  <c r="AD1116" i="3"/>
  <c r="AE1116" i="3"/>
  <c r="AF1116" i="3"/>
  <c r="AG1116" i="3"/>
  <c r="AH1116" i="3"/>
  <c r="AI1116" i="3"/>
  <c r="AJ1116" i="3"/>
  <c r="AK1116" i="3"/>
  <c r="AM1116" i="3" s="1"/>
  <c r="AN1116" i="3"/>
  <c r="AB1117" i="3"/>
  <c r="AC1117" i="3"/>
  <c r="AD1117" i="3"/>
  <c r="AE1117" i="3"/>
  <c r="AF1117" i="3"/>
  <c r="AG1117" i="3"/>
  <c r="AH1117" i="3"/>
  <c r="AI1117" i="3"/>
  <c r="AJ1117" i="3"/>
  <c r="AK1117" i="3"/>
  <c r="AM1117" i="3" s="1"/>
  <c r="AN1117" i="3"/>
  <c r="AB1118" i="3"/>
  <c r="AC1118" i="3"/>
  <c r="AD1118" i="3"/>
  <c r="AE1118" i="3"/>
  <c r="AF1118" i="3"/>
  <c r="AG1118" i="3"/>
  <c r="AH1118" i="3"/>
  <c r="AI1118" i="3"/>
  <c r="AJ1118" i="3"/>
  <c r="AK1118" i="3"/>
  <c r="AM1118" i="3" s="1"/>
  <c r="AN1118" i="3"/>
  <c r="AB1119" i="3"/>
  <c r="AC1119" i="3"/>
  <c r="AD1119" i="3"/>
  <c r="AE1119" i="3"/>
  <c r="AF1119" i="3"/>
  <c r="AG1119" i="3"/>
  <c r="AH1119" i="3"/>
  <c r="AI1119" i="3"/>
  <c r="AJ1119" i="3"/>
  <c r="AK1119" i="3"/>
  <c r="AM1119" i="3" s="1"/>
  <c r="AN1119" i="3"/>
  <c r="AB1120" i="3"/>
  <c r="AC1120" i="3"/>
  <c r="AD1120" i="3"/>
  <c r="AE1120" i="3"/>
  <c r="AF1120" i="3"/>
  <c r="AG1120" i="3"/>
  <c r="AH1120" i="3"/>
  <c r="AI1120" i="3"/>
  <c r="AJ1120" i="3"/>
  <c r="AK1120" i="3"/>
  <c r="AM1120" i="3" s="1"/>
  <c r="AN1120" i="3"/>
  <c r="AB1121" i="3"/>
  <c r="AC1121" i="3"/>
  <c r="AD1121" i="3"/>
  <c r="AE1121" i="3"/>
  <c r="AF1121" i="3"/>
  <c r="AG1121" i="3"/>
  <c r="AH1121" i="3"/>
  <c r="AI1121" i="3"/>
  <c r="AJ1121" i="3"/>
  <c r="AK1121" i="3"/>
  <c r="AM1121" i="3" s="1"/>
  <c r="AN1121" i="3"/>
  <c r="AB1122" i="3"/>
  <c r="AC1122" i="3"/>
  <c r="AD1122" i="3"/>
  <c r="AE1122" i="3"/>
  <c r="AF1122" i="3"/>
  <c r="AG1122" i="3"/>
  <c r="AH1122" i="3"/>
  <c r="AI1122" i="3"/>
  <c r="AJ1122" i="3"/>
  <c r="AK1122" i="3"/>
  <c r="AM1122" i="3" s="1"/>
  <c r="AN1122" i="3"/>
  <c r="AB1123" i="3"/>
  <c r="AC1123" i="3"/>
  <c r="AD1123" i="3"/>
  <c r="AE1123" i="3"/>
  <c r="AF1123" i="3"/>
  <c r="AG1123" i="3"/>
  <c r="AH1123" i="3"/>
  <c r="AI1123" i="3"/>
  <c r="AJ1123" i="3"/>
  <c r="AK1123" i="3"/>
  <c r="AM1123" i="3" s="1"/>
  <c r="AN1123" i="3"/>
  <c r="AB1124" i="3"/>
  <c r="AC1124" i="3"/>
  <c r="AD1124" i="3"/>
  <c r="AE1124" i="3"/>
  <c r="AF1124" i="3"/>
  <c r="AG1124" i="3"/>
  <c r="AH1124" i="3"/>
  <c r="AI1124" i="3"/>
  <c r="AJ1124" i="3"/>
  <c r="AK1124" i="3"/>
  <c r="AM1124" i="3" s="1"/>
  <c r="AN1124" i="3"/>
  <c r="AB1125" i="3"/>
  <c r="AC1125" i="3"/>
  <c r="AD1125" i="3"/>
  <c r="AE1125" i="3"/>
  <c r="AF1125" i="3"/>
  <c r="AG1125" i="3"/>
  <c r="AH1125" i="3"/>
  <c r="AI1125" i="3"/>
  <c r="AJ1125" i="3"/>
  <c r="AK1125" i="3"/>
  <c r="AM1125" i="3" s="1"/>
  <c r="AN1125" i="3"/>
  <c r="AB1126" i="3"/>
  <c r="AC1126" i="3"/>
  <c r="AD1126" i="3"/>
  <c r="AE1126" i="3"/>
  <c r="AF1126" i="3"/>
  <c r="AG1126" i="3"/>
  <c r="AH1126" i="3"/>
  <c r="AI1126" i="3"/>
  <c r="AJ1126" i="3"/>
  <c r="AK1126" i="3"/>
  <c r="AM1126" i="3" s="1"/>
  <c r="AN1126" i="3"/>
  <c r="AB1127" i="3"/>
  <c r="AC1127" i="3"/>
  <c r="AD1127" i="3"/>
  <c r="AE1127" i="3"/>
  <c r="AF1127" i="3"/>
  <c r="AG1127" i="3"/>
  <c r="AH1127" i="3"/>
  <c r="AI1127" i="3"/>
  <c r="AJ1127" i="3"/>
  <c r="AK1127" i="3"/>
  <c r="AM1127" i="3" s="1"/>
  <c r="AN1127" i="3"/>
  <c r="AB1128" i="3"/>
  <c r="AC1128" i="3"/>
  <c r="AD1128" i="3"/>
  <c r="AE1128" i="3"/>
  <c r="AF1128" i="3"/>
  <c r="AG1128" i="3"/>
  <c r="AH1128" i="3"/>
  <c r="AI1128" i="3"/>
  <c r="AJ1128" i="3"/>
  <c r="AK1128" i="3"/>
  <c r="AM1128" i="3" s="1"/>
  <c r="AN1128" i="3"/>
  <c r="AB1129" i="3"/>
  <c r="AC1129" i="3"/>
  <c r="AD1129" i="3"/>
  <c r="AE1129" i="3"/>
  <c r="AF1129" i="3"/>
  <c r="AG1129" i="3"/>
  <c r="AH1129" i="3"/>
  <c r="AI1129" i="3"/>
  <c r="AJ1129" i="3"/>
  <c r="AK1129" i="3"/>
  <c r="AM1129" i="3" s="1"/>
  <c r="AN1129" i="3"/>
  <c r="AB1130" i="3"/>
  <c r="AC1130" i="3"/>
  <c r="AD1130" i="3"/>
  <c r="AE1130" i="3"/>
  <c r="AF1130" i="3"/>
  <c r="AG1130" i="3"/>
  <c r="AH1130" i="3"/>
  <c r="AI1130" i="3"/>
  <c r="AJ1130" i="3"/>
  <c r="AK1130" i="3"/>
  <c r="AM1130" i="3" s="1"/>
  <c r="AN1130" i="3"/>
  <c r="AB1131" i="3"/>
  <c r="AC1131" i="3"/>
  <c r="AD1131" i="3"/>
  <c r="AE1131" i="3"/>
  <c r="AF1131" i="3"/>
  <c r="AG1131" i="3"/>
  <c r="AH1131" i="3"/>
  <c r="AI1131" i="3"/>
  <c r="AJ1131" i="3"/>
  <c r="AK1131" i="3"/>
  <c r="AM1131" i="3" s="1"/>
  <c r="AN1131" i="3"/>
  <c r="AB1132" i="3"/>
  <c r="AC1132" i="3"/>
  <c r="AD1132" i="3"/>
  <c r="AE1132" i="3"/>
  <c r="AF1132" i="3"/>
  <c r="AG1132" i="3"/>
  <c r="AH1132" i="3"/>
  <c r="AI1132" i="3"/>
  <c r="AJ1132" i="3"/>
  <c r="AK1132" i="3"/>
  <c r="AM1132" i="3" s="1"/>
  <c r="AN1132" i="3"/>
  <c r="AB1133" i="3"/>
  <c r="AC1133" i="3"/>
  <c r="AD1133" i="3"/>
  <c r="AE1133" i="3"/>
  <c r="AF1133" i="3"/>
  <c r="AG1133" i="3"/>
  <c r="AH1133" i="3"/>
  <c r="AI1133" i="3"/>
  <c r="AJ1133" i="3"/>
  <c r="AK1133" i="3"/>
  <c r="AM1133" i="3" s="1"/>
  <c r="AN1133" i="3"/>
  <c r="AB1134" i="3"/>
  <c r="AC1134" i="3"/>
  <c r="AD1134" i="3"/>
  <c r="AE1134" i="3"/>
  <c r="AF1134" i="3"/>
  <c r="AG1134" i="3"/>
  <c r="AH1134" i="3"/>
  <c r="AI1134" i="3"/>
  <c r="AJ1134" i="3"/>
  <c r="AK1134" i="3"/>
  <c r="AM1134" i="3" s="1"/>
  <c r="AN1134" i="3"/>
  <c r="AB1135" i="3"/>
  <c r="AC1135" i="3"/>
  <c r="AD1135" i="3"/>
  <c r="AE1135" i="3"/>
  <c r="AF1135" i="3"/>
  <c r="AG1135" i="3"/>
  <c r="AH1135" i="3"/>
  <c r="AI1135" i="3"/>
  <c r="AJ1135" i="3"/>
  <c r="AK1135" i="3"/>
  <c r="AM1135" i="3" s="1"/>
  <c r="AN1135" i="3"/>
  <c r="AB1136" i="3"/>
  <c r="AC1136" i="3"/>
  <c r="AD1136" i="3"/>
  <c r="AE1136" i="3"/>
  <c r="AF1136" i="3"/>
  <c r="AG1136" i="3"/>
  <c r="AH1136" i="3"/>
  <c r="AI1136" i="3"/>
  <c r="AJ1136" i="3"/>
  <c r="AK1136" i="3"/>
  <c r="AM1136" i="3" s="1"/>
  <c r="AN1136" i="3"/>
  <c r="AB1137" i="3"/>
  <c r="AC1137" i="3"/>
  <c r="AD1137" i="3"/>
  <c r="AE1137" i="3"/>
  <c r="AF1137" i="3"/>
  <c r="AG1137" i="3"/>
  <c r="AH1137" i="3"/>
  <c r="AI1137" i="3"/>
  <c r="AJ1137" i="3"/>
  <c r="AK1137" i="3"/>
  <c r="AM1137" i="3" s="1"/>
  <c r="AN1137" i="3"/>
  <c r="AB1138" i="3"/>
  <c r="AC1138" i="3"/>
  <c r="AD1138" i="3"/>
  <c r="AE1138" i="3"/>
  <c r="AF1138" i="3"/>
  <c r="AG1138" i="3"/>
  <c r="AH1138" i="3"/>
  <c r="AI1138" i="3"/>
  <c r="AJ1138" i="3"/>
  <c r="AK1138" i="3"/>
  <c r="AM1138" i="3" s="1"/>
  <c r="AN1138" i="3"/>
  <c r="AB1139" i="3"/>
  <c r="AC1139" i="3"/>
  <c r="AD1139" i="3"/>
  <c r="AE1139" i="3"/>
  <c r="AF1139" i="3"/>
  <c r="AG1139" i="3"/>
  <c r="AH1139" i="3"/>
  <c r="AI1139" i="3"/>
  <c r="AJ1139" i="3"/>
  <c r="AK1139" i="3"/>
  <c r="AM1139" i="3" s="1"/>
  <c r="AN1139" i="3"/>
  <c r="AB1140" i="3"/>
  <c r="AC1140" i="3"/>
  <c r="AD1140" i="3"/>
  <c r="AE1140" i="3"/>
  <c r="AF1140" i="3"/>
  <c r="AG1140" i="3"/>
  <c r="AH1140" i="3"/>
  <c r="AI1140" i="3"/>
  <c r="AJ1140" i="3"/>
  <c r="AK1140" i="3"/>
  <c r="AM1140" i="3" s="1"/>
  <c r="AN1140" i="3"/>
  <c r="AB1141" i="3"/>
  <c r="AC1141" i="3"/>
  <c r="AD1141" i="3"/>
  <c r="AE1141" i="3"/>
  <c r="AF1141" i="3"/>
  <c r="AG1141" i="3"/>
  <c r="AH1141" i="3"/>
  <c r="AI1141" i="3"/>
  <c r="AJ1141" i="3"/>
  <c r="AK1141" i="3"/>
  <c r="AM1141" i="3" s="1"/>
  <c r="AN1141" i="3"/>
  <c r="AB1142" i="3"/>
  <c r="AC1142" i="3"/>
  <c r="AD1142" i="3"/>
  <c r="AE1142" i="3"/>
  <c r="AF1142" i="3"/>
  <c r="AG1142" i="3"/>
  <c r="AH1142" i="3"/>
  <c r="AI1142" i="3"/>
  <c r="AJ1142" i="3"/>
  <c r="AK1142" i="3"/>
  <c r="AM1142" i="3" s="1"/>
  <c r="AN1142" i="3"/>
  <c r="AB1143" i="3"/>
  <c r="AC1143" i="3"/>
  <c r="AD1143" i="3"/>
  <c r="AE1143" i="3"/>
  <c r="AF1143" i="3"/>
  <c r="AG1143" i="3"/>
  <c r="AH1143" i="3"/>
  <c r="AI1143" i="3"/>
  <c r="AJ1143" i="3"/>
  <c r="AK1143" i="3"/>
  <c r="AM1143" i="3" s="1"/>
  <c r="AN1143" i="3"/>
  <c r="AB1144" i="3"/>
  <c r="AC1144" i="3"/>
  <c r="AD1144" i="3"/>
  <c r="AE1144" i="3"/>
  <c r="AF1144" i="3"/>
  <c r="AG1144" i="3"/>
  <c r="AH1144" i="3"/>
  <c r="AI1144" i="3"/>
  <c r="AJ1144" i="3"/>
  <c r="AK1144" i="3"/>
  <c r="AM1144" i="3" s="1"/>
  <c r="AN1144" i="3"/>
  <c r="AB1145" i="3"/>
  <c r="AC1145" i="3"/>
  <c r="AD1145" i="3"/>
  <c r="AE1145" i="3"/>
  <c r="AF1145" i="3"/>
  <c r="AG1145" i="3"/>
  <c r="AH1145" i="3"/>
  <c r="AI1145" i="3"/>
  <c r="AJ1145" i="3"/>
  <c r="AK1145" i="3"/>
  <c r="AM1145" i="3" s="1"/>
  <c r="AN1145" i="3"/>
  <c r="AB1146" i="3"/>
  <c r="AC1146" i="3"/>
  <c r="AD1146" i="3"/>
  <c r="AE1146" i="3"/>
  <c r="AF1146" i="3"/>
  <c r="AG1146" i="3"/>
  <c r="AH1146" i="3"/>
  <c r="AI1146" i="3"/>
  <c r="AJ1146" i="3"/>
  <c r="AK1146" i="3"/>
  <c r="AM1146" i="3" s="1"/>
  <c r="AN1146" i="3"/>
  <c r="AB1147" i="3"/>
  <c r="AC1147" i="3"/>
  <c r="AD1147" i="3"/>
  <c r="AE1147" i="3"/>
  <c r="AF1147" i="3"/>
  <c r="AG1147" i="3"/>
  <c r="AH1147" i="3"/>
  <c r="AI1147" i="3"/>
  <c r="AJ1147" i="3"/>
  <c r="AK1147" i="3"/>
  <c r="AM1147" i="3" s="1"/>
  <c r="AN1147" i="3"/>
  <c r="AB1148" i="3"/>
  <c r="AC1148" i="3"/>
  <c r="AD1148" i="3"/>
  <c r="AE1148" i="3"/>
  <c r="AF1148" i="3"/>
  <c r="AG1148" i="3"/>
  <c r="AH1148" i="3"/>
  <c r="AI1148" i="3"/>
  <c r="AJ1148" i="3"/>
  <c r="AK1148" i="3"/>
  <c r="AM1148" i="3" s="1"/>
  <c r="AN1148" i="3"/>
  <c r="AB1149" i="3"/>
  <c r="AC1149" i="3"/>
  <c r="AD1149" i="3"/>
  <c r="AE1149" i="3"/>
  <c r="AF1149" i="3"/>
  <c r="AG1149" i="3"/>
  <c r="AH1149" i="3"/>
  <c r="AI1149" i="3"/>
  <c r="AJ1149" i="3"/>
  <c r="AK1149" i="3"/>
  <c r="AM1149" i="3" s="1"/>
  <c r="AN1149" i="3"/>
  <c r="AB1150" i="3"/>
  <c r="AC1150" i="3"/>
  <c r="AD1150" i="3"/>
  <c r="AE1150" i="3"/>
  <c r="AF1150" i="3"/>
  <c r="AG1150" i="3"/>
  <c r="AH1150" i="3"/>
  <c r="AI1150" i="3"/>
  <c r="AJ1150" i="3"/>
  <c r="AK1150" i="3"/>
  <c r="AM1150" i="3" s="1"/>
  <c r="AN1150" i="3"/>
  <c r="AB1151" i="3"/>
  <c r="AC1151" i="3"/>
  <c r="AD1151" i="3"/>
  <c r="AE1151" i="3"/>
  <c r="AF1151" i="3"/>
  <c r="AG1151" i="3"/>
  <c r="AH1151" i="3"/>
  <c r="AI1151" i="3"/>
  <c r="AJ1151" i="3"/>
  <c r="AK1151" i="3"/>
  <c r="AM1151" i="3" s="1"/>
  <c r="AN1151" i="3"/>
  <c r="AB1152" i="3"/>
  <c r="AC1152" i="3"/>
  <c r="AD1152" i="3"/>
  <c r="AE1152" i="3"/>
  <c r="AF1152" i="3"/>
  <c r="AG1152" i="3"/>
  <c r="AH1152" i="3"/>
  <c r="AI1152" i="3"/>
  <c r="AJ1152" i="3"/>
  <c r="AK1152" i="3"/>
  <c r="AM1152" i="3" s="1"/>
  <c r="AN1152" i="3"/>
  <c r="AB1153" i="3"/>
  <c r="AC1153" i="3"/>
  <c r="AD1153" i="3"/>
  <c r="AE1153" i="3"/>
  <c r="AF1153" i="3"/>
  <c r="AG1153" i="3"/>
  <c r="AH1153" i="3"/>
  <c r="AI1153" i="3"/>
  <c r="AJ1153" i="3"/>
  <c r="AK1153" i="3"/>
  <c r="AM1153" i="3" s="1"/>
  <c r="AN1153" i="3"/>
  <c r="AB1154" i="3"/>
  <c r="AC1154" i="3"/>
  <c r="AD1154" i="3"/>
  <c r="AE1154" i="3"/>
  <c r="AF1154" i="3"/>
  <c r="AG1154" i="3"/>
  <c r="AH1154" i="3"/>
  <c r="AI1154" i="3"/>
  <c r="AJ1154" i="3"/>
  <c r="AK1154" i="3"/>
  <c r="AM1154" i="3" s="1"/>
  <c r="AN1154" i="3"/>
  <c r="AB1155" i="3"/>
  <c r="AC1155" i="3"/>
  <c r="AD1155" i="3"/>
  <c r="AE1155" i="3"/>
  <c r="AF1155" i="3"/>
  <c r="AG1155" i="3"/>
  <c r="AH1155" i="3"/>
  <c r="AI1155" i="3"/>
  <c r="AJ1155" i="3"/>
  <c r="AK1155" i="3"/>
  <c r="AM1155" i="3" s="1"/>
  <c r="AN1155" i="3"/>
  <c r="AB1156" i="3"/>
  <c r="AC1156" i="3"/>
  <c r="AD1156" i="3"/>
  <c r="AE1156" i="3"/>
  <c r="AF1156" i="3"/>
  <c r="AG1156" i="3"/>
  <c r="AH1156" i="3"/>
  <c r="AI1156" i="3"/>
  <c r="AJ1156" i="3"/>
  <c r="AK1156" i="3"/>
  <c r="AM1156" i="3" s="1"/>
  <c r="AN1156" i="3"/>
  <c r="AB220" i="5"/>
  <c r="AC220" i="5"/>
  <c r="AD220" i="5"/>
  <c r="AE220" i="5"/>
  <c r="AF220" i="5"/>
  <c r="AG220" i="5"/>
  <c r="AH220" i="5"/>
  <c r="AI220" i="5"/>
  <c r="AJ220" i="5"/>
  <c r="AB158" i="5"/>
  <c r="AC158" i="5"/>
  <c r="AD158" i="5"/>
  <c r="AE158" i="5"/>
  <c r="AF158" i="5"/>
  <c r="AG158" i="5"/>
  <c r="AH158" i="5"/>
  <c r="AI158" i="5"/>
  <c r="AJ158" i="5"/>
  <c r="AB166" i="5"/>
  <c r="AC166" i="5"/>
  <c r="AD166" i="5"/>
  <c r="AE166" i="5"/>
  <c r="AF166" i="5"/>
  <c r="AG166" i="5"/>
  <c r="AH166" i="5"/>
  <c r="AI166" i="5"/>
  <c r="AJ166" i="5"/>
  <c r="AB139" i="5"/>
  <c r="AC139" i="5"/>
  <c r="AD139" i="5"/>
  <c r="AE139" i="5"/>
  <c r="AF139" i="5"/>
  <c r="AG139" i="5"/>
  <c r="AH139" i="5"/>
  <c r="AI139" i="5"/>
  <c r="AJ139" i="5"/>
  <c r="AB181" i="5"/>
  <c r="AC181" i="5"/>
  <c r="AD181" i="5"/>
  <c r="AE181" i="5"/>
  <c r="AF181" i="5"/>
  <c r="AG181" i="5"/>
  <c r="AH181" i="5"/>
  <c r="AI181" i="5"/>
  <c r="AJ181" i="5"/>
  <c r="AB22" i="5"/>
  <c r="AC22" i="5"/>
  <c r="AD22" i="5"/>
  <c r="AE22" i="5"/>
  <c r="AF22" i="5"/>
  <c r="AG22" i="5"/>
  <c r="AH22" i="5"/>
  <c r="AI22" i="5"/>
  <c r="AJ22" i="5"/>
  <c r="AB118" i="5"/>
  <c r="AC118" i="5"/>
  <c r="AD118" i="5"/>
  <c r="AE118" i="5"/>
  <c r="AF118" i="5"/>
  <c r="AG118" i="5"/>
  <c r="AH118" i="5"/>
  <c r="AI118" i="5"/>
  <c r="AJ118" i="5"/>
  <c r="AB58" i="5"/>
  <c r="AC58" i="5"/>
  <c r="AD58" i="5"/>
  <c r="AE58" i="5"/>
  <c r="AF58" i="5"/>
  <c r="AG58" i="5"/>
  <c r="AH58" i="5"/>
  <c r="AI58" i="5"/>
  <c r="AJ58" i="5"/>
  <c r="AB191" i="5"/>
  <c r="AC191" i="5"/>
  <c r="AD191" i="5"/>
  <c r="AE191" i="5"/>
  <c r="AF191" i="5"/>
  <c r="AG191" i="5"/>
  <c r="AH191" i="5"/>
  <c r="AI191" i="5"/>
  <c r="AJ191" i="5"/>
  <c r="AB135" i="5"/>
  <c r="AC135" i="5"/>
  <c r="AD135" i="5"/>
  <c r="AE135" i="5"/>
  <c r="AF135" i="5"/>
  <c r="AG135" i="5"/>
  <c r="AH135" i="5"/>
  <c r="AI135" i="5"/>
  <c r="AJ135" i="5"/>
  <c r="AB193" i="5"/>
  <c r="AC193" i="5"/>
  <c r="AD193" i="5"/>
  <c r="AE193" i="5"/>
  <c r="AF193" i="5"/>
  <c r="AG193" i="5"/>
  <c r="AH193" i="5"/>
  <c r="AI193" i="5"/>
  <c r="AJ193" i="5"/>
  <c r="AB198" i="5"/>
  <c r="AC198" i="5"/>
  <c r="AD198" i="5"/>
  <c r="AE198" i="5"/>
  <c r="AF198" i="5"/>
  <c r="AG198" i="5"/>
  <c r="AH198" i="5"/>
  <c r="AI198" i="5"/>
  <c r="AJ198" i="5"/>
  <c r="AB201" i="5"/>
  <c r="AC201" i="5"/>
  <c r="AD201" i="5"/>
  <c r="AE201" i="5"/>
  <c r="AF201" i="5"/>
  <c r="AG201" i="5"/>
  <c r="AH201" i="5"/>
  <c r="AI201" i="5"/>
  <c r="AJ201" i="5"/>
  <c r="AB199" i="5"/>
  <c r="AC199" i="5"/>
  <c r="AD199" i="5"/>
  <c r="AE199" i="5"/>
  <c r="AF199" i="5"/>
  <c r="AG199" i="5"/>
  <c r="AH199" i="5"/>
  <c r="AI199" i="5"/>
  <c r="AJ199" i="5"/>
  <c r="AB206" i="5"/>
  <c r="AC206" i="5"/>
  <c r="AD206" i="5"/>
  <c r="AE206" i="5"/>
  <c r="AF206" i="5"/>
  <c r="AG206" i="5"/>
  <c r="AH206" i="5"/>
  <c r="AI206" i="5"/>
  <c r="AJ206" i="5"/>
  <c r="AB291" i="5"/>
  <c r="AC291" i="5"/>
  <c r="AD291" i="5"/>
  <c r="AE291" i="5"/>
  <c r="AF291" i="5"/>
  <c r="AG291" i="5"/>
  <c r="AH291" i="5"/>
  <c r="AI291" i="5"/>
  <c r="AJ291" i="5"/>
  <c r="AB249" i="5"/>
  <c r="AC249" i="5"/>
  <c r="AD249" i="5"/>
  <c r="AE249" i="5"/>
  <c r="AF249" i="5"/>
  <c r="AG249" i="5"/>
  <c r="AH249" i="5"/>
  <c r="AI249" i="5"/>
  <c r="AJ249" i="5"/>
  <c r="AB185" i="5"/>
  <c r="AC185" i="5"/>
  <c r="AD185" i="5"/>
  <c r="AE185" i="5"/>
  <c r="AF185" i="5"/>
  <c r="AG185" i="5"/>
  <c r="AH185" i="5"/>
  <c r="AI185" i="5"/>
  <c r="AJ185" i="5"/>
  <c r="AB197" i="5"/>
  <c r="AC197" i="5"/>
  <c r="AD197" i="5"/>
  <c r="AE197" i="5"/>
  <c r="AF197" i="5"/>
  <c r="AG197" i="5"/>
  <c r="AH197" i="5"/>
  <c r="AI197" i="5"/>
  <c r="AJ197" i="5"/>
  <c r="AB254" i="5"/>
  <c r="AC254" i="5"/>
  <c r="AD254" i="5"/>
  <c r="AE254" i="5"/>
  <c r="AF254" i="5"/>
  <c r="AG254" i="5"/>
  <c r="AH254" i="5"/>
  <c r="AI254" i="5"/>
  <c r="AJ254" i="5"/>
  <c r="AB137" i="5"/>
  <c r="AC137" i="5"/>
  <c r="AD137" i="5"/>
  <c r="AE137" i="5"/>
  <c r="AF137" i="5"/>
  <c r="AG137" i="5"/>
  <c r="AH137" i="5"/>
  <c r="AI137" i="5"/>
  <c r="AJ137" i="5"/>
  <c r="AB258" i="5"/>
  <c r="AC258" i="5"/>
  <c r="AD258" i="5"/>
  <c r="AE258" i="5"/>
  <c r="AF258" i="5"/>
  <c r="AG258" i="5"/>
  <c r="AH258" i="5"/>
  <c r="AI258" i="5"/>
  <c r="AJ258" i="5"/>
  <c r="AB257" i="5"/>
  <c r="AC257" i="5"/>
  <c r="AD257" i="5"/>
  <c r="AE257" i="5"/>
  <c r="AF257" i="5"/>
  <c r="AG257" i="5"/>
  <c r="AH257" i="5"/>
  <c r="AI257" i="5"/>
  <c r="AJ257" i="5"/>
  <c r="AB256" i="5"/>
  <c r="AC256" i="5"/>
  <c r="AD256" i="5"/>
  <c r="AE256" i="5"/>
  <c r="AF256" i="5"/>
  <c r="AG256" i="5"/>
  <c r="AH256" i="5"/>
  <c r="AI256" i="5"/>
  <c r="AJ256" i="5"/>
  <c r="AB202" i="5"/>
  <c r="AC202" i="5"/>
  <c r="AD202" i="5"/>
  <c r="AE202" i="5"/>
  <c r="AF202" i="5"/>
  <c r="AG202" i="5"/>
  <c r="AH202" i="5"/>
  <c r="AI202" i="5"/>
  <c r="AJ202" i="5"/>
  <c r="AB259" i="5"/>
  <c r="AC259" i="5"/>
  <c r="AD259" i="5"/>
  <c r="AE259" i="5"/>
  <c r="AF259" i="5"/>
  <c r="AG259" i="5"/>
  <c r="AH259" i="5"/>
  <c r="AI259" i="5"/>
  <c r="AJ259" i="5"/>
  <c r="AB205" i="5"/>
  <c r="AC205" i="5"/>
  <c r="AD205" i="5"/>
  <c r="AE205" i="5"/>
  <c r="AF205" i="5"/>
  <c r="AG205" i="5"/>
  <c r="AH205" i="5"/>
  <c r="AI205" i="5"/>
  <c r="AJ205" i="5"/>
  <c r="AB179" i="5"/>
  <c r="AC179" i="5"/>
  <c r="AD179" i="5"/>
  <c r="AE179" i="5"/>
  <c r="AF179" i="5"/>
  <c r="AG179" i="5"/>
  <c r="AH179" i="5"/>
  <c r="AI179" i="5"/>
  <c r="AJ179" i="5"/>
  <c r="AB240" i="5"/>
  <c r="AC240" i="5"/>
  <c r="AD240" i="5"/>
  <c r="AE240" i="5"/>
  <c r="AF240" i="5"/>
  <c r="AG240" i="5"/>
  <c r="AH240" i="5"/>
  <c r="AI240" i="5"/>
  <c r="AJ240" i="5"/>
  <c r="AB285" i="5"/>
  <c r="AC285" i="5"/>
  <c r="AD285" i="5"/>
  <c r="AE285" i="5"/>
  <c r="AF285" i="5"/>
  <c r="AG285" i="5"/>
  <c r="AH285" i="5"/>
  <c r="AI285" i="5"/>
  <c r="AJ285" i="5"/>
  <c r="AB37" i="5"/>
  <c r="AC37" i="5"/>
  <c r="AD37" i="5"/>
  <c r="AE37" i="5"/>
  <c r="AF37" i="5"/>
  <c r="AG37" i="5"/>
  <c r="AH37" i="5"/>
  <c r="AI37" i="5"/>
  <c r="AJ37" i="5"/>
  <c r="AB24" i="5"/>
  <c r="AC24" i="5"/>
  <c r="AD24" i="5"/>
  <c r="AE24" i="5"/>
  <c r="AF24" i="5"/>
  <c r="AG24" i="5"/>
  <c r="AH24" i="5"/>
  <c r="AI24" i="5"/>
  <c r="AJ24" i="5"/>
  <c r="AB63" i="5"/>
  <c r="AC63" i="5"/>
  <c r="AD63" i="5"/>
  <c r="AE63" i="5"/>
  <c r="AF63" i="5"/>
  <c r="AG63" i="5"/>
  <c r="AH63" i="5"/>
  <c r="AI63" i="5"/>
  <c r="AJ63" i="5"/>
  <c r="AB77" i="5"/>
  <c r="AC77" i="5"/>
  <c r="AD77" i="5"/>
  <c r="AE77" i="5"/>
  <c r="AF77" i="5"/>
  <c r="AG77" i="5"/>
  <c r="AH77" i="5"/>
  <c r="AI77" i="5"/>
  <c r="AJ77" i="5"/>
  <c r="AB266" i="5"/>
  <c r="AC266" i="5"/>
  <c r="AD266" i="5"/>
  <c r="AE266" i="5"/>
  <c r="AF266" i="5"/>
  <c r="AG266" i="5"/>
  <c r="AH266" i="5"/>
  <c r="AI266" i="5"/>
  <c r="AJ266" i="5"/>
  <c r="AB310" i="5"/>
  <c r="AC310" i="5"/>
  <c r="AD310" i="5"/>
  <c r="AE310" i="5"/>
  <c r="AF310" i="5"/>
  <c r="AG310" i="5"/>
  <c r="AH310" i="5"/>
  <c r="AI310" i="5"/>
  <c r="AJ310" i="5"/>
  <c r="AK310" i="5"/>
  <c r="AM310" i="5" s="1"/>
  <c r="AN310" i="5"/>
  <c r="AB311" i="5"/>
  <c r="AC311" i="5"/>
  <c r="AD311" i="5"/>
  <c r="AE311" i="5"/>
  <c r="AF311" i="5"/>
  <c r="AG311" i="5"/>
  <c r="AH311" i="5"/>
  <c r="AI311" i="5"/>
  <c r="AJ311" i="5"/>
  <c r="AK311" i="5"/>
  <c r="AM311" i="5" s="1"/>
  <c r="AN311" i="5"/>
  <c r="AB312" i="5"/>
  <c r="AC312" i="5"/>
  <c r="AD312" i="5"/>
  <c r="AE312" i="5"/>
  <c r="AF312" i="5"/>
  <c r="AG312" i="5"/>
  <c r="AH312" i="5"/>
  <c r="AI312" i="5"/>
  <c r="AJ312" i="5"/>
  <c r="AK312" i="5"/>
  <c r="AM312" i="5" s="1"/>
  <c r="AN312" i="5"/>
  <c r="AB313" i="5"/>
  <c r="AC313" i="5"/>
  <c r="AD313" i="5"/>
  <c r="AE313" i="5"/>
  <c r="AF313" i="5"/>
  <c r="AG313" i="5"/>
  <c r="AH313" i="5"/>
  <c r="AI313" i="5"/>
  <c r="AJ313" i="5"/>
  <c r="AK313" i="5"/>
  <c r="AM313" i="5" s="1"/>
  <c r="AN313" i="5"/>
  <c r="AB314" i="5"/>
  <c r="AC314" i="5"/>
  <c r="AD314" i="5"/>
  <c r="AE314" i="5"/>
  <c r="AF314" i="5"/>
  <c r="AG314" i="5"/>
  <c r="AH314" i="5"/>
  <c r="AI314" i="5"/>
  <c r="AJ314" i="5"/>
  <c r="AK314" i="5"/>
  <c r="AM314" i="5" s="1"/>
  <c r="AN314" i="5"/>
  <c r="AB315" i="5"/>
  <c r="AC315" i="5"/>
  <c r="AD315" i="5"/>
  <c r="AE315" i="5"/>
  <c r="AF315" i="5"/>
  <c r="AG315" i="5"/>
  <c r="AH315" i="5"/>
  <c r="AI315" i="5"/>
  <c r="AJ315" i="5"/>
  <c r="AK315" i="5"/>
  <c r="AM315" i="5" s="1"/>
  <c r="AN315" i="5"/>
  <c r="AB316" i="5"/>
  <c r="AC316" i="5"/>
  <c r="AD316" i="5"/>
  <c r="AE316" i="5"/>
  <c r="AF316" i="5"/>
  <c r="AG316" i="5"/>
  <c r="AH316" i="5"/>
  <c r="AI316" i="5"/>
  <c r="AJ316" i="5"/>
  <c r="AK316" i="5"/>
  <c r="AM316" i="5" s="1"/>
  <c r="AN316" i="5"/>
  <c r="AB317" i="5"/>
  <c r="AC317" i="5"/>
  <c r="AD317" i="5"/>
  <c r="AE317" i="5"/>
  <c r="AF317" i="5"/>
  <c r="AG317" i="5"/>
  <c r="AH317" i="5"/>
  <c r="AI317" i="5"/>
  <c r="AJ317" i="5"/>
  <c r="AK317" i="5"/>
  <c r="AM317" i="5" s="1"/>
  <c r="AN317" i="5"/>
  <c r="AB318" i="5"/>
  <c r="AC318" i="5"/>
  <c r="AD318" i="5"/>
  <c r="AE318" i="5"/>
  <c r="AF318" i="5"/>
  <c r="AG318" i="5"/>
  <c r="AH318" i="5"/>
  <c r="AI318" i="5"/>
  <c r="AJ318" i="5"/>
  <c r="AK318" i="5"/>
  <c r="AM318" i="5" s="1"/>
  <c r="AN318" i="5"/>
  <c r="AB319" i="5"/>
  <c r="AC319" i="5"/>
  <c r="AD319" i="5"/>
  <c r="AE319" i="5"/>
  <c r="AF319" i="5"/>
  <c r="AG319" i="5"/>
  <c r="AH319" i="5"/>
  <c r="AI319" i="5"/>
  <c r="AJ319" i="5"/>
  <c r="AK319" i="5"/>
  <c r="AM319" i="5" s="1"/>
  <c r="AN319" i="5"/>
  <c r="AB320" i="5"/>
  <c r="AC320" i="5"/>
  <c r="AD320" i="5"/>
  <c r="AE320" i="5"/>
  <c r="AF320" i="5"/>
  <c r="AG320" i="5"/>
  <c r="AH320" i="5"/>
  <c r="AI320" i="5"/>
  <c r="AJ320" i="5"/>
  <c r="AK320" i="5"/>
  <c r="AM320" i="5" s="1"/>
  <c r="AN320" i="5"/>
  <c r="AB321" i="5"/>
  <c r="AC321" i="5"/>
  <c r="AD321" i="5"/>
  <c r="AE321" i="5"/>
  <c r="AF321" i="5"/>
  <c r="AG321" i="5"/>
  <c r="AH321" i="5"/>
  <c r="AI321" i="5"/>
  <c r="AJ321" i="5"/>
  <c r="AK321" i="5"/>
  <c r="AM321" i="5" s="1"/>
  <c r="AN321" i="5"/>
  <c r="AB322" i="5"/>
  <c r="AC322" i="5"/>
  <c r="AD322" i="5"/>
  <c r="AE322" i="5"/>
  <c r="AF322" i="5"/>
  <c r="AG322" i="5"/>
  <c r="AH322" i="5"/>
  <c r="AI322" i="5"/>
  <c r="AJ322" i="5"/>
  <c r="AK322" i="5"/>
  <c r="AM322" i="5" s="1"/>
  <c r="AN322" i="5"/>
  <c r="AB323" i="5"/>
  <c r="AC323" i="5"/>
  <c r="AD323" i="5"/>
  <c r="AE323" i="5"/>
  <c r="AF323" i="5"/>
  <c r="AG323" i="5"/>
  <c r="AH323" i="5"/>
  <c r="AI323" i="5"/>
  <c r="AJ323" i="5"/>
  <c r="AK323" i="5"/>
  <c r="AM323" i="5" s="1"/>
  <c r="AN323" i="5"/>
  <c r="AB324" i="5"/>
  <c r="AC324" i="5"/>
  <c r="AD324" i="5"/>
  <c r="AE324" i="5"/>
  <c r="AF324" i="5"/>
  <c r="AG324" i="5"/>
  <c r="AH324" i="5"/>
  <c r="AI324" i="5"/>
  <c r="AJ324" i="5"/>
  <c r="AK324" i="5"/>
  <c r="AM324" i="5" s="1"/>
  <c r="AN324" i="5"/>
  <c r="AB325" i="5"/>
  <c r="AC325" i="5"/>
  <c r="AD325" i="5"/>
  <c r="AE325" i="5"/>
  <c r="AF325" i="5"/>
  <c r="AG325" i="5"/>
  <c r="AH325" i="5"/>
  <c r="AI325" i="5"/>
  <c r="AJ325" i="5"/>
  <c r="AK325" i="5"/>
  <c r="AM325" i="5" s="1"/>
  <c r="AN325" i="5"/>
  <c r="AB326" i="5"/>
  <c r="AC326" i="5"/>
  <c r="AD326" i="5"/>
  <c r="AE326" i="5"/>
  <c r="AF326" i="5"/>
  <c r="AG326" i="5"/>
  <c r="AH326" i="5"/>
  <c r="AI326" i="5"/>
  <c r="AJ326" i="5"/>
  <c r="AK326" i="5"/>
  <c r="AM326" i="5" s="1"/>
  <c r="AN326" i="5"/>
  <c r="AB327" i="5"/>
  <c r="AC327" i="5"/>
  <c r="AD327" i="5"/>
  <c r="AE327" i="5"/>
  <c r="AF327" i="5"/>
  <c r="AG327" i="5"/>
  <c r="AH327" i="5"/>
  <c r="AI327" i="5"/>
  <c r="AJ327" i="5"/>
  <c r="AK327" i="5"/>
  <c r="AM327" i="5" s="1"/>
  <c r="AN327" i="5"/>
  <c r="AB328" i="5"/>
  <c r="AC328" i="5"/>
  <c r="AD328" i="5"/>
  <c r="AE328" i="5"/>
  <c r="AF328" i="5"/>
  <c r="AG328" i="5"/>
  <c r="AH328" i="5"/>
  <c r="AI328" i="5"/>
  <c r="AJ328" i="5"/>
  <c r="AK328" i="5"/>
  <c r="AM328" i="5" s="1"/>
  <c r="AN328" i="5"/>
  <c r="AB329" i="5"/>
  <c r="AC329" i="5"/>
  <c r="AD329" i="5"/>
  <c r="AE329" i="5"/>
  <c r="AF329" i="5"/>
  <c r="AG329" i="5"/>
  <c r="AH329" i="5"/>
  <c r="AI329" i="5"/>
  <c r="AJ329" i="5"/>
  <c r="AK329" i="5"/>
  <c r="AM329" i="5" s="1"/>
  <c r="AN329" i="5"/>
  <c r="AB330" i="5"/>
  <c r="AC330" i="5"/>
  <c r="AD330" i="5"/>
  <c r="AE330" i="5"/>
  <c r="AF330" i="5"/>
  <c r="AG330" i="5"/>
  <c r="AH330" i="5"/>
  <c r="AI330" i="5"/>
  <c r="AJ330" i="5"/>
  <c r="AK330" i="5"/>
  <c r="AM330" i="5" s="1"/>
  <c r="AN330" i="5"/>
  <c r="AB331" i="5"/>
  <c r="AC331" i="5"/>
  <c r="AD331" i="5"/>
  <c r="AE331" i="5"/>
  <c r="AF331" i="5"/>
  <c r="AG331" i="5"/>
  <c r="AH331" i="5"/>
  <c r="AI331" i="5"/>
  <c r="AJ331" i="5"/>
  <c r="AK331" i="5"/>
  <c r="AM331" i="5" s="1"/>
  <c r="AN331" i="5"/>
  <c r="AB332" i="5"/>
  <c r="AC332" i="5"/>
  <c r="AD332" i="5"/>
  <c r="AE332" i="5"/>
  <c r="AF332" i="5"/>
  <c r="AG332" i="5"/>
  <c r="AH332" i="5"/>
  <c r="AI332" i="5"/>
  <c r="AJ332" i="5"/>
  <c r="AK332" i="5"/>
  <c r="AM332" i="5" s="1"/>
  <c r="AN332" i="5"/>
  <c r="AB333" i="5"/>
  <c r="AC333" i="5"/>
  <c r="AD333" i="5"/>
  <c r="AE333" i="5"/>
  <c r="AF333" i="5"/>
  <c r="AG333" i="5"/>
  <c r="AH333" i="5"/>
  <c r="AI333" i="5"/>
  <c r="AJ333" i="5"/>
  <c r="AK333" i="5"/>
  <c r="AM333" i="5" s="1"/>
  <c r="AN333" i="5"/>
  <c r="AB334" i="5"/>
  <c r="AC334" i="5"/>
  <c r="AD334" i="5"/>
  <c r="AE334" i="5"/>
  <c r="AF334" i="5"/>
  <c r="AG334" i="5"/>
  <c r="AH334" i="5"/>
  <c r="AI334" i="5"/>
  <c r="AJ334" i="5"/>
  <c r="AK334" i="5"/>
  <c r="AM334" i="5" s="1"/>
  <c r="AN334" i="5"/>
  <c r="AB335" i="5"/>
  <c r="AC335" i="5"/>
  <c r="AD335" i="5"/>
  <c r="AE335" i="5"/>
  <c r="AF335" i="5"/>
  <c r="AG335" i="5"/>
  <c r="AH335" i="5"/>
  <c r="AI335" i="5"/>
  <c r="AJ335" i="5"/>
  <c r="AK335" i="5"/>
  <c r="AM335" i="5" s="1"/>
  <c r="AN335" i="5"/>
  <c r="AB336" i="5"/>
  <c r="AC336" i="5"/>
  <c r="AD336" i="5"/>
  <c r="AE336" i="5"/>
  <c r="AF336" i="5"/>
  <c r="AG336" i="5"/>
  <c r="AH336" i="5"/>
  <c r="AI336" i="5"/>
  <c r="AJ336" i="5"/>
  <c r="AK336" i="5"/>
  <c r="AM336" i="5" s="1"/>
  <c r="AN336" i="5"/>
  <c r="AB337" i="5"/>
  <c r="AC337" i="5"/>
  <c r="AD337" i="5"/>
  <c r="AE337" i="5"/>
  <c r="AF337" i="5"/>
  <c r="AG337" i="5"/>
  <c r="AH337" i="5"/>
  <c r="AI337" i="5"/>
  <c r="AJ337" i="5"/>
  <c r="AK337" i="5"/>
  <c r="AM337" i="5" s="1"/>
  <c r="AN337" i="5"/>
  <c r="AB338" i="5"/>
  <c r="AC338" i="5"/>
  <c r="AD338" i="5"/>
  <c r="AE338" i="5"/>
  <c r="AF338" i="5"/>
  <c r="AG338" i="5"/>
  <c r="AH338" i="5"/>
  <c r="AI338" i="5"/>
  <c r="AJ338" i="5"/>
  <c r="AK338" i="5"/>
  <c r="AM338" i="5" s="1"/>
  <c r="AN338" i="5"/>
  <c r="AB339" i="5"/>
  <c r="AC339" i="5"/>
  <c r="AD339" i="5"/>
  <c r="AE339" i="5"/>
  <c r="AF339" i="5"/>
  <c r="AG339" i="5"/>
  <c r="AH339" i="5"/>
  <c r="AI339" i="5"/>
  <c r="AJ339" i="5"/>
  <c r="AK339" i="5"/>
  <c r="AM339" i="5" s="1"/>
  <c r="AN339" i="5"/>
  <c r="AB340" i="5"/>
  <c r="AC340" i="5"/>
  <c r="AD340" i="5"/>
  <c r="AE340" i="5"/>
  <c r="AF340" i="5"/>
  <c r="AG340" i="5"/>
  <c r="AH340" i="5"/>
  <c r="AI340" i="5"/>
  <c r="AJ340" i="5"/>
  <c r="AK340" i="5"/>
  <c r="AM340" i="5" s="1"/>
  <c r="AN340" i="5"/>
  <c r="AB341" i="5"/>
  <c r="AC341" i="5"/>
  <c r="AD341" i="5"/>
  <c r="AE341" i="5"/>
  <c r="AF341" i="5"/>
  <c r="AG341" i="5"/>
  <c r="AH341" i="5"/>
  <c r="AI341" i="5"/>
  <c r="AJ341" i="5"/>
  <c r="AK341" i="5"/>
  <c r="AM341" i="5" s="1"/>
  <c r="AN341" i="5"/>
  <c r="AB342" i="5"/>
  <c r="AC342" i="5"/>
  <c r="AD342" i="5"/>
  <c r="AE342" i="5"/>
  <c r="AF342" i="5"/>
  <c r="AG342" i="5"/>
  <c r="AH342" i="5"/>
  <c r="AI342" i="5"/>
  <c r="AJ342" i="5"/>
  <c r="AK342" i="5"/>
  <c r="AM342" i="5" s="1"/>
  <c r="AN342" i="5"/>
  <c r="AB343" i="5"/>
  <c r="AC343" i="5"/>
  <c r="AD343" i="5"/>
  <c r="AE343" i="5"/>
  <c r="AF343" i="5"/>
  <c r="AG343" i="5"/>
  <c r="AH343" i="5"/>
  <c r="AI343" i="5"/>
  <c r="AJ343" i="5"/>
  <c r="AK343" i="5"/>
  <c r="AM343" i="5" s="1"/>
  <c r="AN343" i="5"/>
  <c r="AB344" i="5"/>
  <c r="AC344" i="5"/>
  <c r="AD344" i="5"/>
  <c r="AE344" i="5"/>
  <c r="AF344" i="5"/>
  <c r="AG344" i="5"/>
  <c r="AH344" i="5"/>
  <c r="AI344" i="5"/>
  <c r="AJ344" i="5"/>
  <c r="AK344" i="5"/>
  <c r="AM344" i="5" s="1"/>
  <c r="AN344" i="5"/>
  <c r="AB345" i="5"/>
  <c r="AC345" i="5"/>
  <c r="AD345" i="5"/>
  <c r="AE345" i="5"/>
  <c r="AF345" i="5"/>
  <c r="AG345" i="5"/>
  <c r="AH345" i="5"/>
  <c r="AI345" i="5"/>
  <c r="AJ345" i="5"/>
  <c r="AK345" i="5"/>
  <c r="AM345" i="5" s="1"/>
  <c r="AN345" i="5"/>
  <c r="AB346" i="5"/>
  <c r="AC346" i="5"/>
  <c r="AD346" i="5"/>
  <c r="AE346" i="5"/>
  <c r="AF346" i="5"/>
  <c r="AG346" i="5"/>
  <c r="AH346" i="5"/>
  <c r="AI346" i="5"/>
  <c r="AJ346" i="5"/>
  <c r="AK346" i="5"/>
  <c r="AM346" i="5" s="1"/>
  <c r="AN346" i="5"/>
  <c r="AB347" i="5"/>
  <c r="AC347" i="5"/>
  <c r="AD347" i="5"/>
  <c r="AE347" i="5"/>
  <c r="AF347" i="5"/>
  <c r="AG347" i="5"/>
  <c r="AH347" i="5"/>
  <c r="AI347" i="5"/>
  <c r="AJ347" i="5"/>
  <c r="AK347" i="5"/>
  <c r="AM347" i="5" s="1"/>
  <c r="AN347" i="5"/>
  <c r="AB348" i="5"/>
  <c r="AC348" i="5"/>
  <c r="AD348" i="5"/>
  <c r="AE348" i="5"/>
  <c r="AF348" i="5"/>
  <c r="AG348" i="5"/>
  <c r="AH348" i="5"/>
  <c r="AI348" i="5"/>
  <c r="AJ348" i="5"/>
  <c r="AK348" i="5"/>
  <c r="AM348" i="5" s="1"/>
  <c r="AN348" i="5"/>
  <c r="AB349" i="5"/>
  <c r="AC349" i="5"/>
  <c r="AD349" i="5"/>
  <c r="AE349" i="5"/>
  <c r="AF349" i="5"/>
  <c r="AG349" i="5"/>
  <c r="AH349" i="5"/>
  <c r="AI349" i="5"/>
  <c r="AJ349" i="5"/>
  <c r="AK349" i="5"/>
  <c r="AM349" i="5" s="1"/>
  <c r="AN349" i="5"/>
  <c r="AB350" i="5"/>
  <c r="AC350" i="5"/>
  <c r="AD350" i="5"/>
  <c r="AE350" i="5"/>
  <c r="AF350" i="5"/>
  <c r="AG350" i="5"/>
  <c r="AH350" i="5"/>
  <c r="AI350" i="5"/>
  <c r="AJ350" i="5"/>
  <c r="AK350" i="5"/>
  <c r="AM350" i="5" s="1"/>
  <c r="AN350" i="5"/>
  <c r="AB351" i="5"/>
  <c r="AC351" i="5"/>
  <c r="AD351" i="5"/>
  <c r="AE351" i="5"/>
  <c r="AF351" i="5"/>
  <c r="AG351" i="5"/>
  <c r="AH351" i="5"/>
  <c r="AI351" i="5"/>
  <c r="AJ351" i="5"/>
  <c r="AK351" i="5"/>
  <c r="AM351" i="5" s="1"/>
  <c r="AN351" i="5"/>
  <c r="AB352" i="5"/>
  <c r="AC352" i="5"/>
  <c r="AD352" i="5"/>
  <c r="AE352" i="5"/>
  <c r="AF352" i="5"/>
  <c r="AG352" i="5"/>
  <c r="AH352" i="5"/>
  <c r="AI352" i="5"/>
  <c r="AJ352" i="5"/>
  <c r="AK352" i="5"/>
  <c r="AM352" i="5" s="1"/>
  <c r="AN352" i="5"/>
  <c r="AB353" i="5"/>
  <c r="AC353" i="5"/>
  <c r="AD353" i="5"/>
  <c r="AE353" i="5"/>
  <c r="AF353" i="5"/>
  <c r="AG353" i="5"/>
  <c r="AH353" i="5"/>
  <c r="AI353" i="5"/>
  <c r="AJ353" i="5"/>
  <c r="AK353" i="5"/>
  <c r="AM353" i="5" s="1"/>
  <c r="AN353" i="5"/>
  <c r="AB354" i="5"/>
  <c r="AC354" i="5"/>
  <c r="AD354" i="5"/>
  <c r="AE354" i="5"/>
  <c r="AF354" i="5"/>
  <c r="AG354" i="5"/>
  <c r="AH354" i="5"/>
  <c r="AI354" i="5"/>
  <c r="AJ354" i="5"/>
  <c r="AK354" i="5"/>
  <c r="AM354" i="5" s="1"/>
  <c r="AN354" i="5"/>
  <c r="AB355" i="5"/>
  <c r="AC355" i="5"/>
  <c r="AD355" i="5"/>
  <c r="AE355" i="5"/>
  <c r="AF355" i="5"/>
  <c r="AG355" i="5"/>
  <c r="AH355" i="5"/>
  <c r="AI355" i="5"/>
  <c r="AJ355" i="5"/>
  <c r="AK355" i="5"/>
  <c r="AM355" i="5" s="1"/>
  <c r="AN355" i="5"/>
  <c r="AB356" i="5"/>
  <c r="AC356" i="5"/>
  <c r="AD356" i="5"/>
  <c r="AE356" i="5"/>
  <c r="AF356" i="5"/>
  <c r="AG356" i="5"/>
  <c r="AH356" i="5"/>
  <c r="AI356" i="5"/>
  <c r="AJ356" i="5"/>
  <c r="AK356" i="5"/>
  <c r="AM356" i="5" s="1"/>
  <c r="AN356" i="5"/>
  <c r="AB357" i="5"/>
  <c r="AC357" i="5"/>
  <c r="AD357" i="5"/>
  <c r="AE357" i="5"/>
  <c r="AF357" i="5"/>
  <c r="AG357" i="5"/>
  <c r="AH357" i="5"/>
  <c r="AI357" i="5"/>
  <c r="AJ357" i="5"/>
  <c r="AK357" i="5"/>
  <c r="AM357" i="5" s="1"/>
  <c r="AN357" i="5"/>
  <c r="AB358" i="5"/>
  <c r="AC358" i="5"/>
  <c r="AD358" i="5"/>
  <c r="AE358" i="5"/>
  <c r="AF358" i="5"/>
  <c r="AG358" i="5"/>
  <c r="AH358" i="5"/>
  <c r="AI358" i="5"/>
  <c r="AJ358" i="5"/>
  <c r="AK358" i="5"/>
  <c r="AM358" i="5" s="1"/>
  <c r="AN358" i="5"/>
  <c r="AB359" i="5"/>
  <c r="AC359" i="5"/>
  <c r="AD359" i="5"/>
  <c r="AE359" i="5"/>
  <c r="AF359" i="5"/>
  <c r="AG359" i="5"/>
  <c r="AH359" i="5"/>
  <c r="AI359" i="5"/>
  <c r="AJ359" i="5"/>
  <c r="AK359" i="5"/>
  <c r="AM359" i="5" s="1"/>
  <c r="AN359" i="5"/>
  <c r="AB360" i="5"/>
  <c r="AC360" i="5"/>
  <c r="AD360" i="5"/>
  <c r="AE360" i="5"/>
  <c r="AF360" i="5"/>
  <c r="AG360" i="5"/>
  <c r="AH360" i="5"/>
  <c r="AI360" i="5"/>
  <c r="AJ360" i="5"/>
  <c r="AK360" i="5"/>
  <c r="AM360" i="5" s="1"/>
  <c r="AN360" i="5"/>
  <c r="AB361" i="5"/>
  <c r="AC361" i="5"/>
  <c r="AD361" i="5"/>
  <c r="AE361" i="5"/>
  <c r="AF361" i="5"/>
  <c r="AG361" i="5"/>
  <c r="AH361" i="5"/>
  <c r="AI361" i="5"/>
  <c r="AJ361" i="5"/>
  <c r="AK361" i="5"/>
  <c r="AM361" i="5" s="1"/>
  <c r="AN361" i="5"/>
  <c r="AB362" i="5"/>
  <c r="AC362" i="5"/>
  <c r="AD362" i="5"/>
  <c r="AE362" i="5"/>
  <c r="AF362" i="5"/>
  <c r="AG362" i="5"/>
  <c r="AH362" i="5"/>
  <c r="AI362" i="5"/>
  <c r="AJ362" i="5"/>
  <c r="AK362" i="5"/>
  <c r="AM362" i="5" s="1"/>
  <c r="AN362" i="5"/>
  <c r="AB363" i="5"/>
  <c r="AC363" i="5"/>
  <c r="AD363" i="5"/>
  <c r="AE363" i="5"/>
  <c r="AF363" i="5"/>
  <c r="AG363" i="5"/>
  <c r="AH363" i="5"/>
  <c r="AI363" i="5"/>
  <c r="AJ363" i="5"/>
  <c r="AK363" i="5"/>
  <c r="AM363" i="5" s="1"/>
  <c r="AN363" i="5"/>
  <c r="AB364" i="5"/>
  <c r="AC364" i="5"/>
  <c r="AD364" i="5"/>
  <c r="AE364" i="5"/>
  <c r="AF364" i="5"/>
  <c r="AG364" i="5"/>
  <c r="AH364" i="5"/>
  <c r="AI364" i="5"/>
  <c r="AJ364" i="5"/>
  <c r="AK364" i="5"/>
  <c r="AM364" i="5" s="1"/>
  <c r="AN364" i="5"/>
  <c r="AB365" i="5"/>
  <c r="AC365" i="5"/>
  <c r="AD365" i="5"/>
  <c r="AE365" i="5"/>
  <c r="AF365" i="5"/>
  <c r="AG365" i="5"/>
  <c r="AH365" i="5"/>
  <c r="AI365" i="5"/>
  <c r="AJ365" i="5"/>
  <c r="AK365" i="5"/>
  <c r="AM365" i="5" s="1"/>
  <c r="AN365" i="5"/>
  <c r="AB366" i="5"/>
  <c r="AC366" i="5"/>
  <c r="AD366" i="5"/>
  <c r="AE366" i="5"/>
  <c r="AF366" i="5"/>
  <c r="AG366" i="5"/>
  <c r="AH366" i="5"/>
  <c r="AI366" i="5"/>
  <c r="AJ366" i="5"/>
  <c r="AK366" i="5"/>
  <c r="AM366" i="5" s="1"/>
  <c r="AN366" i="5"/>
  <c r="AB367" i="5"/>
  <c r="AC367" i="5"/>
  <c r="AD367" i="5"/>
  <c r="AE367" i="5"/>
  <c r="AF367" i="5"/>
  <c r="AG367" i="5"/>
  <c r="AH367" i="5"/>
  <c r="AI367" i="5"/>
  <c r="AJ367" i="5"/>
  <c r="AK367" i="5"/>
  <c r="AM367" i="5" s="1"/>
  <c r="AN367" i="5"/>
  <c r="AB368" i="5"/>
  <c r="AC368" i="5"/>
  <c r="AD368" i="5"/>
  <c r="AE368" i="5"/>
  <c r="AF368" i="5"/>
  <c r="AG368" i="5"/>
  <c r="AH368" i="5"/>
  <c r="AI368" i="5"/>
  <c r="AJ368" i="5"/>
  <c r="AK368" i="5"/>
  <c r="AM368" i="5" s="1"/>
  <c r="AN368" i="5"/>
  <c r="AB369" i="5"/>
  <c r="AC369" i="5"/>
  <c r="AD369" i="5"/>
  <c r="AE369" i="5"/>
  <c r="AF369" i="5"/>
  <c r="AG369" i="5"/>
  <c r="AH369" i="5"/>
  <c r="AI369" i="5"/>
  <c r="AJ369" i="5"/>
  <c r="AK369" i="5"/>
  <c r="AM369" i="5" s="1"/>
  <c r="AN369" i="5"/>
  <c r="AB370" i="5"/>
  <c r="AC370" i="5"/>
  <c r="AD370" i="5"/>
  <c r="AE370" i="5"/>
  <c r="AF370" i="5"/>
  <c r="AG370" i="5"/>
  <c r="AH370" i="5"/>
  <c r="AI370" i="5"/>
  <c r="AJ370" i="5"/>
  <c r="AK370" i="5"/>
  <c r="AM370" i="5" s="1"/>
  <c r="AN370" i="5"/>
  <c r="AB371" i="5"/>
  <c r="AC371" i="5"/>
  <c r="AD371" i="5"/>
  <c r="AE371" i="5"/>
  <c r="AF371" i="5"/>
  <c r="AG371" i="5"/>
  <c r="AH371" i="5"/>
  <c r="AI371" i="5"/>
  <c r="AJ371" i="5"/>
  <c r="AK371" i="5"/>
  <c r="AM371" i="5" s="1"/>
  <c r="AN371" i="5"/>
  <c r="AB372" i="5"/>
  <c r="AC372" i="5"/>
  <c r="AD372" i="5"/>
  <c r="AE372" i="5"/>
  <c r="AF372" i="5"/>
  <c r="AG372" i="5"/>
  <c r="AH372" i="5"/>
  <c r="AI372" i="5"/>
  <c r="AJ372" i="5"/>
  <c r="AK372" i="5"/>
  <c r="AM372" i="5" s="1"/>
  <c r="AN372" i="5"/>
  <c r="AB373" i="5"/>
  <c r="AC373" i="5"/>
  <c r="AD373" i="5"/>
  <c r="AE373" i="5"/>
  <c r="AF373" i="5"/>
  <c r="AG373" i="5"/>
  <c r="AH373" i="5"/>
  <c r="AI373" i="5"/>
  <c r="AJ373" i="5"/>
  <c r="AK373" i="5"/>
  <c r="AM373" i="5" s="1"/>
  <c r="AN373" i="5"/>
  <c r="AB374" i="5"/>
  <c r="AC374" i="5"/>
  <c r="AD374" i="5"/>
  <c r="AE374" i="5"/>
  <c r="AF374" i="5"/>
  <c r="AG374" i="5"/>
  <c r="AH374" i="5"/>
  <c r="AI374" i="5"/>
  <c r="AJ374" i="5"/>
  <c r="AK374" i="5"/>
  <c r="AM374" i="5" s="1"/>
  <c r="AN374" i="5"/>
  <c r="AB375" i="5"/>
  <c r="AC375" i="5"/>
  <c r="AD375" i="5"/>
  <c r="AE375" i="5"/>
  <c r="AF375" i="5"/>
  <c r="AG375" i="5"/>
  <c r="AH375" i="5"/>
  <c r="AI375" i="5"/>
  <c r="AJ375" i="5"/>
  <c r="AK375" i="5"/>
  <c r="AM375" i="5" s="1"/>
  <c r="AN375" i="5"/>
  <c r="AB376" i="5"/>
  <c r="AC376" i="5"/>
  <c r="AD376" i="5"/>
  <c r="AE376" i="5"/>
  <c r="AF376" i="5"/>
  <c r="AG376" i="5"/>
  <c r="AH376" i="5"/>
  <c r="AI376" i="5"/>
  <c r="AJ376" i="5"/>
  <c r="AK376" i="5"/>
  <c r="AM376" i="5" s="1"/>
  <c r="AN376" i="5"/>
  <c r="AB377" i="5"/>
  <c r="AC377" i="5"/>
  <c r="AD377" i="5"/>
  <c r="AE377" i="5"/>
  <c r="AF377" i="5"/>
  <c r="AG377" i="5"/>
  <c r="AH377" i="5"/>
  <c r="AI377" i="5"/>
  <c r="AJ377" i="5"/>
  <c r="AK377" i="5"/>
  <c r="AM377" i="5" s="1"/>
  <c r="AN377" i="5"/>
  <c r="AB378" i="5"/>
  <c r="AC378" i="5"/>
  <c r="AD378" i="5"/>
  <c r="AE378" i="5"/>
  <c r="AF378" i="5"/>
  <c r="AG378" i="5"/>
  <c r="AH378" i="5"/>
  <c r="AI378" i="5"/>
  <c r="AJ378" i="5"/>
  <c r="AK378" i="5"/>
  <c r="AM378" i="5" s="1"/>
  <c r="AN378" i="5"/>
  <c r="AB379" i="5"/>
  <c r="AC379" i="5"/>
  <c r="AD379" i="5"/>
  <c r="AE379" i="5"/>
  <c r="AF379" i="5"/>
  <c r="AG379" i="5"/>
  <c r="AH379" i="5"/>
  <c r="AI379" i="5"/>
  <c r="AJ379" i="5"/>
  <c r="AK379" i="5"/>
  <c r="AM379" i="5" s="1"/>
  <c r="AN379" i="5"/>
  <c r="AB380" i="5"/>
  <c r="AC380" i="5"/>
  <c r="AD380" i="5"/>
  <c r="AE380" i="5"/>
  <c r="AF380" i="5"/>
  <c r="AG380" i="5"/>
  <c r="AH380" i="5"/>
  <c r="AI380" i="5"/>
  <c r="AJ380" i="5"/>
  <c r="AK380" i="5"/>
  <c r="AM380" i="5" s="1"/>
  <c r="AN380" i="5"/>
  <c r="AB381" i="5"/>
  <c r="AC381" i="5"/>
  <c r="AD381" i="5"/>
  <c r="AE381" i="5"/>
  <c r="AF381" i="5"/>
  <c r="AG381" i="5"/>
  <c r="AH381" i="5"/>
  <c r="AI381" i="5"/>
  <c r="AJ381" i="5"/>
  <c r="AK381" i="5"/>
  <c r="AM381" i="5" s="1"/>
  <c r="AN381" i="5"/>
  <c r="AB382" i="5"/>
  <c r="AC382" i="5"/>
  <c r="AD382" i="5"/>
  <c r="AE382" i="5"/>
  <c r="AF382" i="5"/>
  <c r="AG382" i="5"/>
  <c r="AH382" i="5"/>
  <c r="AI382" i="5"/>
  <c r="AJ382" i="5"/>
  <c r="AK382" i="5"/>
  <c r="AM382" i="5" s="1"/>
  <c r="AN382" i="5"/>
  <c r="AB383" i="5"/>
  <c r="AC383" i="5"/>
  <c r="AD383" i="5"/>
  <c r="AE383" i="5"/>
  <c r="AF383" i="5"/>
  <c r="AG383" i="5"/>
  <c r="AH383" i="5"/>
  <c r="AI383" i="5"/>
  <c r="AJ383" i="5"/>
  <c r="AK383" i="5"/>
  <c r="AM383" i="5" s="1"/>
  <c r="AN383" i="5"/>
  <c r="AB384" i="5"/>
  <c r="AC384" i="5"/>
  <c r="AD384" i="5"/>
  <c r="AE384" i="5"/>
  <c r="AF384" i="5"/>
  <c r="AG384" i="5"/>
  <c r="AH384" i="5"/>
  <c r="AI384" i="5"/>
  <c r="AJ384" i="5"/>
  <c r="AK384" i="5"/>
  <c r="AM384" i="5" s="1"/>
  <c r="AN384" i="5"/>
  <c r="AB385" i="5"/>
  <c r="AC385" i="5"/>
  <c r="AD385" i="5"/>
  <c r="AE385" i="5"/>
  <c r="AF385" i="5"/>
  <c r="AG385" i="5"/>
  <c r="AH385" i="5"/>
  <c r="AI385" i="5"/>
  <c r="AJ385" i="5"/>
  <c r="AK385" i="5"/>
  <c r="AM385" i="5" s="1"/>
  <c r="AN385" i="5"/>
  <c r="AB386" i="5"/>
  <c r="AC386" i="5"/>
  <c r="AD386" i="5"/>
  <c r="AE386" i="5"/>
  <c r="AF386" i="5"/>
  <c r="AG386" i="5"/>
  <c r="AH386" i="5"/>
  <c r="AI386" i="5"/>
  <c r="AJ386" i="5"/>
  <c r="AK386" i="5"/>
  <c r="AM386" i="5" s="1"/>
  <c r="AN386" i="5"/>
  <c r="AB387" i="5"/>
  <c r="AC387" i="5"/>
  <c r="AD387" i="5"/>
  <c r="AE387" i="5"/>
  <c r="AF387" i="5"/>
  <c r="AG387" i="5"/>
  <c r="AH387" i="5"/>
  <c r="AI387" i="5"/>
  <c r="AJ387" i="5"/>
  <c r="AK387" i="5"/>
  <c r="AM387" i="5" s="1"/>
  <c r="AN387" i="5"/>
  <c r="AB388" i="5"/>
  <c r="AC388" i="5"/>
  <c r="AD388" i="5"/>
  <c r="AE388" i="5"/>
  <c r="AF388" i="5"/>
  <c r="AG388" i="5"/>
  <c r="AH388" i="5"/>
  <c r="AI388" i="5"/>
  <c r="AJ388" i="5"/>
  <c r="AK388" i="5"/>
  <c r="AM388" i="5" s="1"/>
  <c r="AN388" i="5"/>
  <c r="AB389" i="5"/>
  <c r="AC389" i="5"/>
  <c r="AD389" i="5"/>
  <c r="AE389" i="5"/>
  <c r="AF389" i="5"/>
  <c r="AG389" i="5"/>
  <c r="AH389" i="5"/>
  <c r="AI389" i="5"/>
  <c r="AJ389" i="5"/>
  <c r="AK389" i="5"/>
  <c r="AM389" i="5" s="1"/>
  <c r="AN389" i="5"/>
  <c r="AB390" i="5"/>
  <c r="AC390" i="5"/>
  <c r="AD390" i="5"/>
  <c r="AE390" i="5"/>
  <c r="AF390" i="5"/>
  <c r="AG390" i="5"/>
  <c r="AH390" i="5"/>
  <c r="AI390" i="5"/>
  <c r="AJ390" i="5"/>
  <c r="AK390" i="5"/>
  <c r="AM390" i="5" s="1"/>
  <c r="AN390" i="5"/>
  <c r="AB391" i="5"/>
  <c r="AC391" i="5"/>
  <c r="AD391" i="5"/>
  <c r="AE391" i="5"/>
  <c r="AF391" i="5"/>
  <c r="AG391" i="5"/>
  <c r="AH391" i="5"/>
  <c r="AI391" i="5"/>
  <c r="AJ391" i="5"/>
  <c r="AK391" i="5"/>
  <c r="AM391" i="5" s="1"/>
  <c r="AN391" i="5"/>
  <c r="AB392" i="5"/>
  <c r="AC392" i="5"/>
  <c r="AD392" i="5"/>
  <c r="AE392" i="5"/>
  <c r="AF392" i="5"/>
  <c r="AG392" i="5"/>
  <c r="AH392" i="5"/>
  <c r="AI392" i="5"/>
  <c r="AJ392" i="5"/>
  <c r="AK392" i="5"/>
  <c r="AM392" i="5" s="1"/>
  <c r="AN392" i="5"/>
  <c r="AB393" i="5"/>
  <c r="AC393" i="5"/>
  <c r="AD393" i="5"/>
  <c r="AE393" i="5"/>
  <c r="AF393" i="5"/>
  <c r="AG393" i="5"/>
  <c r="AH393" i="5"/>
  <c r="AI393" i="5"/>
  <c r="AJ393" i="5"/>
  <c r="AK393" i="5"/>
  <c r="AM393" i="5" s="1"/>
  <c r="AN393" i="5"/>
  <c r="AB394" i="5"/>
  <c r="AC394" i="5"/>
  <c r="AD394" i="5"/>
  <c r="AE394" i="5"/>
  <c r="AF394" i="5"/>
  <c r="AG394" i="5"/>
  <c r="AH394" i="5"/>
  <c r="AI394" i="5"/>
  <c r="AJ394" i="5"/>
  <c r="AK394" i="5"/>
  <c r="AM394" i="5" s="1"/>
  <c r="AN394" i="5"/>
  <c r="AB395" i="5"/>
  <c r="AC395" i="5"/>
  <c r="AD395" i="5"/>
  <c r="AE395" i="5"/>
  <c r="AF395" i="5"/>
  <c r="AG395" i="5"/>
  <c r="AH395" i="5"/>
  <c r="AI395" i="5"/>
  <c r="AJ395" i="5"/>
  <c r="AK395" i="5"/>
  <c r="AM395" i="5" s="1"/>
  <c r="AN395" i="5"/>
  <c r="AB396" i="5"/>
  <c r="AC396" i="5"/>
  <c r="AD396" i="5"/>
  <c r="AE396" i="5"/>
  <c r="AF396" i="5"/>
  <c r="AG396" i="5"/>
  <c r="AH396" i="5"/>
  <c r="AI396" i="5"/>
  <c r="AJ396" i="5"/>
  <c r="AK396" i="5"/>
  <c r="AM396" i="5" s="1"/>
  <c r="AN396" i="5"/>
  <c r="AB397" i="5"/>
  <c r="AC397" i="5"/>
  <c r="AD397" i="5"/>
  <c r="AE397" i="5"/>
  <c r="AF397" i="5"/>
  <c r="AG397" i="5"/>
  <c r="AH397" i="5"/>
  <c r="AI397" i="5"/>
  <c r="AJ397" i="5"/>
  <c r="AK397" i="5"/>
  <c r="AM397" i="5" s="1"/>
  <c r="AN397" i="5"/>
  <c r="AB398" i="5"/>
  <c r="AC398" i="5"/>
  <c r="AD398" i="5"/>
  <c r="AE398" i="5"/>
  <c r="AF398" i="5"/>
  <c r="AG398" i="5"/>
  <c r="AH398" i="5"/>
  <c r="AI398" i="5"/>
  <c r="AJ398" i="5"/>
  <c r="AK398" i="5"/>
  <c r="AM398" i="5" s="1"/>
  <c r="AN398" i="5"/>
  <c r="AB399" i="5"/>
  <c r="AC399" i="5"/>
  <c r="AD399" i="5"/>
  <c r="AE399" i="5"/>
  <c r="AF399" i="5"/>
  <c r="AG399" i="5"/>
  <c r="AH399" i="5"/>
  <c r="AI399" i="5"/>
  <c r="AJ399" i="5"/>
  <c r="AK399" i="5"/>
  <c r="AM399" i="5" s="1"/>
  <c r="AN399" i="5"/>
  <c r="AB400" i="5"/>
  <c r="AC400" i="5"/>
  <c r="AD400" i="5"/>
  <c r="AE400" i="5"/>
  <c r="AF400" i="5"/>
  <c r="AG400" i="5"/>
  <c r="AH400" i="5"/>
  <c r="AI400" i="5"/>
  <c r="AJ400" i="5"/>
  <c r="AK400" i="5"/>
  <c r="AM400" i="5" s="1"/>
  <c r="AN400" i="5"/>
  <c r="AB401" i="5"/>
  <c r="AC401" i="5"/>
  <c r="AD401" i="5"/>
  <c r="AE401" i="5"/>
  <c r="AF401" i="5"/>
  <c r="AG401" i="5"/>
  <c r="AH401" i="5"/>
  <c r="AI401" i="5"/>
  <c r="AJ401" i="5"/>
  <c r="AK401" i="5"/>
  <c r="AM401" i="5" s="1"/>
  <c r="AN401" i="5"/>
  <c r="AB402" i="5"/>
  <c r="AC402" i="5"/>
  <c r="AD402" i="5"/>
  <c r="AE402" i="5"/>
  <c r="AF402" i="5"/>
  <c r="AG402" i="5"/>
  <c r="AH402" i="5"/>
  <c r="AI402" i="5"/>
  <c r="AJ402" i="5"/>
  <c r="AK402" i="5"/>
  <c r="AM402" i="5" s="1"/>
  <c r="AN402" i="5"/>
  <c r="AB403" i="5"/>
  <c r="AC403" i="5"/>
  <c r="AD403" i="5"/>
  <c r="AE403" i="5"/>
  <c r="AF403" i="5"/>
  <c r="AG403" i="5"/>
  <c r="AH403" i="5"/>
  <c r="AI403" i="5"/>
  <c r="AJ403" i="5"/>
  <c r="AK403" i="5"/>
  <c r="AM403" i="5" s="1"/>
  <c r="AN403" i="5"/>
  <c r="AB404" i="5"/>
  <c r="AC404" i="5"/>
  <c r="AD404" i="5"/>
  <c r="AE404" i="5"/>
  <c r="AF404" i="5"/>
  <c r="AG404" i="5"/>
  <c r="AH404" i="5"/>
  <c r="AI404" i="5"/>
  <c r="AJ404" i="5"/>
  <c r="AK404" i="5"/>
  <c r="AM404" i="5" s="1"/>
  <c r="AN404" i="5"/>
  <c r="AB405" i="5"/>
  <c r="AC405" i="5"/>
  <c r="AD405" i="5"/>
  <c r="AE405" i="5"/>
  <c r="AF405" i="5"/>
  <c r="AG405" i="5"/>
  <c r="AH405" i="5"/>
  <c r="AI405" i="5"/>
  <c r="AJ405" i="5"/>
  <c r="AK405" i="5"/>
  <c r="AM405" i="5" s="1"/>
  <c r="AN405" i="5"/>
  <c r="AB406" i="5"/>
  <c r="AC406" i="5"/>
  <c r="AD406" i="5"/>
  <c r="AE406" i="5"/>
  <c r="AF406" i="5"/>
  <c r="AG406" i="5"/>
  <c r="AH406" i="5"/>
  <c r="AI406" i="5"/>
  <c r="AJ406" i="5"/>
  <c r="AK406" i="5"/>
  <c r="AM406" i="5" s="1"/>
  <c r="AN406" i="5"/>
  <c r="AB407" i="5"/>
  <c r="AC407" i="5"/>
  <c r="AD407" i="5"/>
  <c r="AE407" i="5"/>
  <c r="AF407" i="5"/>
  <c r="AG407" i="5"/>
  <c r="AH407" i="5"/>
  <c r="AI407" i="5"/>
  <c r="AJ407" i="5"/>
  <c r="AK407" i="5"/>
  <c r="AM407" i="5" s="1"/>
  <c r="AN407" i="5"/>
  <c r="AB408" i="5"/>
  <c r="AC408" i="5"/>
  <c r="AD408" i="5"/>
  <c r="AE408" i="5"/>
  <c r="AF408" i="5"/>
  <c r="AG408" i="5"/>
  <c r="AH408" i="5"/>
  <c r="AI408" i="5"/>
  <c r="AJ408" i="5"/>
  <c r="AK408" i="5"/>
  <c r="AM408" i="5" s="1"/>
  <c r="AN408" i="5"/>
  <c r="AB409" i="5"/>
  <c r="AC409" i="5"/>
  <c r="AD409" i="5"/>
  <c r="AE409" i="5"/>
  <c r="AF409" i="5"/>
  <c r="AG409" i="5"/>
  <c r="AH409" i="5"/>
  <c r="AI409" i="5"/>
  <c r="AJ409" i="5"/>
  <c r="AK409" i="5"/>
  <c r="AM409" i="5" s="1"/>
  <c r="AN409" i="5"/>
  <c r="AB410" i="5"/>
  <c r="AC410" i="5"/>
  <c r="AD410" i="5"/>
  <c r="AE410" i="5"/>
  <c r="AF410" i="5"/>
  <c r="AG410" i="5"/>
  <c r="AH410" i="5"/>
  <c r="AI410" i="5"/>
  <c r="AJ410" i="5"/>
  <c r="AK410" i="5"/>
  <c r="AM410" i="5" s="1"/>
  <c r="AN410" i="5"/>
  <c r="AB411" i="5"/>
  <c r="AC411" i="5"/>
  <c r="AD411" i="5"/>
  <c r="AE411" i="5"/>
  <c r="AF411" i="5"/>
  <c r="AG411" i="5"/>
  <c r="AH411" i="5"/>
  <c r="AI411" i="5"/>
  <c r="AJ411" i="5"/>
  <c r="AK411" i="5"/>
  <c r="AM411" i="5" s="1"/>
  <c r="AN411" i="5"/>
  <c r="AB412" i="5"/>
  <c r="AC412" i="5"/>
  <c r="AD412" i="5"/>
  <c r="AE412" i="5"/>
  <c r="AF412" i="5"/>
  <c r="AG412" i="5"/>
  <c r="AH412" i="5"/>
  <c r="AI412" i="5"/>
  <c r="AJ412" i="5"/>
  <c r="AK412" i="5"/>
  <c r="AM412" i="5" s="1"/>
  <c r="AN412" i="5"/>
  <c r="AB413" i="5"/>
  <c r="AC413" i="5"/>
  <c r="AD413" i="5"/>
  <c r="AE413" i="5"/>
  <c r="AF413" i="5"/>
  <c r="AG413" i="5"/>
  <c r="AH413" i="5"/>
  <c r="AI413" i="5"/>
  <c r="AJ413" i="5"/>
  <c r="AK413" i="5"/>
  <c r="AM413" i="5" s="1"/>
  <c r="AN413" i="5"/>
  <c r="AB414" i="5"/>
  <c r="AC414" i="5"/>
  <c r="AD414" i="5"/>
  <c r="AE414" i="5"/>
  <c r="AF414" i="5"/>
  <c r="AG414" i="5"/>
  <c r="AH414" i="5"/>
  <c r="AI414" i="5"/>
  <c r="AJ414" i="5"/>
  <c r="AK414" i="5"/>
  <c r="AM414" i="5" s="1"/>
  <c r="AN414" i="5"/>
  <c r="AB415" i="5"/>
  <c r="AC415" i="5"/>
  <c r="AD415" i="5"/>
  <c r="AE415" i="5"/>
  <c r="AF415" i="5"/>
  <c r="AG415" i="5"/>
  <c r="AH415" i="5"/>
  <c r="AI415" i="5"/>
  <c r="AJ415" i="5"/>
  <c r="AK415" i="5"/>
  <c r="AM415" i="5" s="1"/>
  <c r="AN415" i="5"/>
  <c r="AB416" i="5"/>
  <c r="AC416" i="5"/>
  <c r="AD416" i="5"/>
  <c r="AE416" i="5"/>
  <c r="AF416" i="5"/>
  <c r="AG416" i="5"/>
  <c r="AH416" i="5"/>
  <c r="AI416" i="5"/>
  <c r="AJ416" i="5"/>
  <c r="AK416" i="5"/>
  <c r="AM416" i="5" s="1"/>
  <c r="AN416" i="5"/>
  <c r="AB417" i="5"/>
  <c r="AC417" i="5"/>
  <c r="AD417" i="5"/>
  <c r="AE417" i="5"/>
  <c r="AF417" i="5"/>
  <c r="AG417" i="5"/>
  <c r="AH417" i="5"/>
  <c r="AI417" i="5"/>
  <c r="AJ417" i="5"/>
  <c r="AK417" i="5"/>
  <c r="AM417" i="5" s="1"/>
  <c r="AN417" i="5"/>
  <c r="AB418" i="5"/>
  <c r="AC418" i="5"/>
  <c r="AD418" i="5"/>
  <c r="AE418" i="5"/>
  <c r="AF418" i="5"/>
  <c r="AG418" i="5"/>
  <c r="AH418" i="5"/>
  <c r="AI418" i="5"/>
  <c r="AJ418" i="5"/>
  <c r="AK418" i="5"/>
  <c r="AM418" i="5" s="1"/>
  <c r="AN418" i="5"/>
  <c r="AB419" i="5"/>
  <c r="AC419" i="5"/>
  <c r="AD419" i="5"/>
  <c r="AE419" i="5"/>
  <c r="AF419" i="5"/>
  <c r="AG419" i="5"/>
  <c r="AH419" i="5"/>
  <c r="AI419" i="5"/>
  <c r="AJ419" i="5"/>
  <c r="AK419" i="5"/>
  <c r="AM419" i="5" s="1"/>
  <c r="AN419" i="5"/>
  <c r="AB420" i="5"/>
  <c r="AC420" i="5"/>
  <c r="AD420" i="5"/>
  <c r="AE420" i="5"/>
  <c r="AF420" i="5"/>
  <c r="AG420" i="5"/>
  <c r="AH420" i="5"/>
  <c r="AI420" i="5"/>
  <c r="AJ420" i="5"/>
  <c r="AK420" i="5"/>
  <c r="AM420" i="5" s="1"/>
  <c r="AN420" i="5"/>
  <c r="AB421" i="5"/>
  <c r="AC421" i="5"/>
  <c r="AD421" i="5"/>
  <c r="AE421" i="5"/>
  <c r="AF421" i="5"/>
  <c r="AG421" i="5"/>
  <c r="AH421" i="5"/>
  <c r="AI421" i="5"/>
  <c r="AJ421" i="5"/>
  <c r="AK421" i="5"/>
  <c r="AM421" i="5" s="1"/>
  <c r="AN421" i="5"/>
  <c r="AB422" i="5"/>
  <c r="AC422" i="5"/>
  <c r="AD422" i="5"/>
  <c r="AE422" i="5"/>
  <c r="AF422" i="5"/>
  <c r="AG422" i="5"/>
  <c r="AH422" i="5"/>
  <c r="AI422" i="5"/>
  <c r="AJ422" i="5"/>
  <c r="AK422" i="5"/>
  <c r="AM422" i="5" s="1"/>
  <c r="AN422" i="5"/>
  <c r="AB423" i="5"/>
  <c r="AC423" i="5"/>
  <c r="AD423" i="5"/>
  <c r="AE423" i="5"/>
  <c r="AF423" i="5"/>
  <c r="AG423" i="5"/>
  <c r="AH423" i="5"/>
  <c r="AI423" i="5"/>
  <c r="AJ423" i="5"/>
  <c r="AK423" i="5"/>
  <c r="AM423" i="5" s="1"/>
  <c r="AN423" i="5"/>
  <c r="AB424" i="5"/>
  <c r="AC424" i="5"/>
  <c r="AD424" i="5"/>
  <c r="AE424" i="5"/>
  <c r="AF424" i="5"/>
  <c r="AG424" i="5"/>
  <c r="AH424" i="5"/>
  <c r="AI424" i="5"/>
  <c r="AJ424" i="5"/>
  <c r="AK424" i="5"/>
  <c r="AM424" i="5" s="1"/>
  <c r="AN424" i="5"/>
  <c r="AB425" i="5"/>
  <c r="AC425" i="5"/>
  <c r="AD425" i="5"/>
  <c r="AE425" i="5"/>
  <c r="AF425" i="5"/>
  <c r="AG425" i="5"/>
  <c r="AH425" i="5"/>
  <c r="AI425" i="5"/>
  <c r="AJ425" i="5"/>
  <c r="AK425" i="5"/>
  <c r="AM425" i="5" s="1"/>
  <c r="AN425" i="5"/>
  <c r="AB426" i="5"/>
  <c r="AC426" i="5"/>
  <c r="AD426" i="5"/>
  <c r="AE426" i="5"/>
  <c r="AF426" i="5"/>
  <c r="AG426" i="5"/>
  <c r="AH426" i="5"/>
  <c r="AI426" i="5"/>
  <c r="AJ426" i="5"/>
  <c r="AK426" i="5"/>
  <c r="AM426" i="5" s="1"/>
  <c r="AN426" i="5"/>
  <c r="AB427" i="5"/>
  <c r="AC427" i="5"/>
  <c r="AD427" i="5"/>
  <c r="AE427" i="5"/>
  <c r="AF427" i="5"/>
  <c r="AG427" i="5"/>
  <c r="AH427" i="5"/>
  <c r="AI427" i="5"/>
  <c r="AJ427" i="5"/>
  <c r="AK427" i="5"/>
  <c r="AM427" i="5" s="1"/>
  <c r="AN427" i="5"/>
  <c r="AB428" i="5"/>
  <c r="AC428" i="5"/>
  <c r="AD428" i="5"/>
  <c r="AE428" i="5"/>
  <c r="AF428" i="5"/>
  <c r="AG428" i="5"/>
  <c r="AH428" i="5"/>
  <c r="AI428" i="5"/>
  <c r="AJ428" i="5"/>
  <c r="AK428" i="5"/>
  <c r="AM428" i="5" s="1"/>
  <c r="AN428" i="5"/>
  <c r="AB429" i="5"/>
  <c r="AC429" i="5"/>
  <c r="AD429" i="5"/>
  <c r="AE429" i="5"/>
  <c r="AF429" i="5"/>
  <c r="AG429" i="5"/>
  <c r="AH429" i="5"/>
  <c r="AI429" i="5"/>
  <c r="AJ429" i="5"/>
  <c r="AK429" i="5"/>
  <c r="AM429" i="5" s="1"/>
  <c r="AN429" i="5"/>
  <c r="AB430" i="5"/>
  <c r="AC430" i="5"/>
  <c r="AD430" i="5"/>
  <c r="AE430" i="5"/>
  <c r="AF430" i="5"/>
  <c r="AG430" i="5"/>
  <c r="AH430" i="5"/>
  <c r="AI430" i="5"/>
  <c r="AJ430" i="5"/>
  <c r="AK430" i="5"/>
  <c r="AM430" i="5" s="1"/>
  <c r="AN430" i="5"/>
  <c r="AB431" i="5"/>
  <c r="AC431" i="5"/>
  <c r="AD431" i="5"/>
  <c r="AE431" i="5"/>
  <c r="AF431" i="5"/>
  <c r="AG431" i="5"/>
  <c r="AH431" i="5"/>
  <c r="AI431" i="5"/>
  <c r="AJ431" i="5"/>
  <c r="AK431" i="5"/>
  <c r="AM431" i="5" s="1"/>
  <c r="AN431" i="5"/>
  <c r="AB432" i="5"/>
  <c r="AC432" i="5"/>
  <c r="AD432" i="5"/>
  <c r="AE432" i="5"/>
  <c r="AF432" i="5"/>
  <c r="AG432" i="5"/>
  <c r="AH432" i="5"/>
  <c r="AI432" i="5"/>
  <c r="AJ432" i="5"/>
  <c r="AK432" i="5"/>
  <c r="AM432" i="5" s="1"/>
  <c r="AN432" i="5"/>
  <c r="AB433" i="5"/>
  <c r="AC433" i="5"/>
  <c r="AD433" i="5"/>
  <c r="AE433" i="5"/>
  <c r="AF433" i="5"/>
  <c r="AG433" i="5"/>
  <c r="AH433" i="5"/>
  <c r="AI433" i="5"/>
  <c r="AJ433" i="5"/>
  <c r="AK433" i="5"/>
  <c r="AM433" i="5" s="1"/>
  <c r="AN433" i="5"/>
  <c r="AB434" i="5"/>
  <c r="AC434" i="5"/>
  <c r="AD434" i="5"/>
  <c r="AE434" i="5"/>
  <c r="AF434" i="5"/>
  <c r="AG434" i="5"/>
  <c r="AH434" i="5"/>
  <c r="AI434" i="5"/>
  <c r="AJ434" i="5"/>
  <c r="AK434" i="5"/>
  <c r="AM434" i="5" s="1"/>
  <c r="AN434" i="5"/>
  <c r="AB435" i="5"/>
  <c r="AC435" i="5"/>
  <c r="AD435" i="5"/>
  <c r="AE435" i="5"/>
  <c r="AF435" i="5"/>
  <c r="AG435" i="5"/>
  <c r="AH435" i="5"/>
  <c r="AI435" i="5"/>
  <c r="AJ435" i="5"/>
  <c r="AK435" i="5"/>
  <c r="AM435" i="5" s="1"/>
  <c r="AN435" i="5"/>
  <c r="AB436" i="5"/>
  <c r="AC436" i="5"/>
  <c r="AD436" i="5"/>
  <c r="AE436" i="5"/>
  <c r="AF436" i="5"/>
  <c r="AG436" i="5"/>
  <c r="AH436" i="5"/>
  <c r="AI436" i="5"/>
  <c r="AJ436" i="5"/>
  <c r="AK436" i="5"/>
  <c r="AM436" i="5" s="1"/>
  <c r="AN436" i="5"/>
  <c r="AB437" i="5"/>
  <c r="AC437" i="5"/>
  <c r="AD437" i="5"/>
  <c r="AE437" i="5"/>
  <c r="AF437" i="5"/>
  <c r="AG437" i="5"/>
  <c r="AH437" i="5"/>
  <c r="AI437" i="5"/>
  <c r="AJ437" i="5"/>
  <c r="AK437" i="5"/>
  <c r="AM437" i="5" s="1"/>
  <c r="AN437" i="5"/>
  <c r="AB438" i="5"/>
  <c r="AC438" i="5"/>
  <c r="AD438" i="5"/>
  <c r="AE438" i="5"/>
  <c r="AF438" i="5"/>
  <c r="AG438" i="5"/>
  <c r="AH438" i="5"/>
  <c r="AI438" i="5"/>
  <c r="AJ438" i="5"/>
  <c r="AK438" i="5"/>
  <c r="AM438" i="5" s="1"/>
  <c r="AN438" i="5"/>
  <c r="AB439" i="5"/>
  <c r="AC439" i="5"/>
  <c r="AD439" i="5"/>
  <c r="AE439" i="5"/>
  <c r="AF439" i="5"/>
  <c r="AG439" i="5"/>
  <c r="AH439" i="5"/>
  <c r="AI439" i="5"/>
  <c r="AJ439" i="5"/>
  <c r="AK439" i="5"/>
  <c r="AM439" i="5" s="1"/>
  <c r="AN439" i="5"/>
  <c r="AB440" i="5"/>
  <c r="AC440" i="5"/>
  <c r="AD440" i="5"/>
  <c r="AE440" i="5"/>
  <c r="AF440" i="5"/>
  <c r="AG440" i="5"/>
  <c r="AH440" i="5"/>
  <c r="AI440" i="5"/>
  <c r="AJ440" i="5"/>
  <c r="AK440" i="5"/>
  <c r="AM440" i="5" s="1"/>
  <c r="AN440" i="5"/>
  <c r="AB441" i="5"/>
  <c r="AC441" i="5"/>
  <c r="AD441" i="5"/>
  <c r="AE441" i="5"/>
  <c r="AF441" i="5"/>
  <c r="AG441" i="5"/>
  <c r="AH441" i="5"/>
  <c r="AI441" i="5"/>
  <c r="AJ441" i="5"/>
  <c r="AK441" i="5"/>
  <c r="AM441" i="5" s="1"/>
  <c r="AN441" i="5"/>
  <c r="AB442" i="5"/>
  <c r="AC442" i="5"/>
  <c r="AD442" i="5"/>
  <c r="AE442" i="5"/>
  <c r="AF442" i="5"/>
  <c r="AG442" i="5"/>
  <c r="AH442" i="5"/>
  <c r="AI442" i="5"/>
  <c r="AJ442" i="5"/>
  <c r="AK442" i="5"/>
  <c r="AM442" i="5" s="1"/>
  <c r="AN442" i="5"/>
  <c r="AB443" i="5"/>
  <c r="AC443" i="5"/>
  <c r="AD443" i="5"/>
  <c r="AE443" i="5"/>
  <c r="AF443" i="5"/>
  <c r="AG443" i="5"/>
  <c r="AH443" i="5"/>
  <c r="AI443" i="5"/>
  <c r="AJ443" i="5"/>
  <c r="AK443" i="5"/>
  <c r="AM443" i="5" s="1"/>
  <c r="AN443" i="5"/>
  <c r="AB444" i="5"/>
  <c r="AC444" i="5"/>
  <c r="AD444" i="5"/>
  <c r="AE444" i="5"/>
  <c r="AF444" i="5"/>
  <c r="AG444" i="5"/>
  <c r="AH444" i="5"/>
  <c r="AI444" i="5"/>
  <c r="AJ444" i="5"/>
  <c r="AK444" i="5"/>
  <c r="AM444" i="5" s="1"/>
  <c r="AN444" i="5"/>
  <c r="AB445" i="5"/>
  <c r="AC445" i="5"/>
  <c r="AD445" i="5"/>
  <c r="AE445" i="5"/>
  <c r="AF445" i="5"/>
  <c r="AG445" i="5"/>
  <c r="AH445" i="5"/>
  <c r="AI445" i="5"/>
  <c r="AJ445" i="5"/>
  <c r="AK445" i="5"/>
  <c r="AM445" i="5" s="1"/>
  <c r="AN445" i="5"/>
  <c r="AB446" i="5"/>
  <c r="AC446" i="5"/>
  <c r="AD446" i="5"/>
  <c r="AE446" i="5"/>
  <c r="AF446" i="5"/>
  <c r="AG446" i="5"/>
  <c r="AH446" i="5"/>
  <c r="AI446" i="5"/>
  <c r="AJ446" i="5"/>
  <c r="AK446" i="5"/>
  <c r="AM446" i="5" s="1"/>
  <c r="AN446" i="5"/>
  <c r="AB447" i="5"/>
  <c r="AC447" i="5"/>
  <c r="AD447" i="5"/>
  <c r="AE447" i="5"/>
  <c r="AF447" i="5"/>
  <c r="AG447" i="5"/>
  <c r="AH447" i="5"/>
  <c r="AI447" i="5"/>
  <c r="AJ447" i="5"/>
  <c r="AK447" i="5"/>
  <c r="AM447" i="5" s="1"/>
  <c r="AN447" i="5"/>
  <c r="AB448" i="5"/>
  <c r="AC448" i="5"/>
  <c r="AD448" i="5"/>
  <c r="AE448" i="5"/>
  <c r="AF448" i="5"/>
  <c r="AG448" i="5"/>
  <c r="AH448" i="5"/>
  <c r="AI448" i="5"/>
  <c r="AJ448" i="5"/>
  <c r="AK448" i="5"/>
  <c r="AM448" i="5" s="1"/>
  <c r="AN448" i="5"/>
  <c r="AB449" i="5"/>
  <c r="AC449" i="5"/>
  <c r="AD449" i="5"/>
  <c r="AE449" i="5"/>
  <c r="AF449" i="5"/>
  <c r="AG449" i="5"/>
  <c r="AH449" i="5"/>
  <c r="AI449" i="5"/>
  <c r="AJ449" i="5"/>
  <c r="AK449" i="5"/>
  <c r="AM449" i="5" s="1"/>
  <c r="AN449" i="5"/>
  <c r="AB450" i="5"/>
  <c r="AC450" i="5"/>
  <c r="AD450" i="5"/>
  <c r="AE450" i="5"/>
  <c r="AF450" i="5"/>
  <c r="AG450" i="5"/>
  <c r="AH450" i="5"/>
  <c r="AI450" i="5"/>
  <c r="AJ450" i="5"/>
  <c r="AK450" i="5"/>
  <c r="AM450" i="5" s="1"/>
  <c r="AN450" i="5"/>
  <c r="AB451" i="5"/>
  <c r="AC451" i="5"/>
  <c r="AD451" i="5"/>
  <c r="AE451" i="5"/>
  <c r="AF451" i="5"/>
  <c r="AG451" i="5"/>
  <c r="AH451" i="5"/>
  <c r="AI451" i="5"/>
  <c r="AJ451" i="5"/>
  <c r="AK451" i="5"/>
  <c r="AM451" i="5" s="1"/>
  <c r="AN451" i="5"/>
  <c r="AB452" i="5"/>
  <c r="AC452" i="5"/>
  <c r="AD452" i="5"/>
  <c r="AE452" i="5"/>
  <c r="AF452" i="5"/>
  <c r="AG452" i="5"/>
  <c r="AH452" i="5"/>
  <c r="AI452" i="5"/>
  <c r="AJ452" i="5"/>
  <c r="AK452" i="5"/>
  <c r="AM452" i="5" s="1"/>
  <c r="AN452" i="5"/>
  <c r="AB453" i="5"/>
  <c r="AC453" i="5"/>
  <c r="AD453" i="5"/>
  <c r="AE453" i="5"/>
  <c r="AF453" i="5"/>
  <c r="AG453" i="5"/>
  <c r="AH453" i="5"/>
  <c r="AI453" i="5"/>
  <c r="AJ453" i="5"/>
  <c r="AK453" i="5"/>
  <c r="AM453" i="5" s="1"/>
  <c r="AN453" i="5"/>
  <c r="AB454" i="5"/>
  <c r="AC454" i="5"/>
  <c r="AD454" i="5"/>
  <c r="AE454" i="5"/>
  <c r="AF454" i="5"/>
  <c r="AG454" i="5"/>
  <c r="AH454" i="5"/>
  <c r="AI454" i="5"/>
  <c r="AJ454" i="5"/>
  <c r="AK454" i="5"/>
  <c r="AM454" i="5" s="1"/>
  <c r="AN454" i="5"/>
  <c r="AB455" i="5"/>
  <c r="AC455" i="5"/>
  <c r="AD455" i="5"/>
  <c r="AE455" i="5"/>
  <c r="AF455" i="5"/>
  <c r="AG455" i="5"/>
  <c r="AH455" i="5"/>
  <c r="AI455" i="5"/>
  <c r="AJ455" i="5"/>
  <c r="AK455" i="5"/>
  <c r="AM455" i="5" s="1"/>
  <c r="AN455" i="5"/>
  <c r="AB456" i="5"/>
  <c r="AC456" i="5"/>
  <c r="AD456" i="5"/>
  <c r="AE456" i="5"/>
  <c r="AF456" i="5"/>
  <c r="AG456" i="5"/>
  <c r="AH456" i="5"/>
  <c r="AI456" i="5"/>
  <c r="AJ456" i="5"/>
  <c r="AK456" i="5"/>
  <c r="AM456" i="5" s="1"/>
  <c r="AN456" i="5"/>
  <c r="AB457" i="5"/>
  <c r="AC457" i="5"/>
  <c r="AD457" i="5"/>
  <c r="AE457" i="5"/>
  <c r="AF457" i="5"/>
  <c r="AG457" i="5"/>
  <c r="AH457" i="5"/>
  <c r="AI457" i="5"/>
  <c r="AJ457" i="5"/>
  <c r="AK457" i="5"/>
  <c r="AM457" i="5" s="1"/>
  <c r="AN457" i="5"/>
  <c r="AB458" i="5"/>
  <c r="AC458" i="5"/>
  <c r="AD458" i="5"/>
  <c r="AE458" i="5"/>
  <c r="AF458" i="5"/>
  <c r="AG458" i="5"/>
  <c r="AH458" i="5"/>
  <c r="AI458" i="5"/>
  <c r="AJ458" i="5"/>
  <c r="AK458" i="5"/>
  <c r="AM458" i="5" s="1"/>
  <c r="AN458" i="5"/>
  <c r="AB459" i="5"/>
  <c r="AC459" i="5"/>
  <c r="AD459" i="5"/>
  <c r="AE459" i="5"/>
  <c r="AF459" i="5"/>
  <c r="AG459" i="5"/>
  <c r="AH459" i="5"/>
  <c r="AI459" i="5"/>
  <c r="AJ459" i="5"/>
  <c r="AK459" i="5"/>
  <c r="AM459" i="5" s="1"/>
  <c r="AN459" i="5"/>
  <c r="AB460" i="5"/>
  <c r="AC460" i="5"/>
  <c r="AD460" i="5"/>
  <c r="AE460" i="5"/>
  <c r="AF460" i="5"/>
  <c r="AG460" i="5"/>
  <c r="AH460" i="5"/>
  <c r="AI460" i="5"/>
  <c r="AJ460" i="5"/>
  <c r="AK460" i="5"/>
  <c r="AM460" i="5" s="1"/>
  <c r="AN460" i="5"/>
  <c r="AB461" i="5"/>
  <c r="AC461" i="5"/>
  <c r="AD461" i="5"/>
  <c r="AE461" i="5"/>
  <c r="AF461" i="5"/>
  <c r="AG461" i="5"/>
  <c r="AH461" i="5"/>
  <c r="AI461" i="5"/>
  <c r="AJ461" i="5"/>
  <c r="AK461" i="5"/>
  <c r="AM461" i="5" s="1"/>
  <c r="AN461" i="5"/>
  <c r="AB462" i="5"/>
  <c r="AC462" i="5"/>
  <c r="AD462" i="5"/>
  <c r="AE462" i="5"/>
  <c r="AF462" i="5"/>
  <c r="AG462" i="5"/>
  <c r="AH462" i="5"/>
  <c r="AI462" i="5"/>
  <c r="AJ462" i="5"/>
  <c r="AK462" i="5"/>
  <c r="AM462" i="5" s="1"/>
  <c r="AN462" i="5"/>
  <c r="AB463" i="5"/>
  <c r="AC463" i="5"/>
  <c r="AD463" i="5"/>
  <c r="AE463" i="5"/>
  <c r="AF463" i="5"/>
  <c r="AG463" i="5"/>
  <c r="AH463" i="5"/>
  <c r="AI463" i="5"/>
  <c r="AJ463" i="5"/>
  <c r="AK463" i="5"/>
  <c r="AM463" i="5" s="1"/>
  <c r="AN463" i="5"/>
  <c r="AB464" i="5"/>
  <c r="AC464" i="5"/>
  <c r="AD464" i="5"/>
  <c r="AE464" i="5"/>
  <c r="AF464" i="5"/>
  <c r="AG464" i="5"/>
  <c r="AH464" i="5"/>
  <c r="AI464" i="5"/>
  <c r="AJ464" i="5"/>
  <c r="AK464" i="5"/>
  <c r="AM464" i="5" s="1"/>
  <c r="AN464" i="5"/>
  <c r="AB465" i="5"/>
  <c r="AC465" i="5"/>
  <c r="AD465" i="5"/>
  <c r="AE465" i="5"/>
  <c r="AF465" i="5"/>
  <c r="AG465" i="5"/>
  <c r="AH465" i="5"/>
  <c r="AI465" i="5"/>
  <c r="AJ465" i="5"/>
  <c r="AK465" i="5"/>
  <c r="AM465" i="5" s="1"/>
  <c r="AN465" i="5"/>
  <c r="AB466" i="5"/>
  <c r="AC466" i="5"/>
  <c r="AD466" i="5"/>
  <c r="AE466" i="5"/>
  <c r="AF466" i="5"/>
  <c r="AG466" i="5"/>
  <c r="AH466" i="5"/>
  <c r="AI466" i="5"/>
  <c r="AJ466" i="5"/>
  <c r="AK466" i="5"/>
  <c r="AM466" i="5" s="1"/>
  <c r="AN466" i="5"/>
  <c r="AB467" i="5"/>
  <c r="AC467" i="5"/>
  <c r="AD467" i="5"/>
  <c r="AE467" i="5"/>
  <c r="AF467" i="5"/>
  <c r="AG467" i="5"/>
  <c r="AH467" i="5"/>
  <c r="AI467" i="5"/>
  <c r="AJ467" i="5"/>
  <c r="AK467" i="5"/>
  <c r="AM467" i="5" s="1"/>
  <c r="AN467" i="5"/>
  <c r="AB468" i="5"/>
  <c r="AC468" i="5"/>
  <c r="AD468" i="5"/>
  <c r="AE468" i="5"/>
  <c r="AF468" i="5"/>
  <c r="AG468" i="5"/>
  <c r="AH468" i="5"/>
  <c r="AI468" i="5"/>
  <c r="AJ468" i="5"/>
  <c r="AK468" i="5"/>
  <c r="AM468" i="5" s="1"/>
  <c r="AN468" i="5"/>
  <c r="AB469" i="5"/>
  <c r="AC469" i="5"/>
  <c r="AD469" i="5"/>
  <c r="AE469" i="5"/>
  <c r="AF469" i="5"/>
  <c r="AG469" i="5"/>
  <c r="AH469" i="5"/>
  <c r="AI469" i="5"/>
  <c r="AJ469" i="5"/>
  <c r="AK469" i="5"/>
  <c r="AM469" i="5" s="1"/>
  <c r="AN469" i="5"/>
  <c r="AB470" i="5"/>
  <c r="AC470" i="5"/>
  <c r="AD470" i="5"/>
  <c r="AE470" i="5"/>
  <c r="AF470" i="5"/>
  <c r="AG470" i="5"/>
  <c r="AH470" i="5"/>
  <c r="AI470" i="5"/>
  <c r="AJ470" i="5"/>
  <c r="AK470" i="5"/>
  <c r="AM470" i="5" s="1"/>
  <c r="AN470" i="5"/>
  <c r="AB471" i="5"/>
  <c r="AC471" i="5"/>
  <c r="AD471" i="5"/>
  <c r="AE471" i="5"/>
  <c r="AF471" i="5"/>
  <c r="AG471" i="5"/>
  <c r="AH471" i="5"/>
  <c r="AI471" i="5"/>
  <c r="AJ471" i="5"/>
  <c r="AK471" i="5"/>
  <c r="AM471" i="5" s="1"/>
  <c r="AN471" i="5"/>
  <c r="AB472" i="5"/>
  <c r="AC472" i="5"/>
  <c r="AD472" i="5"/>
  <c r="AE472" i="5"/>
  <c r="AF472" i="5"/>
  <c r="AG472" i="5"/>
  <c r="AH472" i="5"/>
  <c r="AI472" i="5"/>
  <c r="AJ472" i="5"/>
  <c r="AK472" i="5"/>
  <c r="AM472" i="5" s="1"/>
  <c r="AN472" i="5"/>
  <c r="AB473" i="5"/>
  <c r="AC473" i="5"/>
  <c r="AD473" i="5"/>
  <c r="AE473" i="5"/>
  <c r="AF473" i="5"/>
  <c r="AG473" i="5"/>
  <c r="AH473" i="5"/>
  <c r="AI473" i="5"/>
  <c r="AJ473" i="5"/>
  <c r="AK473" i="5"/>
  <c r="AM473" i="5" s="1"/>
  <c r="AN473" i="5"/>
  <c r="AB474" i="5"/>
  <c r="AC474" i="5"/>
  <c r="AD474" i="5"/>
  <c r="AE474" i="5"/>
  <c r="AF474" i="5"/>
  <c r="AG474" i="5"/>
  <c r="AH474" i="5"/>
  <c r="AI474" i="5"/>
  <c r="AJ474" i="5"/>
  <c r="AK474" i="5"/>
  <c r="AM474" i="5" s="1"/>
  <c r="AN474" i="5"/>
  <c r="AB475" i="5"/>
  <c r="AC475" i="5"/>
  <c r="AD475" i="5"/>
  <c r="AE475" i="5"/>
  <c r="AF475" i="5"/>
  <c r="AG475" i="5"/>
  <c r="AH475" i="5"/>
  <c r="AI475" i="5"/>
  <c r="AJ475" i="5"/>
  <c r="AK475" i="5"/>
  <c r="AM475" i="5" s="1"/>
  <c r="AN475" i="5"/>
  <c r="AB476" i="5"/>
  <c r="AC476" i="5"/>
  <c r="AD476" i="5"/>
  <c r="AE476" i="5"/>
  <c r="AF476" i="5"/>
  <c r="AG476" i="5"/>
  <c r="AH476" i="5"/>
  <c r="AI476" i="5"/>
  <c r="AJ476" i="5"/>
  <c r="AK476" i="5"/>
  <c r="AM476" i="5" s="1"/>
  <c r="AN476" i="5"/>
  <c r="AB477" i="5"/>
  <c r="AC477" i="5"/>
  <c r="AD477" i="5"/>
  <c r="AE477" i="5"/>
  <c r="AF477" i="5"/>
  <c r="AG477" i="5"/>
  <c r="AH477" i="5"/>
  <c r="AI477" i="5"/>
  <c r="AJ477" i="5"/>
  <c r="AK477" i="5"/>
  <c r="AM477" i="5" s="1"/>
  <c r="AN477" i="5"/>
  <c r="AB478" i="5"/>
  <c r="AC478" i="5"/>
  <c r="AD478" i="5"/>
  <c r="AE478" i="5"/>
  <c r="AF478" i="5"/>
  <c r="AG478" i="5"/>
  <c r="AH478" i="5"/>
  <c r="AI478" i="5"/>
  <c r="AJ478" i="5"/>
  <c r="AK478" i="5"/>
  <c r="AM478" i="5" s="1"/>
  <c r="AN478" i="5"/>
  <c r="AB479" i="5"/>
  <c r="AC479" i="5"/>
  <c r="AD479" i="5"/>
  <c r="AE479" i="5"/>
  <c r="AF479" i="5"/>
  <c r="AG479" i="5"/>
  <c r="AH479" i="5"/>
  <c r="AI479" i="5"/>
  <c r="AJ479" i="5"/>
  <c r="AK479" i="5"/>
  <c r="AM479" i="5" s="1"/>
  <c r="AN479" i="5"/>
  <c r="AB480" i="5"/>
  <c r="AC480" i="5"/>
  <c r="AD480" i="5"/>
  <c r="AE480" i="5"/>
  <c r="AF480" i="5"/>
  <c r="AG480" i="5"/>
  <c r="AH480" i="5"/>
  <c r="AI480" i="5"/>
  <c r="AJ480" i="5"/>
  <c r="AK480" i="5"/>
  <c r="AM480" i="5" s="1"/>
  <c r="AN480" i="5"/>
  <c r="AB481" i="5"/>
  <c r="AC481" i="5"/>
  <c r="AD481" i="5"/>
  <c r="AE481" i="5"/>
  <c r="AF481" i="5"/>
  <c r="AG481" i="5"/>
  <c r="AH481" i="5"/>
  <c r="AI481" i="5"/>
  <c r="AJ481" i="5"/>
  <c r="AK481" i="5"/>
  <c r="AM481" i="5" s="1"/>
  <c r="AN481" i="5"/>
  <c r="AB482" i="5"/>
  <c r="AC482" i="5"/>
  <c r="AD482" i="5"/>
  <c r="AE482" i="5"/>
  <c r="AF482" i="5"/>
  <c r="AG482" i="5"/>
  <c r="AH482" i="5"/>
  <c r="AI482" i="5"/>
  <c r="AJ482" i="5"/>
  <c r="AK482" i="5"/>
  <c r="AM482" i="5" s="1"/>
  <c r="AN482" i="5"/>
  <c r="AB483" i="5"/>
  <c r="AC483" i="5"/>
  <c r="AD483" i="5"/>
  <c r="AE483" i="5"/>
  <c r="AF483" i="5"/>
  <c r="AG483" i="5"/>
  <c r="AH483" i="5"/>
  <c r="AI483" i="5"/>
  <c r="AJ483" i="5"/>
  <c r="AK483" i="5"/>
  <c r="AM483" i="5" s="1"/>
  <c r="AN483" i="5"/>
  <c r="AB484" i="5"/>
  <c r="AC484" i="5"/>
  <c r="AD484" i="5"/>
  <c r="AE484" i="5"/>
  <c r="AF484" i="5"/>
  <c r="AG484" i="5"/>
  <c r="AH484" i="5"/>
  <c r="AI484" i="5"/>
  <c r="AJ484" i="5"/>
  <c r="AK484" i="5"/>
  <c r="AM484" i="5" s="1"/>
  <c r="AN484" i="5"/>
  <c r="AB485" i="5"/>
  <c r="AC485" i="5"/>
  <c r="AD485" i="5"/>
  <c r="AE485" i="5"/>
  <c r="AF485" i="5"/>
  <c r="AG485" i="5"/>
  <c r="AH485" i="5"/>
  <c r="AI485" i="5"/>
  <c r="AJ485" i="5"/>
  <c r="AK485" i="5"/>
  <c r="AM485" i="5" s="1"/>
  <c r="AN485" i="5"/>
  <c r="AB486" i="5"/>
  <c r="AC486" i="5"/>
  <c r="AD486" i="5"/>
  <c r="AE486" i="5"/>
  <c r="AF486" i="5"/>
  <c r="AG486" i="5"/>
  <c r="AH486" i="5"/>
  <c r="AI486" i="5"/>
  <c r="AJ486" i="5"/>
  <c r="AK486" i="5"/>
  <c r="AM486" i="5" s="1"/>
  <c r="AN486" i="5"/>
  <c r="AB487" i="5"/>
  <c r="AC487" i="5"/>
  <c r="AD487" i="5"/>
  <c r="AE487" i="5"/>
  <c r="AF487" i="5"/>
  <c r="AG487" i="5"/>
  <c r="AH487" i="5"/>
  <c r="AI487" i="5"/>
  <c r="AJ487" i="5"/>
  <c r="AK487" i="5"/>
  <c r="AM487" i="5" s="1"/>
  <c r="AN487" i="5"/>
  <c r="AB488" i="5"/>
  <c r="AC488" i="5"/>
  <c r="AD488" i="5"/>
  <c r="AE488" i="5"/>
  <c r="AF488" i="5"/>
  <c r="AG488" i="5"/>
  <c r="AH488" i="5"/>
  <c r="AI488" i="5"/>
  <c r="AJ488" i="5"/>
  <c r="AK488" i="5"/>
  <c r="AM488" i="5" s="1"/>
  <c r="AN488" i="5"/>
  <c r="AB489" i="5"/>
  <c r="AC489" i="5"/>
  <c r="AD489" i="5"/>
  <c r="AE489" i="5"/>
  <c r="AF489" i="5"/>
  <c r="AG489" i="5"/>
  <c r="AH489" i="5"/>
  <c r="AI489" i="5"/>
  <c r="AJ489" i="5"/>
  <c r="AK489" i="5"/>
  <c r="AM489" i="5" s="1"/>
  <c r="AN489" i="5"/>
  <c r="AB490" i="5"/>
  <c r="AC490" i="5"/>
  <c r="AD490" i="5"/>
  <c r="AE490" i="5"/>
  <c r="AF490" i="5"/>
  <c r="AG490" i="5"/>
  <c r="AH490" i="5"/>
  <c r="AI490" i="5"/>
  <c r="AJ490" i="5"/>
  <c r="AK490" i="5"/>
  <c r="AM490" i="5" s="1"/>
  <c r="AN490" i="5"/>
  <c r="AB491" i="5"/>
  <c r="AC491" i="5"/>
  <c r="AD491" i="5"/>
  <c r="AE491" i="5"/>
  <c r="AF491" i="5"/>
  <c r="AG491" i="5"/>
  <c r="AH491" i="5"/>
  <c r="AI491" i="5"/>
  <c r="AJ491" i="5"/>
  <c r="AK491" i="5"/>
  <c r="AM491" i="5" s="1"/>
  <c r="AN491" i="5"/>
  <c r="AB492" i="5"/>
  <c r="AC492" i="5"/>
  <c r="AD492" i="5"/>
  <c r="AE492" i="5"/>
  <c r="AF492" i="5"/>
  <c r="AG492" i="5"/>
  <c r="AH492" i="5"/>
  <c r="AI492" i="5"/>
  <c r="AJ492" i="5"/>
  <c r="AK492" i="5"/>
  <c r="AM492" i="5" s="1"/>
  <c r="AN492" i="5"/>
  <c r="AB493" i="5"/>
  <c r="AC493" i="5"/>
  <c r="AD493" i="5"/>
  <c r="AE493" i="5"/>
  <c r="AF493" i="5"/>
  <c r="AG493" i="5"/>
  <c r="AH493" i="5"/>
  <c r="AI493" i="5"/>
  <c r="AJ493" i="5"/>
  <c r="AK493" i="5"/>
  <c r="AM493" i="5" s="1"/>
  <c r="AN493" i="5"/>
  <c r="AB494" i="5"/>
  <c r="AC494" i="5"/>
  <c r="AD494" i="5"/>
  <c r="AE494" i="5"/>
  <c r="AF494" i="5"/>
  <c r="AG494" i="5"/>
  <c r="AH494" i="5"/>
  <c r="AI494" i="5"/>
  <c r="AJ494" i="5"/>
  <c r="AK494" i="5"/>
  <c r="AM494" i="5" s="1"/>
  <c r="AN494" i="5"/>
  <c r="AB495" i="5"/>
  <c r="AC495" i="5"/>
  <c r="AD495" i="5"/>
  <c r="AE495" i="5"/>
  <c r="AF495" i="5"/>
  <c r="AG495" i="5"/>
  <c r="AH495" i="5"/>
  <c r="AI495" i="5"/>
  <c r="AJ495" i="5"/>
  <c r="AK495" i="5"/>
  <c r="AM495" i="5" s="1"/>
  <c r="AN495" i="5"/>
  <c r="AB496" i="5"/>
  <c r="AC496" i="5"/>
  <c r="AD496" i="5"/>
  <c r="AE496" i="5"/>
  <c r="AF496" i="5"/>
  <c r="AG496" i="5"/>
  <c r="AH496" i="5"/>
  <c r="AI496" i="5"/>
  <c r="AJ496" i="5"/>
  <c r="AK496" i="5"/>
  <c r="AM496" i="5" s="1"/>
  <c r="AN496" i="5"/>
  <c r="AB497" i="5"/>
  <c r="AC497" i="5"/>
  <c r="AD497" i="5"/>
  <c r="AE497" i="5"/>
  <c r="AF497" i="5"/>
  <c r="AG497" i="5"/>
  <c r="AH497" i="5"/>
  <c r="AI497" i="5"/>
  <c r="AJ497" i="5"/>
  <c r="AK497" i="5"/>
  <c r="AM497" i="5" s="1"/>
  <c r="AN497" i="5"/>
  <c r="AB498" i="5"/>
  <c r="AC498" i="5"/>
  <c r="AD498" i="5"/>
  <c r="AE498" i="5"/>
  <c r="AF498" i="5"/>
  <c r="AG498" i="5"/>
  <c r="AH498" i="5"/>
  <c r="AI498" i="5"/>
  <c r="AJ498" i="5"/>
  <c r="AK498" i="5"/>
  <c r="AM498" i="5" s="1"/>
  <c r="AN498" i="5"/>
  <c r="AB499" i="5"/>
  <c r="AC499" i="5"/>
  <c r="AD499" i="5"/>
  <c r="AE499" i="5"/>
  <c r="AF499" i="5"/>
  <c r="AG499" i="5"/>
  <c r="AH499" i="5"/>
  <c r="AI499" i="5"/>
  <c r="AJ499" i="5"/>
  <c r="AK499" i="5"/>
  <c r="AM499" i="5" s="1"/>
  <c r="AN499" i="5"/>
  <c r="AB500" i="5"/>
  <c r="AC500" i="5"/>
  <c r="AD500" i="5"/>
  <c r="AE500" i="5"/>
  <c r="AF500" i="5"/>
  <c r="AG500" i="5"/>
  <c r="AH500" i="5"/>
  <c r="AI500" i="5"/>
  <c r="AJ500" i="5"/>
  <c r="AK500" i="5"/>
  <c r="AM500" i="5" s="1"/>
  <c r="AN500" i="5"/>
  <c r="AB501" i="5"/>
  <c r="AC501" i="5"/>
  <c r="AD501" i="5"/>
  <c r="AE501" i="5"/>
  <c r="AF501" i="5"/>
  <c r="AG501" i="5"/>
  <c r="AH501" i="5"/>
  <c r="AI501" i="5"/>
  <c r="AJ501" i="5"/>
  <c r="AK501" i="5"/>
  <c r="AM501" i="5" s="1"/>
  <c r="AN501" i="5"/>
  <c r="AB502" i="5"/>
  <c r="AC502" i="5"/>
  <c r="AD502" i="5"/>
  <c r="AE502" i="5"/>
  <c r="AF502" i="5"/>
  <c r="AG502" i="5"/>
  <c r="AH502" i="5"/>
  <c r="AI502" i="5"/>
  <c r="AJ502" i="5"/>
  <c r="AK502" i="5"/>
  <c r="AM502" i="5" s="1"/>
  <c r="AN502" i="5"/>
  <c r="AB503" i="5"/>
  <c r="AC503" i="5"/>
  <c r="AD503" i="5"/>
  <c r="AE503" i="5"/>
  <c r="AF503" i="5"/>
  <c r="AG503" i="5"/>
  <c r="AH503" i="5"/>
  <c r="AI503" i="5"/>
  <c r="AJ503" i="5"/>
  <c r="AK503" i="5"/>
  <c r="AM503" i="5" s="1"/>
  <c r="AN503" i="5"/>
  <c r="AB504" i="5"/>
  <c r="AC504" i="5"/>
  <c r="AD504" i="5"/>
  <c r="AE504" i="5"/>
  <c r="AF504" i="5"/>
  <c r="AG504" i="5"/>
  <c r="AH504" i="5"/>
  <c r="AI504" i="5"/>
  <c r="AJ504" i="5"/>
  <c r="AK504" i="5"/>
  <c r="AM504" i="5" s="1"/>
  <c r="AN504" i="5"/>
  <c r="AB505" i="5"/>
  <c r="AC505" i="5"/>
  <c r="AD505" i="5"/>
  <c r="AE505" i="5"/>
  <c r="AF505" i="5"/>
  <c r="AG505" i="5"/>
  <c r="AH505" i="5"/>
  <c r="AI505" i="5"/>
  <c r="AJ505" i="5"/>
  <c r="AK505" i="5"/>
  <c r="AM505" i="5" s="1"/>
  <c r="AN505" i="5"/>
  <c r="AB506" i="5"/>
  <c r="AC506" i="5"/>
  <c r="AD506" i="5"/>
  <c r="AE506" i="5"/>
  <c r="AF506" i="5"/>
  <c r="AG506" i="5"/>
  <c r="AH506" i="5"/>
  <c r="AI506" i="5"/>
  <c r="AJ506" i="5"/>
  <c r="AK506" i="5"/>
  <c r="AM506" i="5" s="1"/>
  <c r="AN506" i="5"/>
  <c r="AB507" i="5"/>
  <c r="AC507" i="5"/>
  <c r="AD507" i="5"/>
  <c r="AE507" i="5"/>
  <c r="AF507" i="5"/>
  <c r="AG507" i="5"/>
  <c r="AH507" i="5"/>
  <c r="AI507" i="5"/>
  <c r="AJ507" i="5"/>
  <c r="AK507" i="5"/>
  <c r="AM507" i="5" s="1"/>
  <c r="AN507" i="5"/>
  <c r="AB508" i="5"/>
  <c r="AC508" i="5"/>
  <c r="AD508" i="5"/>
  <c r="AE508" i="5"/>
  <c r="AF508" i="5"/>
  <c r="AG508" i="5"/>
  <c r="AH508" i="5"/>
  <c r="AI508" i="5"/>
  <c r="AJ508" i="5"/>
  <c r="AK508" i="5"/>
  <c r="AM508" i="5" s="1"/>
  <c r="AN508" i="5"/>
  <c r="AB509" i="5"/>
  <c r="AC509" i="5"/>
  <c r="AD509" i="5"/>
  <c r="AE509" i="5"/>
  <c r="AF509" i="5"/>
  <c r="AG509" i="5"/>
  <c r="AH509" i="5"/>
  <c r="AI509" i="5"/>
  <c r="AJ509" i="5"/>
  <c r="AK509" i="5"/>
  <c r="AM509" i="5" s="1"/>
  <c r="AN509" i="5"/>
  <c r="AB510" i="5"/>
  <c r="AC510" i="5"/>
  <c r="AD510" i="5"/>
  <c r="AE510" i="5"/>
  <c r="AF510" i="5"/>
  <c r="AG510" i="5"/>
  <c r="AH510" i="5"/>
  <c r="AI510" i="5"/>
  <c r="AJ510" i="5"/>
  <c r="AK510" i="5"/>
  <c r="AM510" i="5" s="1"/>
  <c r="AN510" i="5"/>
  <c r="AB511" i="5"/>
  <c r="AC511" i="5"/>
  <c r="AD511" i="5"/>
  <c r="AE511" i="5"/>
  <c r="AF511" i="5"/>
  <c r="AG511" i="5"/>
  <c r="AH511" i="5"/>
  <c r="AI511" i="5"/>
  <c r="AJ511" i="5"/>
  <c r="AK511" i="5"/>
  <c r="AM511" i="5" s="1"/>
  <c r="AN511" i="5"/>
  <c r="AB512" i="5"/>
  <c r="AC512" i="5"/>
  <c r="AD512" i="5"/>
  <c r="AE512" i="5"/>
  <c r="AF512" i="5"/>
  <c r="AG512" i="5"/>
  <c r="AH512" i="5"/>
  <c r="AI512" i="5"/>
  <c r="AJ512" i="5"/>
  <c r="AK512" i="5"/>
  <c r="AM512" i="5" s="1"/>
  <c r="AN512" i="5"/>
  <c r="AB513" i="5"/>
  <c r="AC513" i="5"/>
  <c r="AD513" i="5"/>
  <c r="AE513" i="5"/>
  <c r="AF513" i="5"/>
  <c r="AG513" i="5"/>
  <c r="AH513" i="5"/>
  <c r="AI513" i="5"/>
  <c r="AJ513" i="5"/>
  <c r="AK513" i="5"/>
  <c r="AM513" i="5" s="1"/>
  <c r="AN513" i="5"/>
  <c r="AB514" i="5"/>
  <c r="AC514" i="5"/>
  <c r="AD514" i="5"/>
  <c r="AE514" i="5"/>
  <c r="AF514" i="5"/>
  <c r="AG514" i="5"/>
  <c r="AH514" i="5"/>
  <c r="AI514" i="5"/>
  <c r="AJ514" i="5"/>
  <c r="AK514" i="5"/>
  <c r="AM514" i="5" s="1"/>
  <c r="AN514" i="5"/>
  <c r="AB515" i="5"/>
  <c r="AC515" i="5"/>
  <c r="AD515" i="5"/>
  <c r="AE515" i="5"/>
  <c r="AF515" i="5"/>
  <c r="AG515" i="5"/>
  <c r="AH515" i="5"/>
  <c r="AI515" i="5"/>
  <c r="AJ515" i="5"/>
  <c r="AK515" i="5"/>
  <c r="AM515" i="5" s="1"/>
  <c r="AN515" i="5"/>
  <c r="AB516" i="5"/>
  <c r="AC516" i="5"/>
  <c r="AD516" i="5"/>
  <c r="AE516" i="5"/>
  <c r="AF516" i="5"/>
  <c r="AG516" i="5"/>
  <c r="AH516" i="5"/>
  <c r="AI516" i="5"/>
  <c r="AJ516" i="5"/>
  <c r="AK516" i="5"/>
  <c r="AM516" i="5" s="1"/>
  <c r="AN516" i="5"/>
  <c r="AB517" i="5"/>
  <c r="AC517" i="5"/>
  <c r="AD517" i="5"/>
  <c r="AE517" i="5"/>
  <c r="AF517" i="5"/>
  <c r="AG517" i="5"/>
  <c r="AH517" i="5"/>
  <c r="AI517" i="5"/>
  <c r="AJ517" i="5"/>
  <c r="AK517" i="5"/>
  <c r="AM517" i="5" s="1"/>
  <c r="AN517" i="5"/>
  <c r="AB518" i="5"/>
  <c r="AC518" i="5"/>
  <c r="AD518" i="5"/>
  <c r="AE518" i="5"/>
  <c r="AF518" i="5"/>
  <c r="AG518" i="5"/>
  <c r="AH518" i="5"/>
  <c r="AI518" i="5"/>
  <c r="AJ518" i="5"/>
  <c r="AK518" i="5"/>
  <c r="AM518" i="5" s="1"/>
  <c r="AN518" i="5"/>
  <c r="AB519" i="5"/>
  <c r="AC519" i="5"/>
  <c r="AD519" i="5"/>
  <c r="AE519" i="5"/>
  <c r="AF519" i="5"/>
  <c r="AG519" i="5"/>
  <c r="AH519" i="5"/>
  <c r="AI519" i="5"/>
  <c r="AJ519" i="5"/>
  <c r="AK519" i="5"/>
  <c r="AM519" i="5" s="1"/>
  <c r="AN519" i="5"/>
  <c r="AB520" i="5"/>
  <c r="AC520" i="5"/>
  <c r="AD520" i="5"/>
  <c r="AE520" i="5"/>
  <c r="AF520" i="5"/>
  <c r="AG520" i="5"/>
  <c r="AH520" i="5"/>
  <c r="AI520" i="5"/>
  <c r="AJ520" i="5"/>
  <c r="AK520" i="5"/>
  <c r="AM520" i="5" s="1"/>
  <c r="AN520" i="5"/>
  <c r="AB521" i="5"/>
  <c r="AC521" i="5"/>
  <c r="AD521" i="5"/>
  <c r="AE521" i="5"/>
  <c r="AF521" i="5"/>
  <c r="AG521" i="5"/>
  <c r="AH521" i="5"/>
  <c r="AI521" i="5"/>
  <c r="AJ521" i="5"/>
  <c r="AK521" i="5"/>
  <c r="AM521" i="5" s="1"/>
  <c r="AN521" i="5"/>
  <c r="AB522" i="5"/>
  <c r="AC522" i="5"/>
  <c r="AD522" i="5"/>
  <c r="AE522" i="5"/>
  <c r="AF522" i="5"/>
  <c r="AG522" i="5"/>
  <c r="AH522" i="5"/>
  <c r="AI522" i="5"/>
  <c r="AJ522" i="5"/>
  <c r="AK522" i="5"/>
  <c r="AM522" i="5" s="1"/>
  <c r="AN522" i="5"/>
  <c r="AB523" i="5"/>
  <c r="AC523" i="5"/>
  <c r="AD523" i="5"/>
  <c r="AE523" i="5"/>
  <c r="AF523" i="5"/>
  <c r="AG523" i="5"/>
  <c r="AH523" i="5"/>
  <c r="AI523" i="5"/>
  <c r="AJ523" i="5"/>
  <c r="AK523" i="5"/>
  <c r="AM523" i="5" s="1"/>
  <c r="AN523" i="5"/>
  <c r="AB524" i="5"/>
  <c r="AC524" i="5"/>
  <c r="AD524" i="5"/>
  <c r="AE524" i="5"/>
  <c r="AF524" i="5"/>
  <c r="AG524" i="5"/>
  <c r="AH524" i="5"/>
  <c r="AI524" i="5"/>
  <c r="AJ524" i="5"/>
  <c r="AK524" i="5"/>
  <c r="AM524" i="5" s="1"/>
  <c r="AN524" i="5"/>
  <c r="AB525" i="5"/>
  <c r="AC525" i="5"/>
  <c r="AD525" i="5"/>
  <c r="AE525" i="5"/>
  <c r="AF525" i="5"/>
  <c r="AG525" i="5"/>
  <c r="AH525" i="5"/>
  <c r="AI525" i="5"/>
  <c r="AJ525" i="5"/>
  <c r="AK525" i="5"/>
  <c r="AM525" i="5" s="1"/>
  <c r="AN525" i="5"/>
  <c r="AB526" i="5"/>
  <c r="AC526" i="5"/>
  <c r="AD526" i="5"/>
  <c r="AE526" i="5"/>
  <c r="AF526" i="5"/>
  <c r="AG526" i="5"/>
  <c r="AH526" i="5"/>
  <c r="AI526" i="5"/>
  <c r="AJ526" i="5"/>
  <c r="AK526" i="5"/>
  <c r="AM526" i="5" s="1"/>
  <c r="AN526" i="5"/>
  <c r="AB527" i="5"/>
  <c r="AC527" i="5"/>
  <c r="AD527" i="5"/>
  <c r="AE527" i="5"/>
  <c r="AF527" i="5"/>
  <c r="AG527" i="5"/>
  <c r="AH527" i="5"/>
  <c r="AI527" i="5"/>
  <c r="AJ527" i="5"/>
  <c r="AK527" i="5"/>
  <c r="AM527" i="5" s="1"/>
  <c r="AN527" i="5"/>
  <c r="AB528" i="5"/>
  <c r="AC528" i="5"/>
  <c r="AD528" i="5"/>
  <c r="AE528" i="5"/>
  <c r="AF528" i="5"/>
  <c r="AG528" i="5"/>
  <c r="AH528" i="5"/>
  <c r="AI528" i="5"/>
  <c r="AJ528" i="5"/>
  <c r="AK528" i="5"/>
  <c r="AM528" i="5" s="1"/>
  <c r="AN528" i="5"/>
  <c r="AB529" i="5"/>
  <c r="AC529" i="5"/>
  <c r="AD529" i="5"/>
  <c r="AE529" i="5"/>
  <c r="AF529" i="5"/>
  <c r="AG529" i="5"/>
  <c r="AH529" i="5"/>
  <c r="AI529" i="5"/>
  <c r="AJ529" i="5"/>
  <c r="AK529" i="5"/>
  <c r="AM529" i="5" s="1"/>
  <c r="AN529" i="5"/>
  <c r="AB530" i="5"/>
  <c r="AC530" i="5"/>
  <c r="AD530" i="5"/>
  <c r="AE530" i="5"/>
  <c r="AF530" i="5"/>
  <c r="AG530" i="5"/>
  <c r="AH530" i="5"/>
  <c r="AI530" i="5"/>
  <c r="AJ530" i="5"/>
  <c r="AK530" i="5"/>
  <c r="AM530" i="5" s="1"/>
  <c r="AN530" i="5"/>
  <c r="AB531" i="5"/>
  <c r="AC531" i="5"/>
  <c r="AD531" i="5"/>
  <c r="AE531" i="5"/>
  <c r="AF531" i="5"/>
  <c r="AG531" i="5"/>
  <c r="AH531" i="5"/>
  <c r="AI531" i="5"/>
  <c r="AJ531" i="5"/>
  <c r="AK531" i="5"/>
  <c r="AM531" i="5" s="1"/>
  <c r="AN531" i="5"/>
  <c r="AB532" i="5"/>
  <c r="AC532" i="5"/>
  <c r="AD532" i="5"/>
  <c r="AE532" i="5"/>
  <c r="AF532" i="5"/>
  <c r="AG532" i="5"/>
  <c r="AH532" i="5"/>
  <c r="AI532" i="5"/>
  <c r="AJ532" i="5"/>
  <c r="AK532" i="5"/>
  <c r="AM532" i="5" s="1"/>
  <c r="AN532" i="5"/>
  <c r="AB533" i="5"/>
  <c r="AC533" i="5"/>
  <c r="AD533" i="5"/>
  <c r="AE533" i="5"/>
  <c r="AF533" i="5"/>
  <c r="AG533" i="5"/>
  <c r="AH533" i="5"/>
  <c r="AI533" i="5"/>
  <c r="AJ533" i="5"/>
  <c r="AK533" i="5"/>
  <c r="AM533" i="5" s="1"/>
  <c r="AN533" i="5"/>
  <c r="AB534" i="5"/>
  <c r="AC534" i="5"/>
  <c r="AD534" i="5"/>
  <c r="AE534" i="5"/>
  <c r="AF534" i="5"/>
  <c r="AG534" i="5"/>
  <c r="AH534" i="5"/>
  <c r="AI534" i="5"/>
  <c r="AJ534" i="5"/>
  <c r="AK534" i="5"/>
  <c r="AM534" i="5" s="1"/>
  <c r="AN534" i="5"/>
  <c r="AB535" i="5"/>
  <c r="AC535" i="5"/>
  <c r="AD535" i="5"/>
  <c r="AE535" i="5"/>
  <c r="AF535" i="5"/>
  <c r="AG535" i="5"/>
  <c r="AH535" i="5"/>
  <c r="AI535" i="5"/>
  <c r="AJ535" i="5"/>
  <c r="AK535" i="5"/>
  <c r="AM535" i="5" s="1"/>
  <c r="AN535" i="5"/>
  <c r="AB536" i="5"/>
  <c r="AC536" i="5"/>
  <c r="AD536" i="5"/>
  <c r="AE536" i="5"/>
  <c r="AF536" i="5"/>
  <c r="AG536" i="5"/>
  <c r="AH536" i="5"/>
  <c r="AI536" i="5"/>
  <c r="AJ536" i="5"/>
  <c r="AK536" i="5"/>
  <c r="AM536" i="5" s="1"/>
  <c r="AN536" i="5"/>
  <c r="AB537" i="5"/>
  <c r="AC537" i="5"/>
  <c r="AD537" i="5"/>
  <c r="AE537" i="5"/>
  <c r="AF537" i="5"/>
  <c r="AG537" i="5"/>
  <c r="AH537" i="5"/>
  <c r="AI537" i="5"/>
  <c r="AJ537" i="5"/>
  <c r="AK537" i="5"/>
  <c r="AM537" i="5" s="1"/>
  <c r="AN537" i="5"/>
  <c r="AB538" i="5"/>
  <c r="AC538" i="5"/>
  <c r="AD538" i="5"/>
  <c r="AE538" i="5"/>
  <c r="AF538" i="5"/>
  <c r="AG538" i="5"/>
  <c r="AH538" i="5"/>
  <c r="AI538" i="5"/>
  <c r="AJ538" i="5"/>
  <c r="AK538" i="5"/>
  <c r="AM538" i="5" s="1"/>
  <c r="AN538" i="5"/>
  <c r="AB539" i="5"/>
  <c r="AC539" i="5"/>
  <c r="AD539" i="5"/>
  <c r="AE539" i="5"/>
  <c r="AF539" i="5"/>
  <c r="AG539" i="5"/>
  <c r="AH539" i="5"/>
  <c r="AI539" i="5"/>
  <c r="AJ539" i="5"/>
  <c r="AK539" i="5"/>
  <c r="AM539" i="5" s="1"/>
  <c r="AN539" i="5"/>
  <c r="AB540" i="5"/>
  <c r="AC540" i="5"/>
  <c r="AD540" i="5"/>
  <c r="AE540" i="5"/>
  <c r="AF540" i="5"/>
  <c r="AG540" i="5"/>
  <c r="AH540" i="5"/>
  <c r="AI540" i="5"/>
  <c r="AJ540" i="5"/>
  <c r="AK540" i="5"/>
  <c r="AM540" i="5" s="1"/>
  <c r="AN540" i="5"/>
  <c r="AB541" i="5"/>
  <c r="AC541" i="5"/>
  <c r="AD541" i="5"/>
  <c r="AE541" i="5"/>
  <c r="AF541" i="5"/>
  <c r="AG541" i="5"/>
  <c r="AH541" i="5"/>
  <c r="AI541" i="5"/>
  <c r="AJ541" i="5"/>
  <c r="AK541" i="5"/>
  <c r="AM541" i="5" s="1"/>
  <c r="AN541" i="5"/>
  <c r="AB542" i="5"/>
  <c r="AC542" i="5"/>
  <c r="AD542" i="5"/>
  <c r="AE542" i="5"/>
  <c r="AF542" i="5"/>
  <c r="AG542" i="5"/>
  <c r="AH542" i="5"/>
  <c r="AI542" i="5"/>
  <c r="AJ542" i="5"/>
  <c r="AK542" i="5"/>
  <c r="AM542" i="5" s="1"/>
  <c r="AN542" i="5"/>
  <c r="AB543" i="5"/>
  <c r="AC543" i="5"/>
  <c r="AD543" i="5"/>
  <c r="AE543" i="5"/>
  <c r="AF543" i="5"/>
  <c r="AG543" i="5"/>
  <c r="AH543" i="5"/>
  <c r="AI543" i="5"/>
  <c r="AJ543" i="5"/>
  <c r="AK543" i="5"/>
  <c r="AM543" i="5" s="1"/>
  <c r="AN543" i="5"/>
  <c r="AB544" i="5"/>
  <c r="AC544" i="5"/>
  <c r="AD544" i="5"/>
  <c r="AE544" i="5"/>
  <c r="AF544" i="5"/>
  <c r="AG544" i="5"/>
  <c r="AH544" i="5"/>
  <c r="AI544" i="5"/>
  <c r="AJ544" i="5"/>
  <c r="AK544" i="5"/>
  <c r="AM544" i="5" s="1"/>
  <c r="AN544" i="5"/>
  <c r="AB545" i="5"/>
  <c r="AC545" i="5"/>
  <c r="AD545" i="5"/>
  <c r="AE545" i="5"/>
  <c r="AF545" i="5"/>
  <c r="AG545" i="5"/>
  <c r="AH545" i="5"/>
  <c r="AI545" i="5"/>
  <c r="AJ545" i="5"/>
  <c r="AK545" i="5"/>
  <c r="AM545" i="5" s="1"/>
  <c r="AN545" i="5"/>
  <c r="AB546" i="5"/>
  <c r="AC546" i="5"/>
  <c r="AD546" i="5"/>
  <c r="AE546" i="5"/>
  <c r="AF546" i="5"/>
  <c r="AG546" i="5"/>
  <c r="AH546" i="5"/>
  <c r="AI546" i="5"/>
  <c r="AJ546" i="5"/>
  <c r="AK546" i="5"/>
  <c r="AM546" i="5" s="1"/>
  <c r="AN546" i="5"/>
  <c r="AB547" i="5"/>
  <c r="AC547" i="5"/>
  <c r="AD547" i="5"/>
  <c r="AE547" i="5"/>
  <c r="AF547" i="5"/>
  <c r="AG547" i="5"/>
  <c r="AH547" i="5"/>
  <c r="AI547" i="5"/>
  <c r="AJ547" i="5"/>
  <c r="AK547" i="5"/>
  <c r="AM547" i="5" s="1"/>
  <c r="AN547" i="5"/>
  <c r="AB548" i="5"/>
  <c r="AC548" i="5"/>
  <c r="AD548" i="5"/>
  <c r="AE548" i="5"/>
  <c r="AF548" i="5"/>
  <c r="AG548" i="5"/>
  <c r="AH548" i="5"/>
  <c r="AI548" i="5"/>
  <c r="AJ548" i="5"/>
  <c r="AK548" i="5"/>
  <c r="AM548" i="5" s="1"/>
  <c r="AN548" i="5"/>
  <c r="AB549" i="5"/>
  <c r="AC549" i="5"/>
  <c r="AD549" i="5"/>
  <c r="AE549" i="5"/>
  <c r="AF549" i="5"/>
  <c r="AG549" i="5"/>
  <c r="AH549" i="5"/>
  <c r="AI549" i="5"/>
  <c r="AJ549" i="5"/>
  <c r="AK549" i="5"/>
  <c r="AM549" i="5" s="1"/>
  <c r="AN549" i="5"/>
  <c r="AB550" i="5"/>
  <c r="AC550" i="5"/>
  <c r="AD550" i="5"/>
  <c r="AE550" i="5"/>
  <c r="AF550" i="5"/>
  <c r="AG550" i="5"/>
  <c r="AH550" i="5"/>
  <c r="AI550" i="5"/>
  <c r="AJ550" i="5"/>
  <c r="AK550" i="5"/>
  <c r="AM550" i="5" s="1"/>
  <c r="AN550" i="5"/>
  <c r="AB551" i="5"/>
  <c r="AC551" i="5"/>
  <c r="AD551" i="5"/>
  <c r="AE551" i="5"/>
  <c r="AF551" i="5"/>
  <c r="AG551" i="5"/>
  <c r="AH551" i="5"/>
  <c r="AI551" i="5"/>
  <c r="AJ551" i="5"/>
  <c r="AK551" i="5"/>
  <c r="AM551" i="5" s="1"/>
  <c r="AN551" i="5"/>
  <c r="AB552" i="5"/>
  <c r="AC552" i="5"/>
  <c r="AD552" i="5"/>
  <c r="AE552" i="5"/>
  <c r="AF552" i="5"/>
  <c r="AG552" i="5"/>
  <c r="AH552" i="5"/>
  <c r="AI552" i="5"/>
  <c r="AJ552" i="5"/>
  <c r="AK552" i="5"/>
  <c r="AM552" i="5" s="1"/>
  <c r="AN552" i="5"/>
  <c r="AB553" i="5"/>
  <c r="AC553" i="5"/>
  <c r="AD553" i="5"/>
  <c r="AE553" i="5"/>
  <c r="AF553" i="5"/>
  <c r="AG553" i="5"/>
  <c r="AH553" i="5"/>
  <c r="AI553" i="5"/>
  <c r="AJ553" i="5"/>
  <c r="AK553" i="5"/>
  <c r="AM553" i="5" s="1"/>
  <c r="AN553" i="5"/>
  <c r="AB554" i="5"/>
  <c r="AC554" i="5"/>
  <c r="AD554" i="5"/>
  <c r="AE554" i="5"/>
  <c r="AF554" i="5"/>
  <c r="AG554" i="5"/>
  <c r="AH554" i="5"/>
  <c r="AI554" i="5"/>
  <c r="AJ554" i="5"/>
  <c r="AK554" i="5"/>
  <c r="AM554" i="5" s="1"/>
  <c r="AN554" i="5"/>
  <c r="AB555" i="5"/>
  <c r="AC555" i="5"/>
  <c r="AD555" i="5"/>
  <c r="AE555" i="5"/>
  <c r="AF555" i="5"/>
  <c r="AG555" i="5"/>
  <c r="AH555" i="5"/>
  <c r="AI555" i="5"/>
  <c r="AJ555" i="5"/>
  <c r="AK555" i="5"/>
  <c r="AM555" i="5" s="1"/>
  <c r="AN555" i="5"/>
  <c r="AB556" i="5"/>
  <c r="AC556" i="5"/>
  <c r="AD556" i="5"/>
  <c r="AE556" i="5"/>
  <c r="AF556" i="5"/>
  <c r="AG556" i="5"/>
  <c r="AH556" i="5"/>
  <c r="AI556" i="5"/>
  <c r="AJ556" i="5"/>
  <c r="AK556" i="5"/>
  <c r="AM556" i="5" s="1"/>
  <c r="AN556" i="5"/>
  <c r="AB557" i="5"/>
  <c r="AC557" i="5"/>
  <c r="AD557" i="5"/>
  <c r="AE557" i="5"/>
  <c r="AF557" i="5"/>
  <c r="AG557" i="5"/>
  <c r="AH557" i="5"/>
  <c r="AI557" i="5"/>
  <c r="AJ557" i="5"/>
  <c r="AK557" i="5"/>
  <c r="AM557" i="5" s="1"/>
  <c r="AN557" i="5"/>
  <c r="AB558" i="5"/>
  <c r="AC558" i="5"/>
  <c r="AD558" i="5"/>
  <c r="AE558" i="5"/>
  <c r="AF558" i="5"/>
  <c r="AG558" i="5"/>
  <c r="AH558" i="5"/>
  <c r="AI558" i="5"/>
  <c r="AJ558" i="5"/>
  <c r="AK558" i="5"/>
  <c r="AM558" i="5" s="1"/>
  <c r="AN558" i="5"/>
  <c r="AB559" i="5"/>
  <c r="AC559" i="5"/>
  <c r="AD559" i="5"/>
  <c r="AE559" i="5"/>
  <c r="AF559" i="5"/>
  <c r="AG559" i="5"/>
  <c r="AH559" i="5"/>
  <c r="AI559" i="5"/>
  <c r="AJ559" i="5"/>
  <c r="AK559" i="5"/>
  <c r="AM559" i="5" s="1"/>
  <c r="AN559" i="5"/>
  <c r="AB560" i="5"/>
  <c r="AC560" i="5"/>
  <c r="AD560" i="5"/>
  <c r="AE560" i="5"/>
  <c r="AF560" i="5"/>
  <c r="AG560" i="5"/>
  <c r="AH560" i="5"/>
  <c r="AI560" i="5"/>
  <c r="AJ560" i="5"/>
  <c r="AK560" i="5"/>
  <c r="AM560" i="5" s="1"/>
  <c r="AN560" i="5"/>
  <c r="AB561" i="5"/>
  <c r="AC561" i="5"/>
  <c r="AD561" i="5"/>
  <c r="AE561" i="5"/>
  <c r="AF561" i="5"/>
  <c r="AG561" i="5"/>
  <c r="AH561" i="5"/>
  <c r="AI561" i="5"/>
  <c r="AJ561" i="5"/>
  <c r="AK561" i="5"/>
  <c r="AM561" i="5" s="1"/>
  <c r="AN561" i="5"/>
  <c r="AB562" i="5"/>
  <c r="AC562" i="5"/>
  <c r="AD562" i="5"/>
  <c r="AE562" i="5"/>
  <c r="AF562" i="5"/>
  <c r="AG562" i="5"/>
  <c r="AH562" i="5"/>
  <c r="AI562" i="5"/>
  <c r="AJ562" i="5"/>
  <c r="AK562" i="5"/>
  <c r="AM562" i="5" s="1"/>
  <c r="AN562" i="5"/>
  <c r="AB563" i="5"/>
  <c r="AC563" i="5"/>
  <c r="AD563" i="5"/>
  <c r="AE563" i="5"/>
  <c r="AF563" i="5"/>
  <c r="AG563" i="5"/>
  <c r="AH563" i="5"/>
  <c r="AI563" i="5"/>
  <c r="AJ563" i="5"/>
  <c r="AK563" i="5"/>
  <c r="AM563" i="5" s="1"/>
  <c r="AN563" i="5"/>
  <c r="AB564" i="5"/>
  <c r="AC564" i="5"/>
  <c r="AD564" i="5"/>
  <c r="AE564" i="5"/>
  <c r="AF564" i="5"/>
  <c r="AG564" i="5"/>
  <c r="AH564" i="5"/>
  <c r="AI564" i="5"/>
  <c r="AJ564" i="5"/>
  <c r="AK564" i="5"/>
  <c r="AM564" i="5" s="1"/>
  <c r="AN564" i="5"/>
  <c r="AB565" i="5"/>
  <c r="AC565" i="5"/>
  <c r="AD565" i="5"/>
  <c r="AE565" i="5"/>
  <c r="AF565" i="5"/>
  <c r="AG565" i="5"/>
  <c r="AH565" i="5"/>
  <c r="AI565" i="5"/>
  <c r="AJ565" i="5"/>
  <c r="AK565" i="5"/>
  <c r="AM565" i="5" s="1"/>
  <c r="AN565" i="5"/>
  <c r="AB566" i="5"/>
  <c r="AC566" i="5"/>
  <c r="AD566" i="5"/>
  <c r="AE566" i="5"/>
  <c r="AF566" i="5"/>
  <c r="AG566" i="5"/>
  <c r="AH566" i="5"/>
  <c r="AI566" i="5"/>
  <c r="AJ566" i="5"/>
  <c r="AK566" i="5"/>
  <c r="AM566" i="5" s="1"/>
  <c r="AN566" i="5"/>
  <c r="AB567" i="5"/>
  <c r="AC567" i="5"/>
  <c r="AD567" i="5"/>
  <c r="AE567" i="5"/>
  <c r="AF567" i="5"/>
  <c r="AG567" i="5"/>
  <c r="AH567" i="5"/>
  <c r="AI567" i="5"/>
  <c r="AJ567" i="5"/>
  <c r="AK567" i="5"/>
  <c r="AM567" i="5" s="1"/>
  <c r="AN567" i="5"/>
  <c r="AB568" i="5"/>
  <c r="AC568" i="5"/>
  <c r="AD568" i="5"/>
  <c r="AE568" i="5"/>
  <c r="AF568" i="5"/>
  <c r="AG568" i="5"/>
  <c r="AH568" i="5"/>
  <c r="AI568" i="5"/>
  <c r="AJ568" i="5"/>
  <c r="AK568" i="5"/>
  <c r="AM568" i="5" s="1"/>
  <c r="AN568" i="5"/>
  <c r="AB569" i="5"/>
  <c r="AC569" i="5"/>
  <c r="AD569" i="5"/>
  <c r="AE569" i="5"/>
  <c r="AF569" i="5"/>
  <c r="AG569" i="5"/>
  <c r="AH569" i="5"/>
  <c r="AI569" i="5"/>
  <c r="AJ569" i="5"/>
  <c r="AK569" i="5"/>
  <c r="AM569" i="5" s="1"/>
  <c r="AN569" i="5"/>
  <c r="AB570" i="5"/>
  <c r="AC570" i="5"/>
  <c r="AD570" i="5"/>
  <c r="AE570" i="5"/>
  <c r="AF570" i="5"/>
  <c r="AG570" i="5"/>
  <c r="AH570" i="5"/>
  <c r="AI570" i="5"/>
  <c r="AJ570" i="5"/>
  <c r="AK570" i="5"/>
  <c r="AM570" i="5" s="1"/>
  <c r="AN570" i="5"/>
  <c r="AB571" i="5"/>
  <c r="AC571" i="5"/>
  <c r="AD571" i="5"/>
  <c r="AE571" i="5"/>
  <c r="AF571" i="5"/>
  <c r="AG571" i="5"/>
  <c r="AH571" i="5"/>
  <c r="AI571" i="5"/>
  <c r="AJ571" i="5"/>
  <c r="AK571" i="5"/>
  <c r="AM571" i="5" s="1"/>
  <c r="AN571" i="5"/>
  <c r="AB572" i="5"/>
  <c r="AC572" i="5"/>
  <c r="AD572" i="5"/>
  <c r="AE572" i="5"/>
  <c r="AF572" i="5"/>
  <c r="AG572" i="5"/>
  <c r="AH572" i="5"/>
  <c r="AI572" i="5"/>
  <c r="AJ572" i="5"/>
  <c r="AK572" i="5"/>
  <c r="AM572" i="5" s="1"/>
  <c r="AN572" i="5"/>
  <c r="AB573" i="5"/>
  <c r="AC573" i="5"/>
  <c r="AD573" i="5"/>
  <c r="AE573" i="5"/>
  <c r="AF573" i="5"/>
  <c r="AG573" i="5"/>
  <c r="AH573" i="5"/>
  <c r="AI573" i="5"/>
  <c r="AJ573" i="5"/>
  <c r="AK573" i="5"/>
  <c r="AM573" i="5" s="1"/>
  <c r="AN573" i="5"/>
  <c r="AB574" i="5"/>
  <c r="AC574" i="5"/>
  <c r="AD574" i="5"/>
  <c r="AE574" i="5"/>
  <c r="AF574" i="5"/>
  <c r="AG574" i="5"/>
  <c r="AH574" i="5"/>
  <c r="AI574" i="5"/>
  <c r="AJ574" i="5"/>
  <c r="AK574" i="5"/>
  <c r="AM574" i="5" s="1"/>
  <c r="AN574" i="5"/>
  <c r="AB575" i="5"/>
  <c r="AC575" i="5"/>
  <c r="AD575" i="5"/>
  <c r="AE575" i="5"/>
  <c r="AF575" i="5"/>
  <c r="AG575" i="5"/>
  <c r="AH575" i="5"/>
  <c r="AI575" i="5"/>
  <c r="AJ575" i="5"/>
  <c r="AK575" i="5"/>
  <c r="AM575" i="5" s="1"/>
  <c r="AN575" i="5"/>
  <c r="AB576" i="5"/>
  <c r="AC576" i="5"/>
  <c r="AD576" i="5"/>
  <c r="AE576" i="5"/>
  <c r="AF576" i="5"/>
  <c r="AG576" i="5"/>
  <c r="AH576" i="5"/>
  <c r="AI576" i="5"/>
  <c r="AJ576" i="5"/>
  <c r="AK576" i="5"/>
  <c r="AM576" i="5" s="1"/>
  <c r="AN576" i="5"/>
  <c r="AB577" i="5"/>
  <c r="AC577" i="5"/>
  <c r="AD577" i="5"/>
  <c r="AE577" i="5"/>
  <c r="AF577" i="5"/>
  <c r="AG577" i="5"/>
  <c r="AH577" i="5"/>
  <c r="AI577" i="5"/>
  <c r="AJ577" i="5"/>
  <c r="AK577" i="5"/>
  <c r="AM577" i="5" s="1"/>
  <c r="AN577" i="5"/>
  <c r="AB578" i="5"/>
  <c r="AC578" i="5"/>
  <c r="AD578" i="5"/>
  <c r="AE578" i="5"/>
  <c r="AF578" i="5"/>
  <c r="AG578" i="5"/>
  <c r="AH578" i="5"/>
  <c r="AI578" i="5"/>
  <c r="AJ578" i="5"/>
  <c r="AK578" i="5"/>
  <c r="AM578" i="5" s="1"/>
  <c r="AN578" i="5"/>
  <c r="AB579" i="5"/>
  <c r="AC579" i="5"/>
  <c r="AD579" i="5"/>
  <c r="AE579" i="5"/>
  <c r="AF579" i="5"/>
  <c r="AG579" i="5"/>
  <c r="AH579" i="5"/>
  <c r="AI579" i="5"/>
  <c r="AJ579" i="5"/>
  <c r="AK579" i="5"/>
  <c r="AM579" i="5" s="1"/>
  <c r="AN579" i="5"/>
  <c r="AB580" i="5"/>
  <c r="AC580" i="5"/>
  <c r="AD580" i="5"/>
  <c r="AE580" i="5"/>
  <c r="AF580" i="5"/>
  <c r="AG580" i="5"/>
  <c r="AH580" i="5"/>
  <c r="AI580" i="5"/>
  <c r="AJ580" i="5"/>
  <c r="AK580" i="5"/>
  <c r="AM580" i="5" s="1"/>
  <c r="AN580" i="5"/>
  <c r="AB581" i="5"/>
  <c r="AC581" i="5"/>
  <c r="AD581" i="5"/>
  <c r="AE581" i="5"/>
  <c r="AF581" i="5"/>
  <c r="AG581" i="5"/>
  <c r="AH581" i="5"/>
  <c r="AI581" i="5"/>
  <c r="AJ581" i="5"/>
  <c r="AK581" i="5"/>
  <c r="AM581" i="5" s="1"/>
  <c r="AN581" i="5"/>
  <c r="AB582" i="5"/>
  <c r="AC582" i="5"/>
  <c r="AD582" i="5"/>
  <c r="AE582" i="5"/>
  <c r="AF582" i="5"/>
  <c r="AG582" i="5"/>
  <c r="AH582" i="5"/>
  <c r="AI582" i="5"/>
  <c r="AJ582" i="5"/>
  <c r="AK582" i="5"/>
  <c r="AM582" i="5" s="1"/>
  <c r="AN582" i="5"/>
  <c r="AB583" i="5"/>
  <c r="AC583" i="5"/>
  <c r="AD583" i="5"/>
  <c r="AE583" i="5"/>
  <c r="AF583" i="5"/>
  <c r="AG583" i="5"/>
  <c r="AH583" i="5"/>
  <c r="AI583" i="5"/>
  <c r="AJ583" i="5"/>
  <c r="AK583" i="5"/>
  <c r="AM583" i="5" s="1"/>
  <c r="AN583" i="5"/>
  <c r="AB584" i="5"/>
  <c r="AC584" i="5"/>
  <c r="AD584" i="5"/>
  <c r="AE584" i="5"/>
  <c r="AF584" i="5"/>
  <c r="AG584" i="5"/>
  <c r="AH584" i="5"/>
  <c r="AI584" i="5"/>
  <c r="AJ584" i="5"/>
  <c r="AK584" i="5"/>
  <c r="AM584" i="5" s="1"/>
  <c r="AN584" i="5"/>
  <c r="AB585" i="5"/>
  <c r="AC585" i="5"/>
  <c r="AD585" i="5"/>
  <c r="AE585" i="5"/>
  <c r="AF585" i="5"/>
  <c r="AG585" i="5"/>
  <c r="AH585" i="5"/>
  <c r="AI585" i="5"/>
  <c r="AJ585" i="5"/>
  <c r="AK585" i="5"/>
  <c r="AM585" i="5" s="1"/>
  <c r="AN585" i="5"/>
  <c r="AB586" i="5"/>
  <c r="AC586" i="5"/>
  <c r="AD586" i="5"/>
  <c r="AE586" i="5"/>
  <c r="AF586" i="5"/>
  <c r="AG586" i="5"/>
  <c r="AH586" i="5"/>
  <c r="AI586" i="5"/>
  <c r="AJ586" i="5"/>
  <c r="AK586" i="5"/>
  <c r="AM586" i="5" s="1"/>
  <c r="AN586" i="5"/>
  <c r="AB587" i="5"/>
  <c r="AC587" i="5"/>
  <c r="AD587" i="5"/>
  <c r="AE587" i="5"/>
  <c r="AF587" i="5"/>
  <c r="AG587" i="5"/>
  <c r="AH587" i="5"/>
  <c r="AI587" i="5"/>
  <c r="AJ587" i="5"/>
  <c r="AK587" i="5"/>
  <c r="AM587" i="5" s="1"/>
  <c r="AN587" i="5"/>
  <c r="AB588" i="5"/>
  <c r="AC588" i="5"/>
  <c r="AD588" i="5"/>
  <c r="AE588" i="5"/>
  <c r="AF588" i="5"/>
  <c r="AG588" i="5"/>
  <c r="AH588" i="5"/>
  <c r="AI588" i="5"/>
  <c r="AJ588" i="5"/>
  <c r="AK588" i="5"/>
  <c r="AM588" i="5" s="1"/>
  <c r="AN588" i="5"/>
  <c r="AB589" i="5"/>
  <c r="AC589" i="5"/>
  <c r="AD589" i="5"/>
  <c r="AE589" i="5"/>
  <c r="AF589" i="5"/>
  <c r="AG589" i="5"/>
  <c r="AH589" i="5"/>
  <c r="AI589" i="5"/>
  <c r="AJ589" i="5"/>
  <c r="AK589" i="5"/>
  <c r="AM589" i="5" s="1"/>
  <c r="AN589" i="5"/>
  <c r="AB590" i="5"/>
  <c r="AC590" i="5"/>
  <c r="AD590" i="5"/>
  <c r="AE590" i="5"/>
  <c r="AF590" i="5"/>
  <c r="AG590" i="5"/>
  <c r="AH590" i="5"/>
  <c r="AI590" i="5"/>
  <c r="AJ590" i="5"/>
  <c r="AK590" i="5"/>
  <c r="AM590" i="5" s="1"/>
  <c r="AN590" i="5"/>
  <c r="AB591" i="5"/>
  <c r="AC591" i="5"/>
  <c r="AD591" i="5"/>
  <c r="AE591" i="5"/>
  <c r="AF591" i="5"/>
  <c r="AG591" i="5"/>
  <c r="AH591" i="5"/>
  <c r="AI591" i="5"/>
  <c r="AJ591" i="5"/>
  <c r="AK591" i="5"/>
  <c r="AM591" i="5" s="1"/>
  <c r="AN591" i="5"/>
  <c r="AB592" i="5"/>
  <c r="AC592" i="5"/>
  <c r="AD592" i="5"/>
  <c r="AE592" i="5"/>
  <c r="AF592" i="5"/>
  <c r="AG592" i="5"/>
  <c r="AH592" i="5"/>
  <c r="AI592" i="5"/>
  <c r="AJ592" i="5"/>
  <c r="AK592" i="5"/>
  <c r="AM592" i="5" s="1"/>
  <c r="AN592" i="5"/>
  <c r="AB593" i="5"/>
  <c r="AC593" i="5"/>
  <c r="AD593" i="5"/>
  <c r="AE593" i="5"/>
  <c r="AF593" i="5"/>
  <c r="AG593" i="5"/>
  <c r="AH593" i="5"/>
  <c r="AI593" i="5"/>
  <c r="AJ593" i="5"/>
  <c r="AK593" i="5"/>
  <c r="AM593" i="5" s="1"/>
  <c r="AN593" i="5"/>
  <c r="AB594" i="5"/>
  <c r="AC594" i="5"/>
  <c r="AD594" i="5"/>
  <c r="AE594" i="5"/>
  <c r="AF594" i="5"/>
  <c r="AG594" i="5"/>
  <c r="AH594" i="5"/>
  <c r="AI594" i="5"/>
  <c r="AJ594" i="5"/>
  <c r="AK594" i="5"/>
  <c r="AM594" i="5" s="1"/>
  <c r="AN594" i="5"/>
  <c r="AB595" i="5"/>
  <c r="AC595" i="5"/>
  <c r="AD595" i="5"/>
  <c r="AE595" i="5"/>
  <c r="AF595" i="5"/>
  <c r="AG595" i="5"/>
  <c r="AH595" i="5"/>
  <c r="AI595" i="5"/>
  <c r="AJ595" i="5"/>
  <c r="AK595" i="5"/>
  <c r="AM595" i="5" s="1"/>
  <c r="AN595" i="5"/>
  <c r="AB596" i="5"/>
  <c r="AC596" i="5"/>
  <c r="AD596" i="5"/>
  <c r="AE596" i="5"/>
  <c r="AF596" i="5"/>
  <c r="AG596" i="5"/>
  <c r="AH596" i="5"/>
  <c r="AI596" i="5"/>
  <c r="AJ596" i="5"/>
  <c r="AK596" i="5"/>
  <c r="AM596" i="5" s="1"/>
  <c r="AN596" i="5"/>
  <c r="AB597" i="5"/>
  <c r="AC597" i="5"/>
  <c r="AD597" i="5"/>
  <c r="AE597" i="5"/>
  <c r="AF597" i="5"/>
  <c r="AG597" i="5"/>
  <c r="AH597" i="5"/>
  <c r="AI597" i="5"/>
  <c r="AJ597" i="5"/>
  <c r="AK597" i="5"/>
  <c r="AM597" i="5" s="1"/>
  <c r="AN597" i="5"/>
  <c r="AB598" i="5"/>
  <c r="AC598" i="5"/>
  <c r="AD598" i="5"/>
  <c r="AE598" i="5"/>
  <c r="AF598" i="5"/>
  <c r="AG598" i="5"/>
  <c r="AH598" i="5"/>
  <c r="AI598" i="5"/>
  <c r="AJ598" i="5"/>
  <c r="AK598" i="5"/>
  <c r="AM598" i="5" s="1"/>
  <c r="AN598" i="5"/>
  <c r="AB599" i="5"/>
  <c r="AC599" i="5"/>
  <c r="AD599" i="5"/>
  <c r="AE599" i="5"/>
  <c r="AF599" i="5"/>
  <c r="AG599" i="5"/>
  <c r="AH599" i="5"/>
  <c r="AI599" i="5"/>
  <c r="AJ599" i="5"/>
  <c r="AK599" i="5"/>
  <c r="AM599" i="5" s="1"/>
  <c r="AN599" i="5"/>
  <c r="AB600" i="5"/>
  <c r="AC600" i="5"/>
  <c r="AD600" i="5"/>
  <c r="AE600" i="5"/>
  <c r="AF600" i="5"/>
  <c r="AG600" i="5"/>
  <c r="AH600" i="5"/>
  <c r="AI600" i="5"/>
  <c r="AJ600" i="5"/>
  <c r="AK600" i="5"/>
  <c r="AM600" i="5" s="1"/>
  <c r="AN600" i="5"/>
  <c r="AB601" i="5"/>
  <c r="AC601" i="5"/>
  <c r="AD601" i="5"/>
  <c r="AE601" i="5"/>
  <c r="AF601" i="5"/>
  <c r="AG601" i="5"/>
  <c r="AH601" i="5"/>
  <c r="AI601" i="5"/>
  <c r="AJ601" i="5"/>
  <c r="AK601" i="5"/>
  <c r="AM601" i="5" s="1"/>
  <c r="AN601" i="5"/>
  <c r="AB602" i="5"/>
  <c r="AC602" i="5"/>
  <c r="AD602" i="5"/>
  <c r="AE602" i="5"/>
  <c r="AF602" i="5"/>
  <c r="AG602" i="5"/>
  <c r="AH602" i="5"/>
  <c r="AI602" i="5"/>
  <c r="AJ602" i="5"/>
  <c r="AK602" i="5"/>
  <c r="AM602" i="5" s="1"/>
  <c r="AN602" i="5"/>
  <c r="AB603" i="5"/>
  <c r="AC603" i="5"/>
  <c r="AD603" i="5"/>
  <c r="AE603" i="5"/>
  <c r="AF603" i="5"/>
  <c r="AG603" i="5"/>
  <c r="AH603" i="5"/>
  <c r="AI603" i="5"/>
  <c r="AJ603" i="5"/>
  <c r="AK603" i="5"/>
  <c r="AM603" i="5" s="1"/>
  <c r="AN603" i="5"/>
  <c r="AB604" i="5"/>
  <c r="AC604" i="5"/>
  <c r="AD604" i="5"/>
  <c r="AE604" i="5"/>
  <c r="AF604" i="5"/>
  <c r="AG604" i="5"/>
  <c r="AH604" i="5"/>
  <c r="AI604" i="5"/>
  <c r="AJ604" i="5"/>
  <c r="AK604" i="5"/>
  <c r="AM604" i="5" s="1"/>
  <c r="AN604" i="5"/>
  <c r="AB605" i="5"/>
  <c r="AC605" i="5"/>
  <c r="AD605" i="5"/>
  <c r="AE605" i="5"/>
  <c r="AF605" i="5"/>
  <c r="AG605" i="5"/>
  <c r="AH605" i="5"/>
  <c r="AI605" i="5"/>
  <c r="AJ605" i="5"/>
  <c r="AK605" i="5"/>
  <c r="AM605" i="5" s="1"/>
  <c r="AN605" i="5"/>
  <c r="AB606" i="5"/>
  <c r="AC606" i="5"/>
  <c r="AD606" i="5"/>
  <c r="AE606" i="5"/>
  <c r="AF606" i="5"/>
  <c r="AG606" i="5"/>
  <c r="AH606" i="5"/>
  <c r="AI606" i="5"/>
  <c r="AJ606" i="5"/>
  <c r="AK606" i="5"/>
  <c r="AM606" i="5" s="1"/>
  <c r="AN606" i="5"/>
  <c r="AB607" i="5"/>
  <c r="AC607" i="5"/>
  <c r="AD607" i="5"/>
  <c r="AE607" i="5"/>
  <c r="AF607" i="5"/>
  <c r="AG607" i="5"/>
  <c r="AH607" i="5"/>
  <c r="AI607" i="5"/>
  <c r="AJ607" i="5"/>
  <c r="AK607" i="5"/>
  <c r="AM607" i="5" s="1"/>
  <c r="AN607" i="5"/>
  <c r="AB608" i="5"/>
  <c r="AC608" i="5"/>
  <c r="AD608" i="5"/>
  <c r="AE608" i="5"/>
  <c r="AF608" i="5"/>
  <c r="AG608" i="5"/>
  <c r="AH608" i="5"/>
  <c r="AI608" i="5"/>
  <c r="AJ608" i="5"/>
  <c r="AK608" i="5"/>
  <c r="AM608" i="5" s="1"/>
  <c r="AN608" i="5"/>
  <c r="AB609" i="5"/>
  <c r="AC609" i="5"/>
  <c r="AD609" i="5"/>
  <c r="AE609" i="5"/>
  <c r="AF609" i="5"/>
  <c r="AG609" i="5"/>
  <c r="AH609" i="5"/>
  <c r="AI609" i="5"/>
  <c r="AJ609" i="5"/>
  <c r="AK609" i="5"/>
  <c r="AM609" i="5" s="1"/>
  <c r="AN609" i="5"/>
  <c r="AB610" i="5"/>
  <c r="AC610" i="5"/>
  <c r="AD610" i="5"/>
  <c r="AE610" i="5"/>
  <c r="AF610" i="5"/>
  <c r="AG610" i="5"/>
  <c r="AH610" i="5"/>
  <c r="AI610" i="5"/>
  <c r="AJ610" i="5"/>
  <c r="AK610" i="5"/>
  <c r="AM610" i="5" s="1"/>
  <c r="AN610" i="5"/>
  <c r="AB611" i="5"/>
  <c r="AC611" i="5"/>
  <c r="AD611" i="5"/>
  <c r="AE611" i="5"/>
  <c r="AF611" i="5"/>
  <c r="AG611" i="5"/>
  <c r="AH611" i="5"/>
  <c r="AI611" i="5"/>
  <c r="AJ611" i="5"/>
  <c r="AK611" i="5"/>
  <c r="AM611" i="5" s="1"/>
  <c r="AN611" i="5"/>
  <c r="AB612" i="5"/>
  <c r="AC612" i="5"/>
  <c r="AD612" i="5"/>
  <c r="AE612" i="5"/>
  <c r="AF612" i="5"/>
  <c r="AG612" i="5"/>
  <c r="AH612" i="5"/>
  <c r="AI612" i="5"/>
  <c r="AJ612" i="5"/>
  <c r="AK612" i="5"/>
  <c r="AM612" i="5" s="1"/>
  <c r="AN612" i="5"/>
  <c r="AB613" i="5"/>
  <c r="AC613" i="5"/>
  <c r="AD613" i="5"/>
  <c r="AE613" i="5"/>
  <c r="AF613" i="5"/>
  <c r="AG613" i="5"/>
  <c r="AH613" i="5"/>
  <c r="AI613" i="5"/>
  <c r="AJ613" i="5"/>
  <c r="AK613" i="5"/>
  <c r="AM613" i="5" s="1"/>
  <c r="AN613" i="5"/>
  <c r="AB614" i="5"/>
  <c r="AC614" i="5"/>
  <c r="AD614" i="5"/>
  <c r="AE614" i="5"/>
  <c r="AF614" i="5"/>
  <c r="AG614" i="5"/>
  <c r="AH614" i="5"/>
  <c r="AI614" i="5"/>
  <c r="AJ614" i="5"/>
  <c r="AK614" i="5"/>
  <c r="AM614" i="5" s="1"/>
  <c r="AN614" i="5"/>
  <c r="AB615" i="5"/>
  <c r="AC615" i="5"/>
  <c r="AD615" i="5"/>
  <c r="AE615" i="5"/>
  <c r="AF615" i="5"/>
  <c r="AG615" i="5"/>
  <c r="AH615" i="5"/>
  <c r="AI615" i="5"/>
  <c r="AJ615" i="5"/>
  <c r="AK615" i="5"/>
  <c r="AM615" i="5" s="1"/>
  <c r="AN615" i="5"/>
  <c r="AB616" i="5"/>
  <c r="AC616" i="5"/>
  <c r="AD616" i="5"/>
  <c r="AE616" i="5"/>
  <c r="AF616" i="5"/>
  <c r="AG616" i="5"/>
  <c r="AH616" i="5"/>
  <c r="AI616" i="5"/>
  <c r="AJ616" i="5"/>
  <c r="AK616" i="5"/>
  <c r="AM616" i="5" s="1"/>
  <c r="AN616" i="5"/>
  <c r="AB617" i="5"/>
  <c r="AC617" i="5"/>
  <c r="AD617" i="5"/>
  <c r="AE617" i="5"/>
  <c r="AF617" i="5"/>
  <c r="AG617" i="5"/>
  <c r="AH617" i="5"/>
  <c r="AI617" i="5"/>
  <c r="AJ617" i="5"/>
  <c r="AK617" i="5"/>
  <c r="AM617" i="5" s="1"/>
  <c r="AN617" i="5"/>
  <c r="AB618" i="5"/>
  <c r="AC618" i="5"/>
  <c r="AD618" i="5"/>
  <c r="AE618" i="5"/>
  <c r="AF618" i="5"/>
  <c r="AG618" i="5"/>
  <c r="AH618" i="5"/>
  <c r="AI618" i="5"/>
  <c r="AJ618" i="5"/>
  <c r="AK618" i="5"/>
  <c r="AM618" i="5" s="1"/>
  <c r="AN618" i="5"/>
  <c r="AB619" i="5"/>
  <c r="AC619" i="5"/>
  <c r="AD619" i="5"/>
  <c r="AE619" i="5"/>
  <c r="AF619" i="5"/>
  <c r="AG619" i="5"/>
  <c r="AH619" i="5"/>
  <c r="AI619" i="5"/>
  <c r="AJ619" i="5"/>
  <c r="AK619" i="5"/>
  <c r="AM619" i="5" s="1"/>
  <c r="AN619" i="5"/>
  <c r="AB620" i="5"/>
  <c r="AC620" i="5"/>
  <c r="AD620" i="5"/>
  <c r="AE620" i="5"/>
  <c r="AF620" i="5"/>
  <c r="AG620" i="5"/>
  <c r="AH620" i="5"/>
  <c r="AI620" i="5"/>
  <c r="AJ620" i="5"/>
  <c r="AK620" i="5"/>
  <c r="AM620" i="5" s="1"/>
  <c r="AN620" i="5"/>
  <c r="AB621" i="5"/>
  <c r="AC621" i="5"/>
  <c r="AD621" i="5"/>
  <c r="AE621" i="5"/>
  <c r="AF621" i="5"/>
  <c r="AG621" i="5"/>
  <c r="AH621" i="5"/>
  <c r="AI621" i="5"/>
  <c r="AJ621" i="5"/>
  <c r="AK621" i="5"/>
  <c r="AM621" i="5" s="1"/>
  <c r="AN621" i="5"/>
  <c r="AB622" i="5"/>
  <c r="AC622" i="5"/>
  <c r="AD622" i="5"/>
  <c r="AE622" i="5"/>
  <c r="AF622" i="5"/>
  <c r="AG622" i="5"/>
  <c r="AH622" i="5"/>
  <c r="AI622" i="5"/>
  <c r="AJ622" i="5"/>
  <c r="AK622" i="5"/>
  <c r="AM622" i="5" s="1"/>
  <c r="AN622" i="5"/>
  <c r="AB623" i="5"/>
  <c r="AC623" i="5"/>
  <c r="AD623" i="5"/>
  <c r="AE623" i="5"/>
  <c r="AF623" i="5"/>
  <c r="AG623" i="5"/>
  <c r="AH623" i="5"/>
  <c r="AI623" i="5"/>
  <c r="AJ623" i="5"/>
  <c r="AK623" i="5"/>
  <c r="AM623" i="5" s="1"/>
  <c r="AN623" i="5"/>
  <c r="AB624" i="5"/>
  <c r="AC624" i="5"/>
  <c r="AD624" i="5"/>
  <c r="AE624" i="5"/>
  <c r="AF624" i="5"/>
  <c r="AG624" i="5"/>
  <c r="AH624" i="5"/>
  <c r="AI624" i="5"/>
  <c r="AJ624" i="5"/>
  <c r="AK624" i="5"/>
  <c r="AM624" i="5" s="1"/>
  <c r="AN624" i="5"/>
  <c r="AB625" i="5"/>
  <c r="AC625" i="5"/>
  <c r="AD625" i="5"/>
  <c r="AE625" i="5"/>
  <c r="AF625" i="5"/>
  <c r="AG625" i="5"/>
  <c r="AH625" i="5"/>
  <c r="AI625" i="5"/>
  <c r="AJ625" i="5"/>
  <c r="AK625" i="5"/>
  <c r="AM625" i="5" s="1"/>
  <c r="AN625" i="5"/>
  <c r="AB626" i="5"/>
  <c r="AC626" i="5"/>
  <c r="AD626" i="5"/>
  <c r="AE626" i="5"/>
  <c r="AF626" i="5"/>
  <c r="AG626" i="5"/>
  <c r="AH626" i="5"/>
  <c r="AI626" i="5"/>
  <c r="AJ626" i="5"/>
  <c r="AK626" i="5"/>
  <c r="AM626" i="5" s="1"/>
  <c r="AN626" i="5"/>
  <c r="AB627" i="5"/>
  <c r="AC627" i="5"/>
  <c r="AD627" i="5"/>
  <c r="AE627" i="5"/>
  <c r="AF627" i="5"/>
  <c r="AG627" i="5"/>
  <c r="AH627" i="5"/>
  <c r="AI627" i="5"/>
  <c r="AJ627" i="5"/>
  <c r="AK627" i="5"/>
  <c r="AM627" i="5" s="1"/>
  <c r="AN627" i="5"/>
  <c r="AB628" i="5"/>
  <c r="AC628" i="5"/>
  <c r="AD628" i="5"/>
  <c r="AE628" i="5"/>
  <c r="AF628" i="5"/>
  <c r="AG628" i="5"/>
  <c r="AH628" i="5"/>
  <c r="AI628" i="5"/>
  <c r="AJ628" i="5"/>
  <c r="AK628" i="5"/>
  <c r="AM628" i="5" s="1"/>
  <c r="AN628" i="5"/>
  <c r="AB629" i="5"/>
  <c r="AC629" i="5"/>
  <c r="AD629" i="5"/>
  <c r="AE629" i="5"/>
  <c r="AF629" i="5"/>
  <c r="AG629" i="5"/>
  <c r="AH629" i="5"/>
  <c r="AI629" i="5"/>
  <c r="AJ629" i="5"/>
  <c r="AK629" i="5"/>
  <c r="AM629" i="5" s="1"/>
  <c r="AN629" i="5"/>
  <c r="AB630" i="5"/>
  <c r="AC630" i="5"/>
  <c r="AD630" i="5"/>
  <c r="AE630" i="5"/>
  <c r="AF630" i="5"/>
  <c r="AG630" i="5"/>
  <c r="AH630" i="5"/>
  <c r="AI630" i="5"/>
  <c r="AJ630" i="5"/>
  <c r="AK630" i="5"/>
  <c r="AM630" i="5" s="1"/>
  <c r="AN630" i="5"/>
  <c r="AB631" i="5"/>
  <c r="AC631" i="5"/>
  <c r="AD631" i="5"/>
  <c r="AE631" i="5"/>
  <c r="AF631" i="5"/>
  <c r="AG631" i="5"/>
  <c r="AH631" i="5"/>
  <c r="AI631" i="5"/>
  <c r="AJ631" i="5"/>
  <c r="AK631" i="5"/>
  <c r="AM631" i="5" s="1"/>
  <c r="AN631" i="5"/>
  <c r="AB632" i="5"/>
  <c r="AC632" i="5"/>
  <c r="AD632" i="5"/>
  <c r="AE632" i="5"/>
  <c r="AF632" i="5"/>
  <c r="AG632" i="5"/>
  <c r="AH632" i="5"/>
  <c r="AI632" i="5"/>
  <c r="AJ632" i="5"/>
  <c r="AK632" i="5"/>
  <c r="AM632" i="5" s="1"/>
  <c r="AN632" i="5"/>
  <c r="AB633" i="5"/>
  <c r="AC633" i="5"/>
  <c r="AD633" i="5"/>
  <c r="AE633" i="5"/>
  <c r="AF633" i="5"/>
  <c r="AG633" i="5"/>
  <c r="AH633" i="5"/>
  <c r="AI633" i="5"/>
  <c r="AJ633" i="5"/>
  <c r="AK633" i="5"/>
  <c r="AM633" i="5" s="1"/>
  <c r="AN633" i="5"/>
  <c r="AB634" i="5"/>
  <c r="AC634" i="5"/>
  <c r="AD634" i="5"/>
  <c r="AE634" i="5"/>
  <c r="AF634" i="5"/>
  <c r="AG634" i="5"/>
  <c r="AH634" i="5"/>
  <c r="AI634" i="5"/>
  <c r="AJ634" i="5"/>
  <c r="AK634" i="5"/>
  <c r="AM634" i="5" s="1"/>
  <c r="AN634" i="5"/>
  <c r="AB635" i="5"/>
  <c r="AC635" i="5"/>
  <c r="AD635" i="5"/>
  <c r="AE635" i="5"/>
  <c r="AF635" i="5"/>
  <c r="AG635" i="5"/>
  <c r="AH635" i="5"/>
  <c r="AI635" i="5"/>
  <c r="AJ635" i="5"/>
  <c r="AK635" i="5"/>
  <c r="AM635" i="5" s="1"/>
  <c r="AN635" i="5"/>
  <c r="AB636" i="5"/>
  <c r="AC636" i="5"/>
  <c r="AD636" i="5"/>
  <c r="AE636" i="5"/>
  <c r="AF636" i="5"/>
  <c r="AG636" i="5"/>
  <c r="AH636" i="5"/>
  <c r="AI636" i="5"/>
  <c r="AJ636" i="5"/>
  <c r="AK636" i="5"/>
  <c r="AM636" i="5" s="1"/>
  <c r="AN636" i="5"/>
  <c r="AB637" i="5"/>
  <c r="AC637" i="5"/>
  <c r="AD637" i="5"/>
  <c r="AE637" i="5"/>
  <c r="AF637" i="5"/>
  <c r="AG637" i="5"/>
  <c r="AH637" i="5"/>
  <c r="AI637" i="5"/>
  <c r="AJ637" i="5"/>
  <c r="AK637" i="5"/>
  <c r="AM637" i="5" s="1"/>
  <c r="AN637" i="5"/>
  <c r="AB638" i="5"/>
  <c r="AC638" i="5"/>
  <c r="AD638" i="5"/>
  <c r="AE638" i="5"/>
  <c r="AF638" i="5"/>
  <c r="AG638" i="5"/>
  <c r="AH638" i="5"/>
  <c r="AI638" i="5"/>
  <c r="AJ638" i="5"/>
  <c r="AK638" i="5"/>
  <c r="AM638" i="5" s="1"/>
  <c r="AN638" i="5"/>
  <c r="AB639" i="5"/>
  <c r="AC639" i="5"/>
  <c r="AD639" i="5"/>
  <c r="AE639" i="5"/>
  <c r="AF639" i="5"/>
  <c r="AG639" i="5"/>
  <c r="AH639" i="5"/>
  <c r="AI639" i="5"/>
  <c r="AJ639" i="5"/>
  <c r="AK639" i="5"/>
  <c r="AM639" i="5" s="1"/>
  <c r="AN639" i="5"/>
  <c r="AB640" i="5"/>
  <c r="AC640" i="5"/>
  <c r="AD640" i="5"/>
  <c r="AE640" i="5"/>
  <c r="AF640" i="5"/>
  <c r="AG640" i="5"/>
  <c r="AH640" i="5"/>
  <c r="AI640" i="5"/>
  <c r="AJ640" i="5"/>
  <c r="AK640" i="5"/>
  <c r="AM640" i="5" s="1"/>
  <c r="AN640" i="5"/>
  <c r="AB641" i="5"/>
  <c r="AC641" i="5"/>
  <c r="AD641" i="5"/>
  <c r="AE641" i="5"/>
  <c r="AF641" i="5"/>
  <c r="AG641" i="5"/>
  <c r="AH641" i="5"/>
  <c r="AI641" i="5"/>
  <c r="AJ641" i="5"/>
  <c r="AK641" i="5"/>
  <c r="AM641" i="5" s="1"/>
  <c r="AN641" i="5"/>
  <c r="AB642" i="5"/>
  <c r="AC642" i="5"/>
  <c r="AD642" i="5"/>
  <c r="AE642" i="5"/>
  <c r="AF642" i="5"/>
  <c r="AG642" i="5"/>
  <c r="AH642" i="5"/>
  <c r="AI642" i="5"/>
  <c r="AJ642" i="5"/>
  <c r="AK642" i="5"/>
  <c r="AM642" i="5" s="1"/>
  <c r="AN642" i="5"/>
  <c r="AB643" i="5"/>
  <c r="AC643" i="5"/>
  <c r="AD643" i="5"/>
  <c r="AE643" i="5"/>
  <c r="AF643" i="5"/>
  <c r="AG643" i="5"/>
  <c r="AH643" i="5"/>
  <c r="AI643" i="5"/>
  <c r="AJ643" i="5"/>
  <c r="AK643" i="5"/>
  <c r="AM643" i="5" s="1"/>
  <c r="AN643" i="5"/>
  <c r="AB644" i="5"/>
  <c r="AC644" i="5"/>
  <c r="AD644" i="5"/>
  <c r="AE644" i="5"/>
  <c r="AF644" i="5"/>
  <c r="AG644" i="5"/>
  <c r="AH644" i="5"/>
  <c r="AI644" i="5"/>
  <c r="AJ644" i="5"/>
  <c r="AK644" i="5"/>
  <c r="AM644" i="5" s="1"/>
  <c r="AN644" i="5"/>
  <c r="AB645" i="5"/>
  <c r="AC645" i="5"/>
  <c r="AD645" i="5"/>
  <c r="AE645" i="5"/>
  <c r="AF645" i="5"/>
  <c r="AG645" i="5"/>
  <c r="AH645" i="5"/>
  <c r="AI645" i="5"/>
  <c r="AJ645" i="5"/>
  <c r="AK645" i="5"/>
  <c r="AM645" i="5" s="1"/>
  <c r="AN645" i="5"/>
  <c r="AB646" i="5"/>
  <c r="AC646" i="5"/>
  <c r="AD646" i="5"/>
  <c r="AE646" i="5"/>
  <c r="AF646" i="5"/>
  <c r="AG646" i="5"/>
  <c r="AH646" i="5"/>
  <c r="AI646" i="5"/>
  <c r="AJ646" i="5"/>
  <c r="AK646" i="5"/>
  <c r="AM646" i="5" s="1"/>
  <c r="AN646" i="5"/>
  <c r="AB647" i="5"/>
  <c r="AC647" i="5"/>
  <c r="AD647" i="5"/>
  <c r="AE647" i="5"/>
  <c r="AF647" i="5"/>
  <c r="AG647" i="5"/>
  <c r="AH647" i="5"/>
  <c r="AI647" i="5"/>
  <c r="AJ647" i="5"/>
  <c r="AK647" i="5"/>
  <c r="AM647" i="5" s="1"/>
  <c r="AN647" i="5"/>
  <c r="AB648" i="5"/>
  <c r="AC648" i="5"/>
  <c r="AD648" i="5"/>
  <c r="AE648" i="5"/>
  <c r="AF648" i="5"/>
  <c r="AG648" i="5"/>
  <c r="AH648" i="5"/>
  <c r="AI648" i="5"/>
  <c r="AJ648" i="5"/>
  <c r="AK648" i="5"/>
  <c r="AM648" i="5" s="1"/>
  <c r="AN648" i="5"/>
  <c r="AB649" i="5"/>
  <c r="AC649" i="5"/>
  <c r="AD649" i="5"/>
  <c r="AE649" i="5"/>
  <c r="AF649" i="5"/>
  <c r="AG649" i="5"/>
  <c r="AH649" i="5"/>
  <c r="AI649" i="5"/>
  <c r="AJ649" i="5"/>
  <c r="AK649" i="5"/>
  <c r="AM649" i="5" s="1"/>
  <c r="AN649" i="5"/>
  <c r="AB650" i="5"/>
  <c r="AC650" i="5"/>
  <c r="AD650" i="5"/>
  <c r="AE650" i="5"/>
  <c r="AF650" i="5"/>
  <c r="AG650" i="5"/>
  <c r="AH650" i="5"/>
  <c r="AI650" i="5"/>
  <c r="AJ650" i="5"/>
  <c r="AK650" i="5"/>
  <c r="AM650" i="5" s="1"/>
  <c r="AN650" i="5"/>
  <c r="AB651" i="5"/>
  <c r="AC651" i="5"/>
  <c r="AD651" i="5"/>
  <c r="AE651" i="5"/>
  <c r="AF651" i="5"/>
  <c r="AG651" i="5"/>
  <c r="AH651" i="5"/>
  <c r="AI651" i="5"/>
  <c r="AJ651" i="5"/>
  <c r="AK651" i="5"/>
  <c r="AM651" i="5" s="1"/>
  <c r="AN651" i="5"/>
  <c r="AB652" i="5"/>
  <c r="AC652" i="5"/>
  <c r="AD652" i="5"/>
  <c r="AE652" i="5"/>
  <c r="AF652" i="5"/>
  <c r="AG652" i="5"/>
  <c r="AH652" i="5"/>
  <c r="AI652" i="5"/>
  <c r="AJ652" i="5"/>
  <c r="AK652" i="5"/>
  <c r="AM652" i="5" s="1"/>
  <c r="AN652" i="5"/>
  <c r="AB653" i="5"/>
  <c r="AC653" i="5"/>
  <c r="AD653" i="5"/>
  <c r="AE653" i="5"/>
  <c r="AF653" i="5"/>
  <c r="AG653" i="5"/>
  <c r="AH653" i="5"/>
  <c r="AI653" i="5"/>
  <c r="AJ653" i="5"/>
  <c r="AK653" i="5"/>
  <c r="AM653" i="5" s="1"/>
  <c r="AN653" i="5"/>
  <c r="AB654" i="5"/>
  <c r="AC654" i="5"/>
  <c r="AD654" i="5"/>
  <c r="AE654" i="5"/>
  <c r="AF654" i="5"/>
  <c r="AG654" i="5"/>
  <c r="AH654" i="5"/>
  <c r="AI654" i="5"/>
  <c r="AJ654" i="5"/>
  <c r="AK654" i="5"/>
  <c r="AM654" i="5" s="1"/>
  <c r="AN654" i="5"/>
  <c r="AB655" i="5"/>
  <c r="AC655" i="5"/>
  <c r="AD655" i="5"/>
  <c r="AE655" i="5"/>
  <c r="AF655" i="5"/>
  <c r="AG655" i="5"/>
  <c r="AH655" i="5"/>
  <c r="AI655" i="5"/>
  <c r="AJ655" i="5"/>
  <c r="AK655" i="5"/>
  <c r="AM655" i="5" s="1"/>
  <c r="AN655" i="5"/>
  <c r="AB656" i="5"/>
  <c r="AC656" i="5"/>
  <c r="AD656" i="5"/>
  <c r="AE656" i="5"/>
  <c r="AF656" i="5"/>
  <c r="AG656" i="5"/>
  <c r="AH656" i="5"/>
  <c r="AI656" i="5"/>
  <c r="AJ656" i="5"/>
  <c r="AK656" i="5"/>
  <c r="AM656" i="5" s="1"/>
  <c r="AN656" i="5"/>
  <c r="AB657" i="5"/>
  <c r="AC657" i="5"/>
  <c r="AD657" i="5"/>
  <c r="AE657" i="5"/>
  <c r="AF657" i="5"/>
  <c r="AG657" i="5"/>
  <c r="AH657" i="5"/>
  <c r="AI657" i="5"/>
  <c r="AJ657" i="5"/>
  <c r="AK657" i="5"/>
  <c r="AM657" i="5" s="1"/>
  <c r="AN657" i="5"/>
  <c r="AB658" i="5"/>
  <c r="AC658" i="5"/>
  <c r="AD658" i="5"/>
  <c r="AE658" i="5"/>
  <c r="AF658" i="5"/>
  <c r="AG658" i="5"/>
  <c r="AH658" i="5"/>
  <c r="AI658" i="5"/>
  <c r="AJ658" i="5"/>
  <c r="AK658" i="5"/>
  <c r="AM658" i="5" s="1"/>
  <c r="AN658" i="5"/>
  <c r="AB659" i="5"/>
  <c r="AC659" i="5"/>
  <c r="AD659" i="5"/>
  <c r="AE659" i="5"/>
  <c r="AF659" i="5"/>
  <c r="AG659" i="5"/>
  <c r="AH659" i="5"/>
  <c r="AI659" i="5"/>
  <c r="AJ659" i="5"/>
  <c r="AK659" i="5"/>
  <c r="AM659" i="5" s="1"/>
  <c r="AN659" i="5"/>
  <c r="AB660" i="5"/>
  <c r="AC660" i="5"/>
  <c r="AD660" i="5"/>
  <c r="AE660" i="5"/>
  <c r="AF660" i="5"/>
  <c r="AG660" i="5"/>
  <c r="AH660" i="5"/>
  <c r="AI660" i="5"/>
  <c r="AJ660" i="5"/>
  <c r="AK660" i="5"/>
  <c r="AM660" i="5" s="1"/>
  <c r="AN660" i="5"/>
  <c r="AB661" i="5"/>
  <c r="AC661" i="5"/>
  <c r="AD661" i="5"/>
  <c r="AE661" i="5"/>
  <c r="AF661" i="5"/>
  <c r="AG661" i="5"/>
  <c r="AH661" i="5"/>
  <c r="AI661" i="5"/>
  <c r="AJ661" i="5"/>
  <c r="AK661" i="5"/>
  <c r="AM661" i="5" s="1"/>
  <c r="AN661" i="5"/>
  <c r="AB662" i="5"/>
  <c r="AC662" i="5"/>
  <c r="AD662" i="5"/>
  <c r="AE662" i="5"/>
  <c r="AF662" i="5"/>
  <c r="AG662" i="5"/>
  <c r="AH662" i="5"/>
  <c r="AI662" i="5"/>
  <c r="AJ662" i="5"/>
  <c r="AK662" i="5"/>
  <c r="AM662" i="5" s="1"/>
  <c r="AN662" i="5"/>
  <c r="AB663" i="5"/>
  <c r="AC663" i="5"/>
  <c r="AD663" i="5"/>
  <c r="AE663" i="5"/>
  <c r="AF663" i="5"/>
  <c r="AG663" i="5"/>
  <c r="AH663" i="5"/>
  <c r="AI663" i="5"/>
  <c r="AJ663" i="5"/>
  <c r="AK663" i="5"/>
  <c r="AM663" i="5" s="1"/>
  <c r="AN663" i="5"/>
  <c r="AB664" i="5"/>
  <c r="AC664" i="5"/>
  <c r="AD664" i="5"/>
  <c r="AE664" i="5"/>
  <c r="AF664" i="5"/>
  <c r="AG664" i="5"/>
  <c r="AH664" i="5"/>
  <c r="AI664" i="5"/>
  <c r="AJ664" i="5"/>
  <c r="AK664" i="5"/>
  <c r="AM664" i="5" s="1"/>
  <c r="AN664" i="5"/>
  <c r="AB665" i="5"/>
  <c r="AC665" i="5"/>
  <c r="AD665" i="5"/>
  <c r="AE665" i="5"/>
  <c r="AF665" i="5"/>
  <c r="AG665" i="5"/>
  <c r="AH665" i="5"/>
  <c r="AI665" i="5"/>
  <c r="AJ665" i="5"/>
  <c r="AK665" i="5"/>
  <c r="AM665" i="5" s="1"/>
  <c r="AN665" i="5"/>
  <c r="AB666" i="5"/>
  <c r="AC666" i="5"/>
  <c r="AD666" i="5"/>
  <c r="AE666" i="5"/>
  <c r="AF666" i="5"/>
  <c r="AG666" i="5"/>
  <c r="AH666" i="5"/>
  <c r="AI666" i="5"/>
  <c r="AJ666" i="5"/>
  <c r="AK666" i="5"/>
  <c r="AM666" i="5" s="1"/>
  <c r="AN666" i="5"/>
  <c r="AB667" i="5"/>
  <c r="AC667" i="5"/>
  <c r="AD667" i="5"/>
  <c r="AE667" i="5"/>
  <c r="AF667" i="5"/>
  <c r="AG667" i="5"/>
  <c r="AH667" i="5"/>
  <c r="AI667" i="5"/>
  <c r="AJ667" i="5"/>
  <c r="AK667" i="5"/>
  <c r="AM667" i="5" s="1"/>
  <c r="AN667" i="5"/>
  <c r="AB668" i="5"/>
  <c r="AC668" i="5"/>
  <c r="AD668" i="5"/>
  <c r="AE668" i="5"/>
  <c r="AF668" i="5"/>
  <c r="AG668" i="5"/>
  <c r="AH668" i="5"/>
  <c r="AI668" i="5"/>
  <c r="AJ668" i="5"/>
  <c r="AK668" i="5"/>
  <c r="AM668" i="5" s="1"/>
  <c r="AN668" i="5"/>
  <c r="AB669" i="5"/>
  <c r="AC669" i="5"/>
  <c r="AD669" i="5"/>
  <c r="AE669" i="5"/>
  <c r="AF669" i="5"/>
  <c r="AG669" i="5"/>
  <c r="AH669" i="5"/>
  <c r="AI669" i="5"/>
  <c r="AJ669" i="5"/>
  <c r="AK669" i="5"/>
  <c r="AM669" i="5" s="1"/>
  <c r="AN669" i="5"/>
  <c r="AB670" i="5"/>
  <c r="AC670" i="5"/>
  <c r="AD670" i="5"/>
  <c r="AE670" i="5"/>
  <c r="AF670" i="5"/>
  <c r="AG670" i="5"/>
  <c r="AH670" i="5"/>
  <c r="AI670" i="5"/>
  <c r="AJ670" i="5"/>
  <c r="AK670" i="5"/>
  <c r="AM670" i="5" s="1"/>
  <c r="AN670" i="5"/>
  <c r="AB671" i="5"/>
  <c r="AC671" i="5"/>
  <c r="AD671" i="5"/>
  <c r="AE671" i="5"/>
  <c r="AF671" i="5"/>
  <c r="AG671" i="5"/>
  <c r="AH671" i="5"/>
  <c r="AI671" i="5"/>
  <c r="AJ671" i="5"/>
  <c r="AK671" i="5"/>
  <c r="AM671" i="5" s="1"/>
  <c r="AN671" i="5"/>
  <c r="AB672" i="5"/>
  <c r="AC672" i="5"/>
  <c r="AD672" i="5"/>
  <c r="AE672" i="5"/>
  <c r="AF672" i="5"/>
  <c r="AG672" i="5"/>
  <c r="AH672" i="5"/>
  <c r="AI672" i="5"/>
  <c r="AJ672" i="5"/>
  <c r="AK672" i="5"/>
  <c r="AM672" i="5" s="1"/>
  <c r="AN672" i="5"/>
  <c r="AB673" i="5"/>
  <c r="AC673" i="5"/>
  <c r="AD673" i="5"/>
  <c r="AE673" i="5"/>
  <c r="AF673" i="5"/>
  <c r="AG673" i="5"/>
  <c r="AH673" i="5"/>
  <c r="AI673" i="5"/>
  <c r="AJ673" i="5"/>
  <c r="AK673" i="5"/>
  <c r="AM673" i="5" s="1"/>
  <c r="AN673" i="5"/>
  <c r="AB674" i="5"/>
  <c r="AC674" i="5"/>
  <c r="AD674" i="5"/>
  <c r="AE674" i="5"/>
  <c r="AF674" i="5"/>
  <c r="AG674" i="5"/>
  <c r="AH674" i="5"/>
  <c r="AI674" i="5"/>
  <c r="AJ674" i="5"/>
  <c r="AK674" i="5"/>
  <c r="AM674" i="5" s="1"/>
  <c r="AN674" i="5"/>
  <c r="AB675" i="5"/>
  <c r="AC675" i="5"/>
  <c r="AD675" i="5"/>
  <c r="AE675" i="5"/>
  <c r="AF675" i="5"/>
  <c r="AG675" i="5"/>
  <c r="AH675" i="5"/>
  <c r="AI675" i="5"/>
  <c r="AJ675" i="5"/>
  <c r="AK675" i="5"/>
  <c r="AM675" i="5" s="1"/>
  <c r="AN675" i="5"/>
  <c r="AB676" i="5"/>
  <c r="AC676" i="5"/>
  <c r="AD676" i="5"/>
  <c r="AE676" i="5"/>
  <c r="AF676" i="5"/>
  <c r="AG676" i="5"/>
  <c r="AH676" i="5"/>
  <c r="AI676" i="5"/>
  <c r="AJ676" i="5"/>
  <c r="AK676" i="5"/>
  <c r="AM676" i="5" s="1"/>
  <c r="AN676" i="5"/>
  <c r="AB677" i="5"/>
  <c r="AC677" i="5"/>
  <c r="AD677" i="5"/>
  <c r="AE677" i="5"/>
  <c r="AF677" i="5"/>
  <c r="AG677" i="5"/>
  <c r="AH677" i="5"/>
  <c r="AI677" i="5"/>
  <c r="AJ677" i="5"/>
  <c r="AK677" i="5"/>
  <c r="AM677" i="5" s="1"/>
  <c r="AN677" i="5"/>
  <c r="AB678" i="5"/>
  <c r="AC678" i="5"/>
  <c r="AD678" i="5"/>
  <c r="AE678" i="5"/>
  <c r="AF678" i="5"/>
  <c r="AG678" i="5"/>
  <c r="AH678" i="5"/>
  <c r="AI678" i="5"/>
  <c r="AJ678" i="5"/>
  <c r="AK678" i="5"/>
  <c r="AM678" i="5" s="1"/>
  <c r="AN678" i="5"/>
  <c r="AB679" i="5"/>
  <c r="AC679" i="5"/>
  <c r="AD679" i="5"/>
  <c r="AE679" i="5"/>
  <c r="AF679" i="5"/>
  <c r="AG679" i="5"/>
  <c r="AH679" i="5"/>
  <c r="AI679" i="5"/>
  <c r="AJ679" i="5"/>
  <c r="AK679" i="5"/>
  <c r="AM679" i="5" s="1"/>
  <c r="AN679" i="5"/>
  <c r="AB680" i="5"/>
  <c r="AC680" i="5"/>
  <c r="AD680" i="5"/>
  <c r="AE680" i="5"/>
  <c r="AF680" i="5"/>
  <c r="AG680" i="5"/>
  <c r="AH680" i="5"/>
  <c r="AI680" i="5"/>
  <c r="AJ680" i="5"/>
  <c r="AK680" i="5"/>
  <c r="AM680" i="5" s="1"/>
  <c r="AN680" i="5"/>
  <c r="AB681" i="5"/>
  <c r="AC681" i="5"/>
  <c r="AD681" i="5"/>
  <c r="AE681" i="5"/>
  <c r="AF681" i="5"/>
  <c r="AG681" i="5"/>
  <c r="AH681" i="5"/>
  <c r="AI681" i="5"/>
  <c r="AJ681" i="5"/>
  <c r="AK681" i="5"/>
  <c r="AM681" i="5" s="1"/>
  <c r="AN681" i="5"/>
  <c r="AB682" i="5"/>
  <c r="AC682" i="5"/>
  <c r="AD682" i="5"/>
  <c r="AE682" i="5"/>
  <c r="AF682" i="5"/>
  <c r="AG682" i="5"/>
  <c r="AH682" i="5"/>
  <c r="AI682" i="5"/>
  <c r="AJ682" i="5"/>
  <c r="AK682" i="5"/>
  <c r="AM682" i="5" s="1"/>
  <c r="AN682" i="5"/>
  <c r="AB683" i="5"/>
  <c r="AC683" i="5"/>
  <c r="AD683" i="5"/>
  <c r="AE683" i="5"/>
  <c r="AF683" i="5"/>
  <c r="AG683" i="5"/>
  <c r="AH683" i="5"/>
  <c r="AI683" i="5"/>
  <c r="AJ683" i="5"/>
  <c r="AK683" i="5"/>
  <c r="AM683" i="5" s="1"/>
  <c r="AN683" i="5"/>
  <c r="AB684" i="5"/>
  <c r="AC684" i="5"/>
  <c r="AD684" i="5"/>
  <c r="AE684" i="5"/>
  <c r="AF684" i="5"/>
  <c r="AG684" i="5"/>
  <c r="AH684" i="5"/>
  <c r="AI684" i="5"/>
  <c r="AJ684" i="5"/>
  <c r="AK684" i="5"/>
  <c r="AM684" i="5" s="1"/>
  <c r="AN684" i="5"/>
  <c r="AB685" i="5"/>
  <c r="AC685" i="5"/>
  <c r="AD685" i="5"/>
  <c r="AE685" i="5"/>
  <c r="AF685" i="5"/>
  <c r="AG685" i="5"/>
  <c r="AH685" i="5"/>
  <c r="AI685" i="5"/>
  <c r="AJ685" i="5"/>
  <c r="AK685" i="5"/>
  <c r="AM685" i="5" s="1"/>
  <c r="AN685" i="5"/>
  <c r="AB686" i="5"/>
  <c r="AC686" i="5"/>
  <c r="AD686" i="5"/>
  <c r="AE686" i="5"/>
  <c r="AF686" i="5"/>
  <c r="AG686" i="5"/>
  <c r="AH686" i="5"/>
  <c r="AI686" i="5"/>
  <c r="AJ686" i="5"/>
  <c r="AK686" i="5"/>
  <c r="AM686" i="5" s="1"/>
  <c r="AN686" i="5"/>
  <c r="AB687" i="5"/>
  <c r="AC687" i="5"/>
  <c r="AD687" i="5"/>
  <c r="AE687" i="5"/>
  <c r="AF687" i="5"/>
  <c r="AG687" i="5"/>
  <c r="AH687" i="5"/>
  <c r="AI687" i="5"/>
  <c r="AJ687" i="5"/>
  <c r="AK687" i="5"/>
  <c r="AM687" i="5" s="1"/>
  <c r="AN687" i="5"/>
  <c r="AB688" i="5"/>
  <c r="AC688" i="5"/>
  <c r="AD688" i="5"/>
  <c r="AE688" i="5"/>
  <c r="AF688" i="5"/>
  <c r="AG688" i="5"/>
  <c r="AH688" i="5"/>
  <c r="AI688" i="5"/>
  <c r="AJ688" i="5"/>
  <c r="AK688" i="5"/>
  <c r="AM688" i="5" s="1"/>
  <c r="AN688" i="5"/>
  <c r="AB689" i="5"/>
  <c r="AC689" i="5"/>
  <c r="AD689" i="5"/>
  <c r="AE689" i="5"/>
  <c r="AF689" i="5"/>
  <c r="AG689" i="5"/>
  <c r="AH689" i="5"/>
  <c r="AI689" i="5"/>
  <c r="AJ689" i="5"/>
  <c r="AK689" i="5"/>
  <c r="AM689" i="5" s="1"/>
  <c r="AN689" i="5"/>
  <c r="AB690" i="5"/>
  <c r="AC690" i="5"/>
  <c r="AD690" i="5"/>
  <c r="AE690" i="5"/>
  <c r="AF690" i="5"/>
  <c r="AG690" i="5"/>
  <c r="AH690" i="5"/>
  <c r="AI690" i="5"/>
  <c r="AJ690" i="5"/>
  <c r="AK690" i="5"/>
  <c r="AM690" i="5" s="1"/>
  <c r="AN690" i="5"/>
  <c r="AB691" i="5"/>
  <c r="AC691" i="5"/>
  <c r="AD691" i="5"/>
  <c r="AE691" i="5"/>
  <c r="AF691" i="5"/>
  <c r="AG691" i="5"/>
  <c r="AH691" i="5"/>
  <c r="AI691" i="5"/>
  <c r="AJ691" i="5"/>
  <c r="AK691" i="5"/>
  <c r="AM691" i="5" s="1"/>
  <c r="AN691" i="5"/>
  <c r="AB692" i="5"/>
  <c r="AC692" i="5"/>
  <c r="AD692" i="5"/>
  <c r="AE692" i="5"/>
  <c r="AF692" i="5"/>
  <c r="AG692" i="5"/>
  <c r="AH692" i="5"/>
  <c r="AI692" i="5"/>
  <c r="AJ692" i="5"/>
  <c r="AK692" i="5"/>
  <c r="AM692" i="5" s="1"/>
  <c r="AN692" i="5"/>
  <c r="AB693" i="5"/>
  <c r="AC693" i="5"/>
  <c r="AD693" i="5"/>
  <c r="AE693" i="5"/>
  <c r="AF693" i="5"/>
  <c r="AG693" i="5"/>
  <c r="AH693" i="5"/>
  <c r="AI693" i="5"/>
  <c r="AJ693" i="5"/>
  <c r="AK693" i="5"/>
  <c r="AM693" i="5" s="1"/>
  <c r="AN693" i="5"/>
  <c r="AB694" i="5"/>
  <c r="AC694" i="5"/>
  <c r="AD694" i="5"/>
  <c r="AE694" i="5"/>
  <c r="AF694" i="5"/>
  <c r="AG694" i="5"/>
  <c r="AH694" i="5"/>
  <c r="AI694" i="5"/>
  <c r="AJ694" i="5"/>
  <c r="AK694" i="5"/>
  <c r="AM694" i="5" s="1"/>
  <c r="AN694" i="5"/>
  <c r="AB695" i="5"/>
  <c r="AC695" i="5"/>
  <c r="AD695" i="5"/>
  <c r="AE695" i="5"/>
  <c r="AF695" i="5"/>
  <c r="AG695" i="5"/>
  <c r="AH695" i="5"/>
  <c r="AI695" i="5"/>
  <c r="AJ695" i="5"/>
  <c r="AK695" i="5"/>
  <c r="AM695" i="5" s="1"/>
  <c r="AN695" i="5"/>
  <c r="AB696" i="5"/>
  <c r="AC696" i="5"/>
  <c r="AD696" i="5"/>
  <c r="AE696" i="5"/>
  <c r="AF696" i="5"/>
  <c r="AG696" i="5"/>
  <c r="AH696" i="5"/>
  <c r="AI696" i="5"/>
  <c r="AJ696" i="5"/>
  <c r="AK696" i="5"/>
  <c r="AM696" i="5" s="1"/>
  <c r="AN696" i="5"/>
  <c r="AB697" i="5"/>
  <c r="AC697" i="5"/>
  <c r="AD697" i="5"/>
  <c r="AE697" i="5"/>
  <c r="AF697" i="5"/>
  <c r="AG697" i="5"/>
  <c r="AH697" i="5"/>
  <c r="AI697" i="5"/>
  <c r="AJ697" i="5"/>
  <c r="AK697" i="5"/>
  <c r="AM697" i="5" s="1"/>
  <c r="AN697" i="5"/>
  <c r="AB698" i="5"/>
  <c r="AC698" i="5"/>
  <c r="AD698" i="5"/>
  <c r="AE698" i="5"/>
  <c r="AF698" i="5"/>
  <c r="AG698" i="5"/>
  <c r="AH698" i="5"/>
  <c r="AI698" i="5"/>
  <c r="AJ698" i="5"/>
  <c r="AK698" i="5"/>
  <c r="AM698" i="5" s="1"/>
  <c r="AN698" i="5"/>
  <c r="AB699" i="5"/>
  <c r="AC699" i="5"/>
  <c r="AD699" i="5"/>
  <c r="AE699" i="5"/>
  <c r="AF699" i="5"/>
  <c r="AG699" i="5"/>
  <c r="AH699" i="5"/>
  <c r="AI699" i="5"/>
  <c r="AJ699" i="5"/>
  <c r="AK699" i="5"/>
  <c r="AM699" i="5" s="1"/>
  <c r="AN699" i="5"/>
  <c r="AB700" i="5"/>
  <c r="AC700" i="5"/>
  <c r="AD700" i="5"/>
  <c r="AE700" i="5"/>
  <c r="AF700" i="5"/>
  <c r="AG700" i="5"/>
  <c r="AH700" i="5"/>
  <c r="AI700" i="5"/>
  <c r="AJ700" i="5"/>
  <c r="AK700" i="5"/>
  <c r="AM700" i="5" s="1"/>
  <c r="AN700" i="5"/>
  <c r="AB701" i="5"/>
  <c r="AC701" i="5"/>
  <c r="AD701" i="5"/>
  <c r="AE701" i="5"/>
  <c r="AF701" i="5"/>
  <c r="AG701" i="5"/>
  <c r="AH701" i="5"/>
  <c r="AI701" i="5"/>
  <c r="AJ701" i="5"/>
  <c r="AK701" i="5"/>
  <c r="AM701" i="5" s="1"/>
  <c r="AN701" i="5"/>
  <c r="AB702" i="5"/>
  <c r="AC702" i="5"/>
  <c r="AD702" i="5"/>
  <c r="AE702" i="5"/>
  <c r="AF702" i="5"/>
  <c r="AG702" i="5"/>
  <c r="AH702" i="5"/>
  <c r="AI702" i="5"/>
  <c r="AJ702" i="5"/>
  <c r="AK702" i="5"/>
  <c r="AM702" i="5" s="1"/>
  <c r="AN702" i="5"/>
  <c r="AB703" i="5"/>
  <c r="AC703" i="5"/>
  <c r="AD703" i="5"/>
  <c r="AE703" i="5"/>
  <c r="AF703" i="5"/>
  <c r="AG703" i="5"/>
  <c r="AH703" i="5"/>
  <c r="AI703" i="5"/>
  <c r="AJ703" i="5"/>
  <c r="AK703" i="5"/>
  <c r="AM703" i="5" s="1"/>
  <c r="AN703" i="5"/>
  <c r="V242" i="5"/>
  <c r="V132" i="5"/>
  <c r="V102" i="5"/>
  <c r="V164" i="5"/>
  <c r="S242" i="5"/>
  <c r="S132" i="5"/>
  <c r="S102" i="5"/>
  <c r="O242" i="5"/>
  <c r="O132" i="5"/>
  <c r="AK17" i="3" l="1"/>
  <c r="AM17" i="3" s="1"/>
  <c r="AK18" i="3"/>
  <c r="AM18" i="3" s="1"/>
  <c r="AK33" i="3"/>
  <c r="AM33" i="3" s="1"/>
  <c r="AN17" i="3"/>
  <c r="AK24" i="3"/>
  <c r="AM24" i="3" s="1"/>
  <c r="AK37" i="5"/>
  <c r="AM37" i="5" s="1"/>
  <c r="AK266" i="5"/>
  <c r="AM266" i="5" s="1"/>
  <c r="AK77" i="5"/>
  <c r="AM77" i="5" s="1"/>
  <c r="AK63" i="5"/>
  <c r="AM63" i="5" s="1"/>
  <c r="AN63" i="5"/>
  <c r="AK24" i="5"/>
  <c r="AM24" i="5" s="1"/>
  <c r="AN266" i="5"/>
  <c r="AN24" i="5"/>
  <c r="AN77" i="5"/>
  <c r="AN37" i="5"/>
  <c r="AK285" i="5"/>
  <c r="AM285" i="5" s="1"/>
  <c r="AK240" i="5"/>
  <c r="AM240" i="5" s="1"/>
  <c r="AN285" i="5"/>
  <c r="AN240" i="5"/>
  <c r="AK179" i="5"/>
  <c r="AM179" i="5" s="1"/>
  <c r="AN179" i="5"/>
  <c r="AN205" i="5"/>
  <c r="AK259" i="5"/>
  <c r="AM259" i="5" s="1"/>
  <c r="AK202" i="5"/>
  <c r="AM202" i="5" s="1"/>
  <c r="AN259" i="5"/>
  <c r="AK205" i="5"/>
  <c r="AM205" i="5" s="1"/>
  <c r="AN202" i="5"/>
  <c r="AK258" i="5"/>
  <c r="AM258" i="5" s="1"/>
  <c r="AK256" i="5"/>
  <c r="AM256" i="5" s="1"/>
  <c r="AK257" i="5"/>
  <c r="AM257" i="5" s="1"/>
  <c r="AN258" i="5"/>
  <c r="AN256" i="5"/>
  <c r="AN257" i="5"/>
  <c r="AK291" i="5"/>
  <c r="AM291" i="5" s="1"/>
  <c r="AN137" i="5"/>
  <c r="AK254" i="5"/>
  <c r="AM254" i="5" s="1"/>
  <c r="AK197" i="5"/>
  <c r="AM197" i="5" s="1"/>
  <c r="AK137" i="5"/>
  <c r="AM137" i="5" s="1"/>
  <c r="AN254" i="5"/>
  <c r="AN197" i="5"/>
  <c r="AN249" i="5"/>
  <c r="AK185" i="5"/>
  <c r="AM185" i="5" s="1"/>
  <c r="AK249" i="5"/>
  <c r="AM249" i="5" s="1"/>
  <c r="AN291" i="5"/>
  <c r="AN185" i="5"/>
  <c r="AK206" i="5"/>
  <c r="AM206" i="5" s="1"/>
  <c r="AN206" i="5"/>
  <c r="AK199" i="5"/>
  <c r="AM199" i="5" s="1"/>
  <c r="AK201" i="5"/>
  <c r="AM201" i="5" s="1"/>
  <c r="AN201" i="5"/>
  <c r="AN199" i="5"/>
  <c r="AK135" i="5"/>
  <c r="AM135" i="5" s="1"/>
  <c r="AK198" i="5"/>
  <c r="AM198" i="5" s="1"/>
  <c r="AK193" i="5"/>
  <c r="AM193" i="5" s="1"/>
  <c r="AN193" i="5"/>
  <c r="AN135" i="5"/>
  <c r="AN198" i="5"/>
  <c r="AN22" i="5"/>
  <c r="AK118" i="5"/>
  <c r="AM118" i="5" s="1"/>
  <c r="AK191" i="5"/>
  <c r="AM191" i="5" s="1"/>
  <c r="AK58" i="5"/>
  <c r="AM58" i="5" s="1"/>
  <c r="AN118" i="5"/>
  <c r="AN191" i="5"/>
  <c r="AN58" i="5"/>
  <c r="AK22" i="5"/>
  <c r="AM22" i="5" s="1"/>
  <c r="AK220" i="5"/>
  <c r="AM220" i="5" s="1"/>
  <c r="AK158" i="5"/>
  <c r="AM158" i="5" s="1"/>
  <c r="AK181" i="5"/>
  <c r="AM181" i="5" s="1"/>
  <c r="AN181" i="5"/>
  <c r="AN139" i="5"/>
  <c r="AK139" i="5"/>
  <c r="AM139" i="5" s="1"/>
  <c r="AK166" i="5"/>
  <c r="AM166" i="5" s="1"/>
  <c r="AN158" i="5"/>
  <c r="AN220" i="5"/>
  <c r="AN166" i="5"/>
  <c r="AN18" i="3"/>
  <c r="AN27" i="3"/>
  <c r="AK27" i="3"/>
  <c r="AM27" i="3" s="1"/>
  <c r="AN33" i="3"/>
  <c r="AN24" i="3"/>
  <c r="T132" i="5"/>
  <c r="T242" i="5"/>
  <c r="V280" i="5"/>
  <c r="V303" i="5"/>
  <c r="U17" i="3" l="1"/>
  <c r="U24" i="3"/>
  <c r="U33" i="3"/>
  <c r="U18" i="3"/>
  <c r="U220" i="5"/>
  <c r="U266" i="5"/>
  <c r="U63" i="5"/>
  <c r="U37" i="5"/>
  <c r="U77" i="5"/>
  <c r="U24" i="5"/>
  <c r="U257" i="5"/>
  <c r="U240" i="5"/>
  <c r="U254" i="5"/>
  <c r="U258" i="5"/>
  <c r="U285" i="5"/>
  <c r="U202" i="5"/>
  <c r="U179" i="5"/>
  <c r="U205" i="5"/>
  <c r="U185" i="5"/>
  <c r="U259" i="5"/>
  <c r="U198" i="5"/>
  <c r="U256" i="5"/>
  <c r="U291" i="5"/>
  <c r="U137" i="5"/>
  <c r="U197" i="5"/>
  <c r="U249" i="5"/>
  <c r="U135" i="5"/>
  <c r="U206" i="5"/>
  <c r="U22" i="5"/>
  <c r="U193" i="5"/>
  <c r="U199" i="5"/>
  <c r="U201" i="5"/>
  <c r="U118" i="5"/>
  <c r="U58" i="5"/>
  <c r="U158" i="5"/>
  <c r="U191" i="5"/>
  <c r="U27" i="3"/>
  <c r="U181" i="5"/>
  <c r="U139" i="5"/>
  <c r="U166" i="5"/>
  <c r="W132" i="5"/>
  <c r="AC132" i="5"/>
  <c r="AD132" i="5"/>
  <c r="AH132" i="5"/>
  <c r="AE132" i="5"/>
  <c r="AI132" i="5"/>
  <c r="AG132" i="5"/>
  <c r="AB132" i="5"/>
  <c r="AF132" i="5"/>
  <c r="AJ132" i="5"/>
  <c r="W242" i="5"/>
  <c r="AC242" i="5"/>
  <c r="AG242" i="5"/>
  <c r="AD242" i="5"/>
  <c r="AH242" i="5"/>
  <c r="AB242" i="5"/>
  <c r="AF242" i="5"/>
  <c r="AJ242" i="5"/>
  <c r="AE242" i="5"/>
  <c r="AI242" i="5"/>
  <c r="S280" i="5"/>
  <c r="S303" i="5"/>
  <c r="S164" i="5"/>
  <c r="O280" i="5"/>
  <c r="O303" i="5"/>
  <c r="T303" i="5" l="1"/>
  <c r="W303" i="5" s="1"/>
  <c r="AK242" i="5"/>
  <c r="AM242" i="5" s="1"/>
  <c r="AN242" i="5"/>
  <c r="AK132" i="5"/>
  <c r="AM132" i="5" s="1"/>
  <c r="AN132" i="5"/>
  <c r="T280" i="5"/>
  <c r="W280" i="5" s="1"/>
  <c r="U242" i="5" l="1"/>
  <c r="U132" i="5"/>
  <c r="S102" i="3" l="1"/>
  <c r="V102" i="3"/>
  <c r="S59" i="3"/>
  <c r="V59" i="3"/>
  <c r="S131" i="3"/>
  <c r="V131" i="3"/>
  <c r="S62" i="3"/>
  <c r="V62" i="3"/>
  <c r="O102" i="3"/>
  <c r="O59" i="3"/>
  <c r="O131" i="3"/>
  <c r="O62" i="3"/>
  <c r="T131" i="3" l="1"/>
  <c r="AE131" i="3" s="1"/>
  <c r="T102" i="3"/>
  <c r="T62" i="3"/>
  <c r="T59" i="3"/>
  <c r="O77" i="3"/>
  <c r="S77" i="3"/>
  <c r="V77" i="3"/>
  <c r="O138" i="3"/>
  <c r="S138" i="3"/>
  <c r="V138" i="3"/>
  <c r="O50" i="3"/>
  <c r="S50" i="3"/>
  <c r="V50" i="3"/>
  <c r="O9" i="3"/>
  <c r="S9" i="3"/>
  <c r="V9" i="3"/>
  <c r="O81" i="3"/>
  <c r="S81" i="3"/>
  <c r="V81" i="3"/>
  <c r="O86" i="3"/>
  <c r="S86" i="3"/>
  <c r="V86" i="3"/>
  <c r="O100" i="3"/>
  <c r="S100" i="3"/>
  <c r="V100" i="3"/>
  <c r="O114" i="3"/>
  <c r="S114" i="3"/>
  <c r="V114" i="3"/>
  <c r="O132" i="3"/>
  <c r="S132" i="3"/>
  <c r="V132" i="3"/>
  <c r="O135" i="3"/>
  <c r="S135" i="3"/>
  <c r="V135" i="3"/>
  <c r="O136" i="3"/>
  <c r="S136" i="3"/>
  <c r="V136" i="3"/>
  <c r="O34" i="3"/>
  <c r="S34" i="3"/>
  <c r="V34" i="3"/>
  <c r="O80" i="3"/>
  <c r="S80" i="3"/>
  <c r="V80" i="3"/>
  <c r="O69" i="3"/>
  <c r="S69" i="3"/>
  <c r="V69" i="3"/>
  <c r="O93" i="3"/>
  <c r="S93" i="3"/>
  <c r="V93" i="3"/>
  <c r="O99" i="3"/>
  <c r="S99" i="3"/>
  <c r="V99" i="3"/>
  <c r="O36" i="3"/>
  <c r="S36" i="3"/>
  <c r="V36" i="3"/>
  <c r="O54" i="3"/>
  <c r="S54" i="3"/>
  <c r="V54" i="3"/>
  <c r="O103" i="3"/>
  <c r="S103" i="3"/>
  <c r="V103" i="3"/>
  <c r="O128" i="3"/>
  <c r="S128" i="3"/>
  <c r="V128" i="3"/>
  <c r="O45" i="3"/>
  <c r="S45" i="3"/>
  <c r="V45" i="3"/>
  <c r="O68" i="3"/>
  <c r="S68" i="3"/>
  <c r="V68" i="3"/>
  <c r="O56" i="3"/>
  <c r="S56" i="3"/>
  <c r="V56" i="3"/>
  <c r="O70" i="3"/>
  <c r="S70" i="3"/>
  <c r="V70" i="3"/>
  <c r="O58" i="3"/>
  <c r="S58" i="3"/>
  <c r="V58" i="3"/>
  <c r="O117" i="3"/>
  <c r="S117" i="3"/>
  <c r="V117" i="3"/>
  <c r="O118" i="3"/>
  <c r="S118" i="3"/>
  <c r="V118" i="3"/>
  <c r="O111" i="3"/>
  <c r="S111" i="3"/>
  <c r="V111" i="3"/>
  <c r="O143" i="3"/>
  <c r="S143" i="3"/>
  <c r="V143" i="3"/>
  <c r="O12" i="3"/>
  <c r="S12" i="3"/>
  <c r="V12" i="3"/>
  <c r="O25" i="3"/>
  <c r="S25" i="3"/>
  <c r="V25" i="3"/>
  <c r="O82" i="3"/>
  <c r="S82" i="3"/>
  <c r="V82" i="3"/>
  <c r="O84" i="3"/>
  <c r="S84" i="3"/>
  <c r="V84" i="3"/>
  <c r="O79" i="3"/>
  <c r="S79" i="3"/>
  <c r="V79" i="3"/>
  <c r="O14" i="3"/>
  <c r="S14" i="3"/>
  <c r="V14" i="3"/>
  <c r="O140" i="3"/>
  <c r="S140" i="3"/>
  <c r="V140" i="3"/>
  <c r="O83" i="3"/>
  <c r="V83" i="3"/>
  <c r="T125" i="3"/>
  <c r="W125" i="3" s="1"/>
  <c r="V125" i="3"/>
  <c r="T103" i="3" l="1"/>
  <c r="AI131" i="3"/>
  <c r="AF131" i="3"/>
  <c r="AB131" i="3"/>
  <c r="T80" i="3"/>
  <c r="AH80" i="3" s="1"/>
  <c r="T84" i="3"/>
  <c r="AH84" i="3" s="1"/>
  <c r="AC131" i="3"/>
  <c r="W131" i="3"/>
  <c r="T117" i="3"/>
  <c r="AF117" i="3" s="1"/>
  <c r="AH131" i="3"/>
  <c r="T128" i="3"/>
  <c r="T135" i="3"/>
  <c r="AH135" i="3" s="1"/>
  <c r="AG131" i="3"/>
  <c r="AD131" i="3"/>
  <c r="T25" i="3"/>
  <c r="AH25" i="3" s="1"/>
  <c r="T118" i="3"/>
  <c r="AJ118" i="3" s="1"/>
  <c r="T68" i="3"/>
  <c r="AC68" i="3" s="1"/>
  <c r="AJ131" i="3"/>
  <c r="T70" i="3"/>
  <c r="AC70" i="3" s="1"/>
  <c r="T79" i="3"/>
  <c r="AI79" i="3" s="1"/>
  <c r="T58" i="3"/>
  <c r="W58" i="3" s="1"/>
  <c r="T111" i="3"/>
  <c r="AG111" i="3" s="1"/>
  <c r="T143" i="3"/>
  <c r="W143" i="3" s="1"/>
  <c r="T83" i="3"/>
  <c r="W83" i="3" s="1"/>
  <c r="AB66" i="3"/>
  <c r="AF66" i="3"/>
  <c r="AJ66" i="3"/>
  <c r="AC66" i="3"/>
  <c r="AG66" i="3"/>
  <c r="AD66" i="3"/>
  <c r="AH66" i="3"/>
  <c r="AE66" i="3"/>
  <c r="AI66" i="3"/>
  <c r="AD127" i="3"/>
  <c r="AH127" i="3"/>
  <c r="AE127" i="3"/>
  <c r="AJ127" i="3"/>
  <c r="AF127" i="3"/>
  <c r="AB127" i="3"/>
  <c r="AG127" i="3"/>
  <c r="AC127" i="3"/>
  <c r="AI127" i="3"/>
  <c r="AE125" i="3"/>
  <c r="AI125" i="3"/>
  <c r="AB125" i="3"/>
  <c r="AF125" i="3"/>
  <c r="AJ125" i="3"/>
  <c r="AC125" i="3"/>
  <c r="AG125" i="3"/>
  <c r="AD125" i="3"/>
  <c r="AH125" i="3"/>
  <c r="W62" i="3"/>
  <c r="AB62" i="3"/>
  <c r="AF62" i="3"/>
  <c r="AJ62" i="3"/>
  <c r="AC62" i="3"/>
  <c r="AG62" i="3"/>
  <c r="AD62" i="3"/>
  <c r="AH62" i="3"/>
  <c r="AE62" i="3"/>
  <c r="AI62" i="3"/>
  <c r="AD110" i="3"/>
  <c r="AH110" i="3"/>
  <c r="AE110" i="3"/>
  <c r="AI110" i="3"/>
  <c r="AB110" i="3"/>
  <c r="AF110" i="3"/>
  <c r="AJ110" i="3"/>
  <c r="AC110" i="3"/>
  <c r="AG110" i="3"/>
  <c r="W59" i="3"/>
  <c r="AE59" i="3"/>
  <c r="AI59" i="3"/>
  <c r="AB59" i="3"/>
  <c r="AF59" i="3"/>
  <c r="AJ59" i="3"/>
  <c r="AC59" i="3"/>
  <c r="AG59" i="3"/>
  <c r="AD59" i="3"/>
  <c r="AH59" i="3"/>
  <c r="W102" i="3"/>
  <c r="AD102" i="3"/>
  <c r="AH102" i="3"/>
  <c r="AE102" i="3"/>
  <c r="AI102" i="3"/>
  <c r="AB102" i="3"/>
  <c r="AF102" i="3"/>
  <c r="AJ102" i="3"/>
  <c r="AC102" i="3"/>
  <c r="AG102" i="3"/>
  <c r="AC57" i="3"/>
  <c r="AG57" i="3"/>
  <c r="AD57" i="3"/>
  <c r="AH57" i="3"/>
  <c r="AE57" i="3"/>
  <c r="AI57" i="3"/>
  <c r="AB57" i="3"/>
  <c r="AF57" i="3"/>
  <c r="AJ57" i="3"/>
  <c r="AC53" i="3"/>
  <c r="AG53" i="3"/>
  <c r="AD53" i="3"/>
  <c r="AH53" i="3"/>
  <c r="AE53" i="3"/>
  <c r="AI53" i="3"/>
  <c r="AB53" i="3"/>
  <c r="AF53" i="3"/>
  <c r="AJ53" i="3"/>
  <c r="AC141" i="3"/>
  <c r="AG141" i="3"/>
  <c r="AD141" i="3"/>
  <c r="AH141" i="3"/>
  <c r="AE141" i="3"/>
  <c r="AI141" i="3"/>
  <c r="AB141" i="3"/>
  <c r="AF141" i="3"/>
  <c r="AJ141" i="3"/>
  <c r="T140" i="3"/>
  <c r="AD140" i="3" s="1"/>
  <c r="T54" i="3"/>
  <c r="AD54" i="3" s="1"/>
  <c r="T14" i="3"/>
  <c r="AE14" i="3" s="1"/>
  <c r="T12" i="3"/>
  <c r="AI12" i="3" s="1"/>
  <c r="T82" i="3"/>
  <c r="AF82" i="3" s="1"/>
  <c r="T56" i="3"/>
  <c r="AI56" i="3" s="1"/>
  <c r="T45" i="3"/>
  <c r="AF45" i="3" s="1"/>
  <c r="AB128" i="3"/>
  <c r="AF128" i="3"/>
  <c r="AJ128" i="3"/>
  <c r="AC128" i="3"/>
  <c r="AG128" i="3"/>
  <c r="AD128" i="3"/>
  <c r="AH128" i="3"/>
  <c r="AE128" i="3"/>
  <c r="AI128" i="3"/>
  <c r="W128" i="3"/>
  <c r="AB103" i="3"/>
  <c r="AF103" i="3"/>
  <c r="AJ103" i="3"/>
  <c r="AC103" i="3"/>
  <c r="AG103" i="3"/>
  <c r="AD103" i="3"/>
  <c r="AH103" i="3"/>
  <c r="AE103" i="3"/>
  <c r="AI103" i="3"/>
  <c r="W103" i="3"/>
  <c r="T93" i="3"/>
  <c r="W93" i="3" s="1"/>
  <c r="T86" i="3"/>
  <c r="W86" i="3" s="1"/>
  <c r="T132" i="3"/>
  <c r="AJ132" i="3" s="1"/>
  <c r="T50" i="3"/>
  <c r="AH50" i="3" s="1"/>
  <c r="T99" i="3"/>
  <c r="W99" i="3" s="1"/>
  <c r="T34" i="3"/>
  <c r="AG34" i="3" s="1"/>
  <c r="T138" i="3"/>
  <c r="AE138" i="3" s="1"/>
  <c r="T36" i="3"/>
  <c r="T69" i="3"/>
  <c r="AE69" i="3" s="1"/>
  <c r="T136" i="3"/>
  <c r="AF136" i="3" s="1"/>
  <c r="T114" i="3"/>
  <c r="W114" i="3" s="1"/>
  <c r="T100" i="3"/>
  <c r="AG100" i="3" s="1"/>
  <c r="T81" i="3"/>
  <c r="AG81" i="3" s="1"/>
  <c r="T9" i="3"/>
  <c r="AE9" i="3" s="1"/>
  <c r="T77" i="3"/>
  <c r="AJ77" i="3" s="1"/>
  <c r="V143" i="5"/>
  <c r="S143" i="5"/>
  <c r="O143" i="5"/>
  <c r="V122" i="5"/>
  <c r="S122" i="5"/>
  <c r="O122" i="5"/>
  <c r="V109" i="5"/>
  <c r="S109" i="5"/>
  <c r="O109" i="5"/>
  <c r="V104" i="5"/>
  <c r="S104" i="5"/>
  <c r="O104" i="5"/>
  <c r="V99" i="5"/>
  <c r="S99" i="5"/>
  <c r="O99" i="5"/>
  <c r="V98" i="5"/>
  <c r="S98" i="5"/>
  <c r="O98" i="5"/>
  <c r="V96" i="5"/>
  <c r="S96" i="5"/>
  <c r="O96" i="5"/>
  <c r="V95" i="5"/>
  <c r="S95" i="5"/>
  <c r="O95" i="5"/>
  <c r="V94" i="5"/>
  <c r="S94" i="5"/>
  <c r="O94" i="5"/>
  <c r="V85" i="5"/>
  <c r="S85" i="5"/>
  <c r="O85" i="5"/>
  <c r="V79" i="5"/>
  <c r="S79" i="5"/>
  <c r="O79" i="5"/>
  <c r="V73" i="5"/>
  <c r="S73" i="5"/>
  <c r="O73" i="5"/>
  <c r="V70" i="5"/>
  <c r="S70" i="5"/>
  <c r="O70" i="5"/>
  <c r="V68" i="5"/>
  <c r="S68" i="5"/>
  <c r="O68" i="5"/>
  <c r="V61" i="5"/>
  <c r="S61" i="5"/>
  <c r="O61" i="5"/>
  <c r="V47" i="5"/>
  <c r="S47" i="5"/>
  <c r="O47" i="5"/>
  <c r="V34" i="5"/>
  <c r="S34" i="5"/>
  <c r="O34" i="5"/>
  <c r="V21" i="5"/>
  <c r="S21" i="5"/>
  <c r="O21" i="5"/>
  <c r="V178" i="5"/>
  <c r="S178" i="5"/>
  <c r="O178" i="5"/>
  <c r="V90" i="5"/>
  <c r="S90" i="5"/>
  <c r="O90" i="5"/>
  <c r="V52" i="5"/>
  <c r="S52" i="5"/>
  <c r="O52" i="5"/>
  <c r="V176" i="5"/>
  <c r="S176" i="5"/>
  <c r="O176" i="5"/>
  <c r="V270" i="5"/>
  <c r="S270" i="5"/>
  <c r="O270" i="5"/>
  <c r="V147" i="5"/>
  <c r="S147" i="5"/>
  <c r="O147" i="5"/>
  <c r="O160" i="5"/>
  <c r="S160" i="5"/>
  <c r="V160" i="5"/>
  <c r="O167" i="5"/>
  <c r="S167" i="5"/>
  <c r="V167" i="5"/>
  <c r="O180" i="5"/>
  <c r="S180" i="5"/>
  <c r="V180" i="5"/>
  <c r="O192" i="5"/>
  <c r="S192" i="5"/>
  <c r="V192" i="5"/>
  <c r="O204" i="5"/>
  <c r="S204" i="5"/>
  <c r="V204" i="5"/>
  <c r="O223" i="5"/>
  <c r="S223" i="5"/>
  <c r="V223" i="5"/>
  <c r="O227" i="5"/>
  <c r="S227" i="5"/>
  <c r="V227" i="5"/>
  <c r="O228" i="5"/>
  <c r="S228" i="5"/>
  <c r="V228" i="5"/>
  <c r="O233" i="5"/>
  <c r="S233" i="5"/>
  <c r="V233" i="5"/>
  <c r="O237" i="5"/>
  <c r="S237" i="5"/>
  <c r="V237" i="5"/>
  <c r="O243" i="5"/>
  <c r="S243" i="5"/>
  <c r="V243" i="5"/>
  <c r="O245" i="5"/>
  <c r="S245" i="5"/>
  <c r="V245" i="5"/>
  <c r="O260" i="5"/>
  <c r="S260" i="5"/>
  <c r="V260" i="5"/>
  <c r="O261" i="5"/>
  <c r="S261" i="5"/>
  <c r="V261" i="5"/>
  <c r="O276" i="5"/>
  <c r="S276" i="5"/>
  <c r="V276" i="5"/>
  <c r="O277" i="5"/>
  <c r="S277" i="5"/>
  <c r="V277" i="5"/>
  <c r="O287" i="5"/>
  <c r="S287" i="5"/>
  <c r="V287" i="5"/>
  <c r="O300" i="5"/>
  <c r="S300" i="5"/>
  <c r="V300" i="5"/>
  <c r="O306" i="5"/>
  <c r="S306" i="5"/>
  <c r="V306" i="5"/>
  <c r="O211" i="5"/>
  <c r="S211" i="5"/>
  <c r="V211" i="5"/>
  <c r="O157" i="5"/>
  <c r="S157" i="5"/>
  <c r="V157" i="5"/>
  <c r="O40" i="5"/>
  <c r="S40" i="5"/>
  <c r="V40" i="5"/>
  <c r="O183" i="5"/>
  <c r="S183" i="5"/>
  <c r="V183" i="5"/>
  <c r="O226" i="5"/>
  <c r="S226" i="5"/>
  <c r="V226" i="5"/>
  <c r="O236" i="5"/>
  <c r="S236" i="5"/>
  <c r="V236" i="5"/>
  <c r="O235" i="5"/>
  <c r="S235" i="5"/>
  <c r="V235" i="5"/>
  <c r="O302" i="5"/>
  <c r="S302" i="5"/>
  <c r="V302" i="5"/>
  <c r="O108" i="5"/>
  <c r="S108" i="5"/>
  <c r="V108" i="5"/>
  <c r="O113" i="5"/>
  <c r="S113" i="5"/>
  <c r="V113" i="5"/>
  <c r="O116" i="5"/>
  <c r="S116" i="5"/>
  <c r="V116" i="5"/>
  <c r="O133" i="5"/>
  <c r="S133" i="5"/>
  <c r="V133" i="5"/>
  <c r="O136" i="5"/>
  <c r="S136" i="5"/>
  <c r="V136" i="5"/>
  <c r="O189" i="5"/>
  <c r="S189" i="5"/>
  <c r="V189" i="5"/>
  <c r="O187" i="5"/>
  <c r="S187" i="5"/>
  <c r="V187" i="5"/>
  <c r="O232" i="5"/>
  <c r="S232" i="5"/>
  <c r="V232" i="5"/>
  <c r="O218" i="5"/>
  <c r="S218" i="5"/>
  <c r="V218" i="5"/>
  <c r="O31" i="5"/>
  <c r="S31" i="5"/>
  <c r="V31" i="5"/>
  <c r="O41" i="5"/>
  <c r="S41" i="5"/>
  <c r="V41" i="5"/>
  <c r="O71" i="5"/>
  <c r="S71" i="5"/>
  <c r="V71" i="5"/>
  <c r="O80" i="5"/>
  <c r="S80" i="5"/>
  <c r="V80" i="5"/>
  <c r="O114" i="5"/>
  <c r="S114" i="5"/>
  <c r="V114" i="5"/>
  <c r="O134" i="5"/>
  <c r="S134" i="5"/>
  <c r="V134" i="5"/>
  <c r="O107" i="5"/>
  <c r="S107" i="5"/>
  <c r="V107" i="5"/>
  <c r="O110" i="5"/>
  <c r="S110" i="5"/>
  <c r="V110" i="5"/>
  <c r="O115" i="5"/>
  <c r="S115" i="5"/>
  <c r="V115" i="5"/>
  <c r="O188" i="5"/>
  <c r="S188" i="5"/>
  <c r="V188" i="5"/>
  <c r="O172" i="5"/>
  <c r="S172" i="5"/>
  <c r="V172" i="5"/>
  <c r="O239" i="5"/>
  <c r="S239" i="5"/>
  <c r="V239" i="5"/>
  <c r="O251" i="5"/>
  <c r="S251" i="5"/>
  <c r="V251" i="5"/>
  <c r="O231" i="5"/>
  <c r="S231" i="5"/>
  <c r="V231" i="5"/>
  <c r="O263" i="5"/>
  <c r="S263" i="5"/>
  <c r="V263" i="5"/>
  <c r="O290" i="5"/>
  <c r="S290" i="5"/>
  <c r="V290" i="5"/>
  <c r="O304" i="5"/>
  <c r="S304" i="5"/>
  <c r="V304" i="5"/>
  <c r="O102" i="5"/>
  <c r="T102" i="5" s="1"/>
  <c r="O164" i="5"/>
  <c r="O32" i="5"/>
  <c r="S32" i="5"/>
  <c r="V32" i="5"/>
  <c r="O224" i="5"/>
  <c r="S224" i="5"/>
  <c r="V224" i="5"/>
  <c r="O56" i="5"/>
  <c r="S56" i="5"/>
  <c r="V56" i="5"/>
  <c r="O149" i="5"/>
  <c r="S149" i="5"/>
  <c r="V149" i="5"/>
  <c r="O268" i="5"/>
  <c r="V268" i="5"/>
  <c r="O208" i="5"/>
  <c r="V208" i="5"/>
  <c r="O105" i="5"/>
  <c r="V105" i="5"/>
  <c r="O65" i="5"/>
  <c r="V65" i="5"/>
  <c r="O89" i="5"/>
  <c r="T89" i="5" s="1"/>
  <c r="V89" i="5"/>
  <c r="O86" i="5"/>
  <c r="V86" i="5"/>
  <c r="O145" i="5"/>
  <c r="V145" i="5"/>
  <c r="O154" i="5"/>
  <c r="V154" i="5"/>
  <c r="O148" i="5"/>
  <c r="V148" i="5"/>
  <c r="O221" i="5"/>
  <c r="V221" i="5"/>
  <c r="O213" i="5"/>
  <c r="V213" i="5"/>
  <c r="O39" i="5"/>
  <c r="S39" i="5"/>
  <c r="V39" i="5"/>
  <c r="O117" i="5"/>
  <c r="S117" i="5"/>
  <c r="V117" i="5"/>
  <c r="O129" i="5"/>
  <c r="S129" i="5"/>
  <c r="V129" i="5"/>
  <c r="O124" i="5"/>
  <c r="S124" i="5"/>
  <c r="V124" i="5"/>
  <c r="O162" i="5"/>
  <c r="S162" i="5"/>
  <c r="V162" i="5"/>
  <c r="O200" i="5"/>
  <c r="S200" i="5"/>
  <c r="V200" i="5"/>
  <c r="O222" i="5"/>
  <c r="S222" i="5"/>
  <c r="V222" i="5"/>
  <c r="O177" i="5"/>
  <c r="S177" i="5"/>
  <c r="V177" i="5"/>
  <c r="O186" i="5"/>
  <c r="S186" i="5"/>
  <c r="V186" i="5"/>
  <c r="O194" i="5"/>
  <c r="S194" i="5"/>
  <c r="V194" i="5"/>
  <c r="O169" i="5"/>
  <c r="S169" i="5"/>
  <c r="V169" i="5"/>
  <c r="O247" i="5"/>
  <c r="S247" i="5"/>
  <c r="V247" i="5"/>
  <c r="O278" i="5"/>
  <c r="S278" i="5"/>
  <c r="V278" i="5"/>
  <c r="O275" i="5"/>
  <c r="S275" i="5"/>
  <c r="V275" i="5"/>
  <c r="O292" i="5"/>
  <c r="S292" i="5"/>
  <c r="V292" i="5"/>
  <c r="O75" i="5"/>
  <c r="S75" i="5"/>
  <c r="V75" i="5"/>
  <c r="O215" i="5"/>
  <c r="S215" i="5"/>
  <c r="V215" i="5"/>
  <c r="O248" i="5"/>
  <c r="S248" i="5"/>
  <c r="V248" i="5"/>
  <c r="O264" i="5"/>
  <c r="S264" i="5"/>
  <c r="V264" i="5"/>
  <c r="O267" i="5"/>
  <c r="S267" i="5"/>
  <c r="V267" i="5"/>
  <c r="O271" i="5"/>
  <c r="S271" i="5"/>
  <c r="V271" i="5"/>
  <c r="O273" i="5"/>
  <c r="S273" i="5"/>
  <c r="V273" i="5"/>
  <c r="O286" i="5"/>
  <c r="S286" i="5"/>
  <c r="V286" i="5"/>
  <c r="O45" i="5"/>
  <c r="S45" i="5"/>
  <c r="V45" i="5"/>
  <c r="O29" i="5"/>
  <c r="S29" i="5"/>
  <c r="V29" i="5"/>
  <c r="O87" i="5"/>
  <c r="S87" i="5"/>
  <c r="V87" i="5"/>
  <c r="O171" i="5"/>
  <c r="S171" i="5"/>
  <c r="V171" i="5"/>
  <c r="O101" i="5"/>
  <c r="S101" i="5"/>
  <c r="V101" i="5"/>
  <c r="O262" i="5"/>
  <c r="S262" i="5"/>
  <c r="V262" i="5"/>
  <c r="O144" i="5"/>
  <c r="S144" i="5"/>
  <c r="V144" i="5"/>
  <c r="O216" i="5"/>
  <c r="S216" i="5"/>
  <c r="V216" i="5"/>
  <c r="V88" i="5"/>
  <c r="S88" i="5"/>
  <c r="O88" i="5"/>
  <c r="V305" i="5"/>
  <c r="S305" i="5"/>
  <c r="O305" i="5"/>
  <c r="V35" i="3"/>
  <c r="S35" i="3"/>
  <c r="O35" i="3"/>
  <c r="AC111" i="3" l="1"/>
  <c r="AI118" i="3"/>
  <c r="AB118" i="3"/>
  <c r="AC25" i="3"/>
  <c r="AH79" i="3"/>
  <c r="AD79" i="3"/>
  <c r="AE79" i="3"/>
  <c r="AG79" i="3"/>
  <c r="AC79" i="3"/>
  <c r="W79" i="3"/>
  <c r="AJ79" i="3"/>
  <c r="AF79" i="3"/>
  <c r="AB79" i="3"/>
  <c r="W70" i="3"/>
  <c r="AJ70" i="3"/>
  <c r="AD80" i="3"/>
  <c r="W80" i="3"/>
  <c r="AI70" i="3"/>
  <c r="AB70" i="3"/>
  <c r="AF111" i="3"/>
  <c r="W111" i="3"/>
  <c r="AF70" i="3"/>
  <c r="AJ111" i="3"/>
  <c r="AE70" i="3"/>
  <c r="AI111" i="3"/>
  <c r="AB111" i="3"/>
  <c r="AH70" i="3"/>
  <c r="AE111" i="3"/>
  <c r="AD70" i="3"/>
  <c r="AH111" i="3"/>
  <c r="AG70" i="3"/>
  <c r="AD111" i="3"/>
  <c r="AD84" i="3"/>
  <c r="AF80" i="3"/>
  <c r="AC80" i="3"/>
  <c r="AG80" i="3"/>
  <c r="AI80" i="3"/>
  <c r="AE80" i="3"/>
  <c r="AJ80" i="3"/>
  <c r="AB80" i="3"/>
  <c r="AI117" i="3"/>
  <c r="AB117" i="3"/>
  <c r="W84" i="3"/>
  <c r="AJ83" i="3"/>
  <c r="AC83" i="3"/>
  <c r="AF83" i="3"/>
  <c r="AH117" i="3"/>
  <c r="AC84" i="3"/>
  <c r="AB83" i="3"/>
  <c r="AE117" i="3"/>
  <c r="AD117" i="3"/>
  <c r="AJ84" i="3"/>
  <c r="AI83" i="3"/>
  <c r="AG117" i="3"/>
  <c r="AF84" i="3"/>
  <c r="AE83" i="3"/>
  <c r="W117" i="3"/>
  <c r="AC117" i="3"/>
  <c r="AI84" i="3"/>
  <c r="AB84" i="3"/>
  <c r="AH83" i="3"/>
  <c r="AJ117" i="3"/>
  <c r="AE84" i="3"/>
  <c r="AD83" i="3"/>
  <c r="AG84" i="3"/>
  <c r="AG83" i="3"/>
  <c r="AF25" i="3"/>
  <c r="AJ68" i="3"/>
  <c r="W68" i="3"/>
  <c r="W25" i="3"/>
  <c r="AD25" i="3"/>
  <c r="AG25" i="3"/>
  <c r="AJ25" i="3"/>
  <c r="AI25" i="3"/>
  <c r="AB25" i="3"/>
  <c r="AE25" i="3"/>
  <c r="AC54" i="3"/>
  <c r="AF54" i="3"/>
  <c r="W135" i="3"/>
  <c r="AI68" i="3"/>
  <c r="AB68" i="3"/>
  <c r="AE68" i="3"/>
  <c r="AC135" i="3"/>
  <c r="AE135" i="3"/>
  <c r="AH68" i="3"/>
  <c r="AJ135" i="3"/>
  <c r="AG135" i="3"/>
  <c r="AD68" i="3"/>
  <c r="AI135" i="3"/>
  <c r="AF68" i="3"/>
  <c r="AF135" i="3"/>
  <c r="AG68" i="3"/>
  <c r="AE58" i="3"/>
  <c r="AB135" i="3"/>
  <c r="AF9" i="3"/>
  <c r="AJ54" i="3"/>
  <c r="AB54" i="3"/>
  <c r="AI54" i="3"/>
  <c r="AE54" i="3"/>
  <c r="W54" i="3"/>
  <c r="AH54" i="3"/>
  <c r="AG54" i="3"/>
  <c r="AG138" i="3"/>
  <c r="AG143" i="3"/>
  <c r="AI81" i="3"/>
  <c r="AF81" i="3"/>
  <c r="AF77" i="3"/>
  <c r="AF118" i="3"/>
  <c r="AE118" i="3"/>
  <c r="W118" i="3"/>
  <c r="AH118" i="3"/>
  <c r="AD132" i="3"/>
  <c r="AG118" i="3"/>
  <c r="AD118" i="3"/>
  <c r="AD135" i="3"/>
  <c r="AC118" i="3"/>
  <c r="AC9" i="3"/>
  <c r="AH58" i="3"/>
  <c r="AD58" i="3"/>
  <c r="AG58" i="3"/>
  <c r="AJ58" i="3"/>
  <c r="AC58" i="3"/>
  <c r="AF58" i="3"/>
  <c r="AB58" i="3"/>
  <c r="AI58" i="3"/>
  <c r="AH100" i="3"/>
  <c r="AJ86" i="3"/>
  <c r="AE100" i="3"/>
  <c r="AB100" i="3"/>
  <c r="AJ100" i="3"/>
  <c r="AE50" i="3"/>
  <c r="AJ143" i="3"/>
  <c r="AC143" i="3"/>
  <c r="AI50" i="3"/>
  <c r="AF143" i="3"/>
  <c r="AJ50" i="3"/>
  <c r="AB143" i="3"/>
  <c r="AF50" i="3"/>
  <c r="AI143" i="3"/>
  <c r="AB50" i="3"/>
  <c r="AE143" i="3"/>
  <c r="AH143" i="3"/>
  <c r="W50" i="3"/>
  <c r="AD143" i="3"/>
  <c r="AH86" i="3"/>
  <c r="AK131" i="3"/>
  <c r="AM131" i="3" s="1"/>
  <c r="AJ138" i="3"/>
  <c r="AD100" i="3"/>
  <c r="AB138" i="3"/>
  <c r="AN131" i="3"/>
  <c r="AI77" i="3"/>
  <c r="AH77" i="3"/>
  <c r="AE140" i="3"/>
  <c r="AG132" i="3"/>
  <c r="AH93" i="3"/>
  <c r="AF93" i="3"/>
  <c r="AJ93" i="3"/>
  <c r="AI86" i="3"/>
  <c r="W82" i="3"/>
  <c r="AH12" i="3"/>
  <c r="AG12" i="3"/>
  <c r="AB132" i="3"/>
  <c r="AH132" i="3"/>
  <c r="AD50" i="3"/>
  <c r="AF132" i="3"/>
  <c r="AJ12" i="3"/>
  <c r="W132" i="3"/>
  <c r="AG50" i="3"/>
  <c r="AC50" i="3"/>
  <c r="AD34" i="3"/>
  <c r="AD136" i="3"/>
  <c r="AE34" i="3"/>
  <c r="AB86" i="3"/>
  <c r="AB12" i="3"/>
  <c r="AI82" i="3"/>
  <c r="AE12" i="3"/>
  <c r="AI69" i="3"/>
  <c r="AC136" i="3"/>
  <c r="AD69" i="3"/>
  <c r="AH56" i="3"/>
  <c r="AJ69" i="3"/>
  <c r="AB77" i="3"/>
  <c r="AI100" i="3"/>
  <c r="AI34" i="3"/>
  <c r="AE56" i="3"/>
  <c r="AD114" i="3"/>
  <c r="AE136" i="3"/>
  <c r="AF69" i="3"/>
  <c r="AC34" i="3"/>
  <c r="AH69" i="3"/>
  <c r="AJ136" i="3"/>
  <c r="AK136" i="3" s="1"/>
  <c r="AM136" i="3" s="1"/>
  <c r="AH136" i="3"/>
  <c r="AB69" i="3"/>
  <c r="AC114" i="3"/>
  <c r="AI136" i="3"/>
  <c r="AI114" i="3"/>
  <c r="AI132" i="3"/>
  <c r="AC132" i="3"/>
  <c r="AG69" i="3"/>
  <c r="W69" i="3"/>
  <c r="AB136" i="3"/>
  <c r="T264" i="5"/>
  <c r="AI264" i="5" s="1"/>
  <c r="T278" i="5"/>
  <c r="AI278" i="5" s="1"/>
  <c r="T177" i="5"/>
  <c r="AB177" i="5" s="1"/>
  <c r="T162" i="5"/>
  <c r="AH162" i="5" s="1"/>
  <c r="AI9" i="3"/>
  <c r="AH138" i="3"/>
  <c r="AE132" i="3"/>
  <c r="AJ56" i="3"/>
  <c r="AC82" i="3"/>
  <c r="W12" i="3"/>
  <c r="AD12" i="3"/>
  <c r="AC12" i="3"/>
  <c r="AF12" i="3"/>
  <c r="T305" i="5"/>
  <c r="AD305" i="5" s="1"/>
  <c r="T216" i="5"/>
  <c r="AE216" i="5" s="1"/>
  <c r="T171" i="5"/>
  <c r="AC171" i="5" s="1"/>
  <c r="AC81" i="3"/>
  <c r="W77" i="3"/>
  <c r="AE81" i="3"/>
  <c r="AF100" i="3"/>
  <c r="AH9" i="3"/>
  <c r="AI93" i="3"/>
  <c r="AC93" i="3"/>
  <c r="AC86" i="3"/>
  <c r="AG56" i="3"/>
  <c r="AB56" i="3"/>
  <c r="AJ140" i="3"/>
  <c r="AN57" i="3"/>
  <c r="AK57" i="3"/>
  <c r="AM57" i="3" s="1"/>
  <c r="AG136" i="3"/>
  <c r="W136" i="3"/>
  <c r="AC69" i="3"/>
  <c r="W56" i="3"/>
  <c r="AD56" i="3"/>
  <c r="AC56" i="3"/>
  <c r="AF56" i="3"/>
  <c r="AC140" i="3"/>
  <c r="AI140" i="3"/>
  <c r="AN141" i="3"/>
  <c r="AK141" i="3"/>
  <c r="AM141" i="3" s="1"/>
  <c r="AN53" i="3"/>
  <c r="AK53" i="3"/>
  <c r="AM53" i="3" s="1"/>
  <c r="AN110" i="3"/>
  <c r="AK110" i="3"/>
  <c r="AM110" i="3" s="1"/>
  <c r="AN66" i="3"/>
  <c r="AK66" i="3"/>
  <c r="AM66" i="3" s="1"/>
  <c r="T29" i="5"/>
  <c r="AI29" i="5" s="1"/>
  <c r="T271" i="5"/>
  <c r="W271" i="5" s="1"/>
  <c r="T116" i="5"/>
  <c r="W116" i="5" s="1"/>
  <c r="T235" i="5"/>
  <c r="AG235" i="5" s="1"/>
  <c r="AN127" i="3"/>
  <c r="AK127" i="3"/>
  <c r="AM127" i="3" s="1"/>
  <c r="AN125" i="3"/>
  <c r="AK125" i="3"/>
  <c r="AM125" i="3" s="1"/>
  <c r="T144" i="5"/>
  <c r="W144" i="5" s="1"/>
  <c r="T101" i="5"/>
  <c r="AI101" i="5" s="1"/>
  <c r="W14" i="3"/>
  <c r="AG45" i="3"/>
  <c r="AD14" i="3"/>
  <c r="W140" i="3"/>
  <c r="AF140" i="3"/>
  <c r="AH140" i="3"/>
  <c r="AF14" i="3"/>
  <c r="AG140" i="3"/>
  <c r="AB140" i="3"/>
  <c r="AD138" i="3"/>
  <c r="AD9" i="3"/>
  <c r="AC138" i="3"/>
  <c r="AG9" i="3"/>
  <c r="AB9" i="3"/>
  <c r="AG77" i="3"/>
  <c r="AE77" i="3"/>
  <c r="AE86" i="3"/>
  <c r="AH114" i="3"/>
  <c r="AH34" i="3"/>
  <c r="AJ81" i="3"/>
  <c r="AG93" i="3"/>
  <c r="AE93" i="3"/>
  <c r="AG114" i="3"/>
  <c r="AJ34" i="3"/>
  <c r="AF86" i="3"/>
  <c r="AF114" i="3"/>
  <c r="AF34" i="3"/>
  <c r="W9" i="3"/>
  <c r="AB93" i="3"/>
  <c r="AB114" i="3"/>
  <c r="W138" i="3"/>
  <c r="AB45" i="3"/>
  <c r="AG82" i="3"/>
  <c r="AB82" i="3"/>
  <c r="AK102" i="3"/>
  <c r="AM102" i="3" s="1"/>
  <c r="AN102" i="3"/>
  <c r="AK62" i="3"/>
  <c r="AM62" i="3" s="1"/>
  <c r="AN62" i="3"/>
  <c r="AF138" i="3"/>
  <c r="AJ9" i="3"/>
  <c r="AC77" i="3"/>
  <c r="AD77" i="3"/>
  <c r="AD81" i="3"/>
  <c r="AB81" i="3"/>
  <c r="AD86" i="3"/>
  <c r="AD93" i="3"/>
  <c r="AI138" i="3"/>
  <c r="W81" i="3"/>
  <c r="W34" i="3"/>
  <c r="AG86" i="3"/>
  <c r="AD99" i="3"/>
  <c r="AH99" i="3"/>
  <c r="AE99" i="3"/>
  <c r="AI99" i="3"/>
  <c r="AB99" i="3"/>
  <c r="AF99" i="3"/>
  <c r="AJ99" i="3"/>
  <c r="AC99" i="3"/>
  <c r="AG99" i="3"/>
  <c r="AH82" i="3"/>
  <c r="AJ82" i="3"/>
  <c r="AE82" i="3"/>
  <c r="W36" i="3"/>
  <c r="AB36" i="3"/>
  <c r="AF36" i="3"/>
  <c r="AJ36" i="3"/>
  <c r="AC36" i="3"/>
  <c r="AG36" i="3"/>
  <c r="AD36" i="3"/>
  <c r="AH36" i="3"/>
  <c r="AE36" i="3"/>
  <c r="AI36" i="3"/>
  <c r="AD82" i="3"/>
  <c r="AK59" i="3"/>
  <c r="AM59" i="3" s="1"/>
  <c r="AN59" i="3"/>
  <c r="AG14" i="3"/>
  <c r="AB14" i="3"/>
  <c r="AC14" i="3"/>
  <c r="AI14" i="3"/>
  <c r="AH14" i="3"/>
  <c r="AJ14" i="3"/>
  <c r="T87" i="5"/>
  <c r="AG87" i="5" s="1"/>
  <c r="T215" i="5"/>
  <c r="AE215" i="5" s="1"/>
  <c r="T75" i="5"/>
  <c r="AC75" i="5" s="1"/>
  <c r="T45" i="5"/>
  <c r="AC45" i="5" s="1"/>
  <c r="T248" i="5"/>
  <c r="AF248" i="5" s="1"/>
  <c r="T286" i="5"/>
  <c r="AE286" i="5" s="1"/>
  <c r="T273" i="5"/>
  <c r="AB273" i="5" s="1"/>
  <c r="T267" i="5"/>
  <c r="AC267" i="5" s="1"/>
  <c r="T186" i="5"/>
  <c r="AJ186" i="5" s="1"/>
  <c r="T292" i="5"/>
  <c r="AB292" i="5" s="1"/>
  <c r="T275" i="5"/>
  <c r="AE275" i="5" s="1"/>
  <c r="T169" i="5"/>
  <c r="AC169" i="5" s="1"/>
  <c r="T247" i="5"/>
  <c r="AD247" i="5" s="1"/>
  <c r="T200" i="5"/>
  <c r="AD200" i="5" s="1"/>
  <c r="T117" i="5"/>
  <c r="AC117" i="5" s="1"/>
  <c r="T39" i="5"/>
  <c r="AE39" i="5" s="1"/>
  <c r="T124" i="5"/>
  <c r="AE124" i="5" s="1"/>
  <c r="T129" i="5"/>
  <c r="AC129" i="5" s="1"/>
  <c r="T222" i="5"/>
  <c r="AJ222" i="5" s="1"/>
  <c r="T145" i="5"/>
  <c r="AB145" i="5" s="1"/>
  <c r="T154" i="5"/>
  <c r="AC154" i="5" s="1"/>
  <c r="T148" i="5"/>
  <c r="AD148" i="5" s="1"/>
  <c r="T304" i="5"/>
  <c r="AF304" i="5" s="1"/>
  <c r="T65" i="5"/>
  <c r="AE65" i="5" s="1"/>
  <c r="T221" i="5"/>
  <c r="AD221" i="5" s="1"/>
  <c r="T86" i="5"/>
  <c r="T213" i="5"/>
  <c r="AJ213" i="5" s="1"/>
  <c r="T260" i="5"/>
  <c r="AD260" i="5" s="1"/>
  <c r="T192" i="5"/>
  <c r="W192" i="5" s="1"/>
  <c r="T113" i="5"/>
  <c r="AF113" i="5" s="1"/>
  <c r="T231" i="5"/>
  <c r="W231" i="5" s="1"/>
  <c r="T276" i="5"/>
  <c r="AB276" i="5" s="1"/>
  <c r="AC184" i="5"/>
  <c r="AG184" i="5"/>
  <c r="AD184" i="5"/>
  <c r="AH184" i="5"/>
  <c r="AE184" i="5"/>
  <c r="AI184" i="5"/>
  <c r="AB184" i="5"/>
  <c r="AF184" i="5"/>
  <c r="AJ184" i="5"/>
  <c r="AB195" i="5"/>
  <c r="AF195" i="5"/>
  <c r="AJ195" i="5"/>
  <c r="AC195" i="5"/>
  <c r="AG195" i="5"/>
  <c r="AD195" i="5"/>
  <c r="AH195" i="5"/>
  <c r="AE195" i="5"/>
  <c r="AI195" i="5"/>
  <c r="AB55" i="5"/>
  <c r="AF55" i="5"/>
  <c r="AJ55" i="5"/>
  <c r="AC55" i="5"/>
  <c r="AG55" i="5"/>
  <c r="AD55" i="5"/>
  <c r="AH55" i="5"/>
  <c r="AE55" i="5"/>
  <c r="AI55" i="5"/>
  <c r="AB209" i="5"/>
  <c r="AF209" i="5"/>
  <c r="AJ209" i="5"/>
  <c r="AC209" i="5"/>
  <c r="AG209" i="5"/>
  <c r="AD209" i="5"/>
  <c r="AH209" i="5"/>
  <c r="AE209" i="5"/>
  <c r="AI209" i="5"/>
  <c r="AE244" i="5"/>
  <c r="AI244" i="5"/>
  <c r="AB244" i="5"/>
  <c r="AF244" i="5"/>
  <c r="AJ244" i="5"/>
  <c r="AC244" i="5"/>
  <c r="AG244" i="5"/>
  <c r="AD244" i="5"/>
  <c r="AH244" i="5"/>
  <c r="AB126" i="5"/>
  <c r="AF126" i="5"/>
  <c r="AJ126" i="5"/>
  <c r="AG126" i="5"/>
  <c r="AC126" i="5"/>
  <c r="AH126" i="5"/>
  <c r="AD126" i="5"/>
  <c r="AI126" i="5"/>
  <c r="AE126" i="5"/>
  <c r="AC295" i="5"/>
  <c r="AG295" i="5"/>
  <c r="AE295" i="5"/>
  <c r="AI295" i="5"/>
  <c r="AB295" i="5"/>
  <c r="AF295" i="5"/>
  <c r="AJ295" i="5"/>
  <c r="AH295" i="5"/>
  <c r="AD295" i="5"/>
  <c r="AC214" i="5"/>
  <c r="AG214" i="5"/>
  <c r="AD214" i="5"/>
  <c r="AH214" i="5"/>
  <c r="AE214" i="5"/>
  <c r="AI214" i="5"/>
  <c r="AB214" i="5"/>
  <c r="AF214" i="5"/>
  <c r="AJ214" i="5"/>
  <c r="AC159" i="5"/>
  <c r="AG159" i="5"/>
  <c r="AD159" i="5"/>
  <c r="AH159" i="5"/>
  <c r="AE159" i="5"/>
  <c r="AI159" i="5"/>
  <c r="AB159" i="5"/>
  <c r="AF159" i="5"/>
  <c r="AJ159" i="5"/>
  <c r="AC203" i="5"/>
  <c r="AG203" i="5"/>
  <c r="AD203" i="5"/>
  <c r="AH203" i="5"/>
  <c r="AE203" i="5"/>
  <c r="AI203" i="5"/>
  <c r="AB203" i="5"/>
  <c r="AF203" i="5"/>
  <c r="AJ203" i="5"/>
  <c r="AC89" i="5"/>
  <c r="AG89" i="5"/>
  <c r="AD89" i="5"/>
  <c r="AH89" i="5"/>
  <c r="AE89" i="5"/>
  <c r="AI89" i="5"/>
  <c r="AB89" i="5"/>
  <c r="AF89" i="5"/>
  <c r="AJ89" i="5"/>
  <c r="AE102" i="5"/>
  <c r="AI102" i="5"/>
  <c r="W102" i="5"/>
  <c r="AF102" i="5"/>
  <c r="AH102" i="5"/>
  <c r="AB102" i="5"/>
  <c r="AJ102" i="5"/>
  <c r="AC102" i="5"/>
  <c r="AG102" i="5"/>
  <c r="AD102" i="5"/>
  <c r="AE173" i="5"/>
  <c r="AI173" i="5"/>
  <c r="AB173" i="5"/>
  <c r="AF173" i="5"/>
  <c r="AJ173" i="5"/>
  <c r="AC173" i="5"/>
  <c r="AG173" i="5"/>
  <c r="AD173" i="5"/>
  <c r="AH173" i="5"/>
  <c r="AD250" i="5"/>
  <c r="AH250" i="5"/>
  <c r="AE250" i="5"/>
  <c r="AI250" i="5"/>
  <c r="AB250" i="5"/>
  <c r="AF250" i="5"/>
  <c r="AJ250" i="5"/>
  <c r="AC250" i="5"/>
  <c r="AG250" i="5"/>
  <c r="AE190" i="5"/>
  <c r="AI190" i="5"/>
  <c r="AB190" i="5"/>
  <c r="AF190" i="5"/>
  <c r="AJ190" i="5"/>
  <c r="AC190" i="5"/>
  <c r="AG190" i="5"/>
  <c r="AD190" i="5"/>
  <c r="AH190" i="5"/>
  <c r="AE42" i="5"/>
  <c r="AI42" i="5"/>
  <c r="AB42" i="5"/>
  <c r="AF42" i="5"/>
  <c r="AJ42" i="5"/>
  <c r="AC42" i="5"/>
  <c r="AG42" i="5"/>
  <c r="AD42" i="5"/>
  <c r="AH42" i="5"/>
  <c r="AD69" i="5"/>
  <c r="AH69" i="5"/>
  <c r="AE69" i="5"/>
  <c r="AI69" i="5"/>
  <c r="AB69" i="5"/>
  <c r="AF69" i="5"/>
  <c r="AJ69" i="5"/>
  <c r="AC69" i="5"/>
  <c r="AG69" i="5"/>
  <c r="AE64" i="5"/>
  <c r="AI64" i="5"/>
  <c r="AB64" i="5"/>
  <c r="AF64" i="5"/>
  <c r="AJ64" i="5"/>
  <c r="AC64" i="5"/>
  <c r="AG64" i="5"/>
  <c r="AD64" i="5"/>
  <c r="AH64" i="5"/>
  <c r="AC229" i="5"/>
  <c r="AG229" i="5"/>
  <c r="AD229" i="5"/>
  <c r="AH229" i="5"/>
  <c r="AE229" i="5"/>
  <c r="AI229" i="5"/>
  <c r="AB229" i="5"/>
  <c r="AF229" i="5"/>
  <c r="AJ229" i="5"/>
  <c r="AC121" i="5"/>
  <c r="AG121" i="5"/>
  <c r="AD121" i="5"/>
  <c r="AH121" i="5"/>
  <c r="AE121" i="5"/>
  <c r="AI121" i="5"/>
  <c r="AB121" i="5"/>
  <c r="AF121" i="5"/>
  <c r="AJ121" i="5"/>
  <c r="AB155" i="5"/>
  <c r="AF155" i="5"/>
  <c r="AJ155" i="5"/>
  <c r="AC155" i="5"/>
  <c r="AG155" i="5"/>
  <c r="AD155" i="5"/>
  <c r="AH155" i="5"/>
  <c r="AE155" i="5"/>
  <c r="AI155" i="5"/>
  <c r="AC253" i="5"/>
  <c r="AG253" i="5"/>
  <c r="AD253" i="5"/>
  <c r="AH253" i="5"/>
  <c r="AE253" i="5"/>
  <c r="AI253" i="5"/>
  <c r="AB253" i="5"/>
  <c r="AF253" i="5"/>
  <c r="AJ253" i="5"/>
  <c r="AC138" i="5"/>
  <c r="AG138" i="5"/>
  <c r="AE138" i="5"/>
  <c r="AI138" i="5"/>
  <c r="AF138" i="5"/>
  <c r="AH138" i="5"/>
  <c r="AB138" i="5"/>
  <c r="AJ138" i="5"/>
  <c r="AD138" i="5"/>
  <c r="AE272" i="5"/>
  <c r="AI272" i="5"/>
  <c r="AB272" i="5"/>
  <c r="AF272" i="5"/>
  <c r="AJ272" i="5"/>
  <c r="AC272" i="5"/>
  <c r="AG272" i="5"/>
  <c r="AD272" i="5"/>
  <c r="AH272" i="5"/>
  <c r="AC130" i="5"/>
  <c r="AG130" i="5"/>
  <c r="AD130" i="5"/>
  <c r="AH130" i="5"/>
  <c r="AE130" i="5"/>
  <c r="AI130" i="5"/>
  <c r="AB130" i="5"/>
  <c r="AF130" i="5"/>
  <c r="AJ130" i="5"/>
  <c r="AC83" i="5"/>
  <c r="AG83" i="5"/>
  <c r="AD83" i="5"/>
  <c r="AH83" i="5"/>
  <c r="AE83" i="5"/>
  <c r="AI83" i="5"/>
  <c r="AB83" i="5"/>
  <c r="AF83" i="5"/>
  <c r="AJ83" i="5"/>
  <c r="T287" i="5"/>
  <c r="AJ287" i="5" s="1"/>
  <c r="AE196" i="5"/>
  <c r="AI196" i="5"/>
  <c r="AB196" i="5"/>
  <c r="AF196" i="5"/>
  <c r="AJ196" i="5"/>
  <c r="AC196" i="5"/>
  <c r="AG196" i="5"/>
  <c r="AD196" i="5"/>
  <c r="AH196" i="5"/>
  <c r="AB131" i="5"/>
  <c r="AF131" i="5"/>
  <c r="AJ131" i="5"/>
  <c r="AC131" i="5"/>
  <c r="AD131" i="5"/>
  <c r="AH131" i="5"/>
  <c r="AE131" i="5"/>
  <c r="AG131" i="5"/>
  <c r="AI131" i="5"/>
  <c r="AE207" i="5"/>
  <c r="AI207" i="5"/>
  <c r="AB207" i="5"/>
  <c r="AF207" i="5"/>
  <c r="AJ207" i="5"/>
  <c r="AC207" i="5"/>
  <c r="AG207" i="5"/>
  <c r="AD207" i="5"/>
  <c r="AH207" i="5"/>
  <c r="AB283" i="5"/>
  <c r="AF283" i="5"/>
  <c r="AJ283" i="5"/>
  <c r="AD283" i="5"/>
  <c r="AI283" i="5"/>
  <c r="AE283" i="5"/>
  <c r="AG283" i="5"/>
  <c r="AC283" i="5"/>
  <c r="AH283" i="5"/>
  <c r="AC127" i="5"/>
  <c r="AG127" i="5"/>
  <c r="AD127" i="5"/>
  <c r="AH127" i="5"/>
  <c r="AE127" i="5"/>
  <c r="AI127" i="5"/>
  <c r="AB127" i="5"/>
  <c r="AF127" i="5"/>
  <c r="AJ127" i="5"/>
  <c r="AF264" i="5"/>
  <c r="T105" i="5"/>
  <c r="AB105" i="5" s="1"/>
  <c r="T32" i="5"/>
  <c r="AJ32" i="5" s="1"/>
  <c r="T149" i="5"/>
  <c r="AC149" i="5" s="1"/>
  <c r="T224" i="5"/>
  <c r="W224" i="5" s="1"/>
  <c r="W45" i="3"/>
  <c r="AC45" i="3"/>
  <c r="AI45" i="3"/>
  <c r="AH45" i="3"/>
  <c r="AJ45" i="3"/>
  <c r="AE45" i="3"/>
  <c r="AD45" i="3"/>
  <c r="AK103" i="3"/>
  <c r="AM103" i="3" s="1"/>
  <c r="AN103" i="3"/>
  <c r="AK128" i="3"/>
  <c r="AM128" i="3" s="1"/>
  <c r="AN128" i="3"/>
  <c r="AH81" i="3"/>
  <c r="AB34" i="3"/>
  <c r="AC280" i="5"/>
  <c r="T251" i="5"/>
  <c r="W251" i="5" s="1"/>
  <c r="T239" i="5"/>
  <c r="AI239" i="5" s="1"/>
  <c r="T172" i="5"/>
  <c r="W172" i="5" s="1"/>
  <c r="T80" i="5"/>
  <c r="W80" i="5" s="1"/>
  <c r="T61" i="5"/>
  <c r="W61" i="5" s="1"/>
  <c r="T73" i="5"/>
  <c r="AF73" i="5" s="1"/>
  <c r="T95" i="5"/>
  <c r="AH95" i="5" s="1"/>
  <c r="T96" i="5"/>
  <c r="AB96" i="5" s="1"/>
  <c r="T122" i="5"/>
  <c r="AH122" i="5" s="1"/>
  <c r="T143" i="5"/>
  <c r="AH143" i="5" s="1"/>
  <c r="T114" i="5"/>
  <c r="AJ114" i="5" s="1"/>
  <c r="T167" i="5"/>
  <c r="AC167" i="5" s="1"/>
  <c r="T270" i="5"/>
  <c r="W270" i="5" s="1"/>
  <c r="T233" i="5"/>
  <c r="AJ233" i="5" s="1"/>
  <c r="T227" i="5"/>
  <c r="AH227" i="5" s="1"/>
  <c r="T52" i="5"/>
  <c r="W52" i="5" s="1"/>
  <c r="T47" i="5"/>
  <c r="AH47" i="5" s="1"/>
  <c r="T68" i="5"/>
  <c r="AH68" i="5" s="1"/>
  <c r="T79" i="5"/>
  <c r="W79" i="5" s="1"/>
  <c r="T85" i="5"/>
  <c r="AF85" i="5" s="1"/>
  <c r="T94" i="5"/>
  <c r="AE94" i="5" s="1"/>
  <c r="T98" i="5"/>
  <c r="W98" i="5" s="1"/>
  <c r="T104" i="5"/>
  <c r="AF104" i="5" s="1"/>
  <c r="T109" i="5"/>
  <c r="AI109" i="5" s="1"/>
  <c r="T110" i="5"/>
  <c r="AC110" i="5" s="1"/>
  <c r="T134" i="5"/>
  <c r="AD134" i="5" s="1"/>
  <c r="T31" i="5"/>
  <c r="AH31" i="5" s="1"/>
  <c r="T218" i="5"/>
  <c r="AC218" i="5" s="1"/>
  <c r="T263" i="5"/>
  <c r="AC263" i="5" s="1"/>
  <c r="T187" i="5"/>
  <c r="W187" i="5" s="1"/>
  <c r="T40" i="5"/>
  <c r="W40" i="5" s="1"/>
  <c r="T300" i="5"/>
  <c r="AB300" i="5" s="1"/>
  <c r="T277" i="5"/>
  <c r="AJ277" i="5" s="1"/>
  <c r="T243" i="5"/>
  <c r="AD243" i="5" s="1"/>
  <c r="T223" i="5"/>
  <c r="AE223" i="5" s="1"/>
  <c r="T204" i="5"/>
  <c r="AJ204" i="5" s="1"/>
  <c r="T180" i="5"/>
  <c r="AF180" i="5" s="1"/>
  <c r="T21" i="5"/>
  <c r="W21" i="5" s="1"/>
  <c r="T34" i="5"/>
  <c r="W34" i="5" s="1"/>
  <c r="T70" i="5"/>
  <c r="AJ70" i="5" s="1"/>
  <c r="T99" i="5"/>
  <c r="W99" i="5" s="1"/>
  <c r="AC100" i="3"/>
  <c r="W100" i="3"/>
  <c r="AJ114" i="3"/>
  <c r="AE114" i="3"/>
  <c r="T208" i="5"/>
  <c r="W208" i="5" s="1"/>
  <c r="T268" i="5"/>
  <c r="W268" i="5" s="1"/>
  <c r="T56" i="5"/>
  <c r="W56" i="5" s="1"/>
  <c r="T194" i="5"/>
  <c r="W194" i="5" s="1"/>
  <c r="T147" i="5"/>
  <c r="AH147" i="5" s="1"/>
  <c r="T176" i="5"/>
  <c r="AG176" i="5" s="1"/>
  <c r="T164" i="5"/>
  <c r="T188" i="5"/>
  <c r="AC188" i="5" s="1"/>
  <c r="T232" i="5"/>
  <c r="AD232" i="5" s="1"/>
  <c r="T189" i="5"/>
  <c r="AG189" i="5" s="1"/>
  <c r="T302" i="5"/>
  <c r="AG302" i="5" s="1"/>
  <c r="T183" i="5"/>
  <c r="AG183" i="5" s="1"/>
  <c r="T306" i="5"/>
  <c r="AE306" i="5" s="1"/>
  <c r="T237" i="5"/>
  <c r="AH237" i="5" s="1"/>
  <c r="T71" i="5"/>
  <c r="AI71" i="5" s="1"/>
  <c r="T41" i="5"/>
  <c r="AG41" i="5" s="1"/>
  <c r="T136" i="5"/>
  <c r="AC136" i="5" s="1"/>
  <c r="T133" i="5"/>
  <c r="W133" i="5" s="1"/>
  <c r="T211" i="5"/>
  <c r="AJ211" i="5" s="1"/>
  <c r="T261" i="5"/>
  <c r="AC261" i="5" s="1"/>
  <c r="T228" i="5"/>
  <c r="AF228" i="5" s="1"/>
  <c r="T160" i="5"/>
  <c r="AB160" i="5" s="1"/>
  <c r="T90" i="5"/>
  <c r="AF90" i="5" s="1"/>
  <c r="T178" i="5"/>
  <c r="AE178" i="5" s="1"/>
  <c r="T115" i="5"/>
  <c r="AJ115" i="5" s="1"/>
  <c r="T107" i="5"/>
  <c r="AI107" i="5" s="1"/>
  <c r="T108" i="5"/>
  <c r="AG108" i="5" s="1"/>
  <c r="T236" i="5"/>
  <c r="AI236" i="5" s="1"/>
  <c r="T226" i="5"/>
  <c r="AI226" i="5" s="1"/>
  <c r="T157" i="5"/>
  <c r="AI157" i="5" s="1"/>
  <c r="T245" i="5"/>
  <c r="AF245" i="5" s="1"/>
  <c r="T88" i="5"/>
  <c r="AJ88" i="5" s="1"/>
  <c r="AF280" i="5"/>
  <c r="AG280" i="5"/>
  <c r="AD303" i="5"/>
  <c r="AH303" i="5"/>
  <c r="AC303" i="5"/>
  <c r="AI303" i="5"/>
  <c r="AE303" i="5"/>
  <c r="AJ303" i="5"/>
  <c r="AF303" i="5"/>
  <c r="AB303" i="5"/>
  <c r="AG303" i="5"/>
  <c r="T262" i="5"/>
  <c r="W89" i="5"/>
  <c r="AD280" i="5"/>
  <c r="AH280" i="5"/>
  <c r="AE280" i="5"/>
  <c r="AI280" i="5"/>
  <c r="AJ280" i="5"/>
  <c r="AB280" i="5"/>
  <c r="T290" i="5"/>
  <c r="T35" i="3"/>
  <c r="AF35" i="3" s="1"/>
  <c r="AJ305" i="5" l="1"/>
  <c r="AE264" i="5"/>
  <c r="W264" i="5"/>
  <c r="AH264" i="5"/>
  <c r="AG264" i="5"/>
  <c r="AD264" i="5"/>
  <c r="AC264" i="5"/>
  <c r="AJ264" i="5"/>
  <c r="AB264" i="5"/>
  <c r="AH305" i="5"/>
  <c r="AF305" i="5"/>
  <c r="AF144" i="5"/>
  <c r="AB144" i="5"/>
  <c r="AI144" i="5"/>
  <c r="AE144" i="5"/>
  <c r="AH144" i="5"/>
  <c r="AD144" i="5"/>
  <c r="AG144" i="5"/>
  <c r="AJ144" i="5"/>
  <c r="AC144" i="5"/>
  <c r="W29" i="5"/>
  <c r="AE29" i="5"/>
  <c r="W275" i="5"/>
  <c r="AB304" i="5"/>
  <c r="AJ45" i="5"/>
  <c r="AB248" i="5"/>
  <c r="AG248" i="5"/>
  <c r="AD271" i="5"/>
  <c r="W117" i="5"/>
  <c r="AG148" i="5"/>
  <c r="AE292" i="5"/>
  <c r="AJ117" i="5"/>
  <c r="AH235" i="5"/>
  <c r="W235" i="5"/>
  <c r="AE260" i="5"/>
  <c r="AG260" i="5"/>
  <c r="AJ260" i="5"/>
  <c r="AC260" i="5"/>
  <c r="AB260" i="5"/>
  <c r="AI260" i="5"/>
  <c r="W260" i="5"/>
  <c r="AF235" i="5"/>
  <c r="AF260" i="5"/>
  <c r="AH260" i="5"/>
  <c r="AJ235" i="5"/>
  <c r="AJ171" i="5"/>
  <c r="AF287" i="5"/>
  <c r="W287" i="5"/>
  <c r="AG276" i="5"/>
  <c r="AH276" i="5"/>
  <c r="AF276" i="5"/>
  <c r="AC276" i="5"/>
  <c r="AE276" i="5"/>
  <c r="AD276" i="5"/>
  <c r="W276" i="5"/>
  <c r="AF222" i="5"/>
  <c r="AI276" i="5"/>
  <c r="AJ276" i="5"/>
  <c r="AJ162" i="5"/>
  <c r="AF45" i="5"/>
  <c r="AF171" i="5"/>
  <c r="AB45" i="5"/>
  <c r="AB171" i="5"/>
  <c r="AG39" i="5"/>
  <c r="W45" i="5"/>
  <c r="AI45" i="5"/>
  <c r="AI171" i="5"/>
  <c r="AH39" i="5"/>
  <c r="AH45" i="5"/>
  <c r="AE45" i="5"/>
  <c r="AE171" i="5"/>
  <c r="AD39" i="5"/>
  <c r="AH192" i="5"/>
  <c r="W39" i="5"/>
  <c r="AD45" i="5"/>
  <c r="AH171" i="5"/>
  <c r="W171" i="5"/>
  <c r="AE192" i="5"/>
  <c r="AG45" i="5"/>
  <c r="AG171" i="5"/>
  <c r="AD171" i="5"/>
  <c r="AJ192" i="5"/>
  <c r="AG304" i="5"/>
  <c r="AH124" i="5"/>
  <c r="AD124" i="5"/>
  <c r="AG286" i="5"/>
  <c r="AE304" i="5"/>
  <c r="AJ304" i="5"/>
  <c r="AH304" i="5"/>
  <c r="AG124" i="5"/>
  <c r="AD286" i="5"/>
  <c r="AH286" i="5"/>
  <c r="W169" i="5"/>
  <c r="AC304" i="5"/>
  <c r="AC124" i="5"/>
  <c r="AI304" i="5"/>
  <c r="AJ124" i="5"/>
  <c r="W278" i="5"/>
  <c r="W124" i="5"/>
  <c r="AD304" i="5"/>
  <c r="AF124" i="5"/>
  <c r="AE278" i="5"/>
  <c r="W304" i="5"/>
  <c r="AI124" i="5"/>
  <c r="AB124" i="5"/>
  <c r="AH278" i="5"/>
  <c r="AI169" i="5"/>
  <c r="AE101" i="5"/>
  <c r="AC39" i="5"/>
  <c r="AJ39" i="5"/>
  <c r="AF39" i="5"/>
  <c r="AB39" i="5"/>
  <c r="AI39" i="5"/>
  <c r="AF86" i="5"/>
  <c r="AK79" i="3"/>
  <c r="AM79" i="3" s="1"/>
  <c r="AN79" i="3"/>
  <c r="AK83" i="3"/>
  <c r="AM83" i="3" s="1"/>
  <c r="AK111" i="3"/>
  <c r="AM111" i="3" s="1"/>
  <c r="AK84" i="3"/>
  <c r="AM84" i="3" s="1"/>
  <c r="AK80" i="3"/>
  <c r="AM80" i="3" s="1"/>
  <c r="AK70" i="3"/>
  <c r="AM70" i="3" s="1"/>
  <c r="AN83" i="3"/>
  <c r="AN111" i="3"/>
  <c r="AN70" i="3"/>
  <c r="AK117" i="3"/>
  <c r="AM117" i="3" s="1"/>
  <c r="AN117" i="3"/>
  <c r="AN80" i="3"/>
  <c r="AN84" i="3"/>
  <c r="AK54" i="3"/>
  <c r="AM54" i="3" s="1"/>
  <c r="AK25" i="3"/>
  <c r="AM25" i="3" s="1"/>
  <c r="U131" i="3"/>
  <c r="AN68" i="3"/>
  <c r="AN54" i="3"/>
  <c r="AN25" i="3"/>
  <c r="AK68" i="3"/>
  <c r="AM68" i="3" s="1"/>
  <c r="AN135" i="3"/>
  <c r="AK12" i="3"/>
  <c r="AM12" i="3" s="1"/>
  <c r="AG221" i="5"/>
  <c r="AJ267" i="5"/>
  <c r="AC87" i="5"/>
  <c r="AC287" i="5"/>
  <c r="AD287" i="5"/>
  <c r="AI287" i="5"/>
  <c r="AG287" i="5"/>
  <c r="AI180" i="5"/>
  <c r="AN12" i="3"/>
  <c r="AE300" i="5"/>
  <c r="AE287" i="5"/>
  <c r="AH287" i="5"/>
  <c r="AI222" i="5"/>
  <c r="AB222" i="5"/>
  <c r="AF267" i="5"/>
  <c r="AJ87" i="5"/>
  <c r="W87" i="5"/>
  <c r="AF221" i="5"/>
  <c r="AF87" i="5"/>
  <c r="AE222" i="5"/>
  <c r="AB267" i="5"/>
  <c r="AG200" i="5"/>
  <c r="W200" i="5"/>
  <c r="AB221" i="5"/>
  <c r="AB87" i="5"/>
  <c r="AH222" i="5"/>
  <c r="AI267" i="5"/>
  <c r="AC200" i="5"/>
  <c r="AJ221" i="5"/>
  <c r="AC221" i="5"/>
  <c r="AI221" i="5"/>
  <c r="AI87" i="5"/>
  <c r="AD222" i="5"/>
  <c r="AH267" i="5"/>
  <c r="AE267" i="5"/>
  <c r="AJ200" i="5"/>
  <c r="W222" i="5"/>
  <c r="W267" i="5"/>
  <c r="AE221" i="5"/>
  <c r="AH87" i="5"/>
  <c r="AE87" i="5"/>
  <c r="AG222" i="5"/>
  <c r="AD267" i="5"/>
  <c r="AB200" i="5"/>
  <c r="W221" i="5"/>
  <c r="AH221" i="5"/>
  <c r="AD87" i="5"/>
  <c r="AC222" i="5"/>
  <c r="AG267" i="5"/>
  <c r="AC192" i="5"/>
  <c r="AB227" i="5"/>
  <c r="AG192" i="5"/>
  <c r="AF192" i="5"/>
  <c r="AI192" i="5"/>
  <c r="AD192" i="5"/>
  <c r="AB192" i="5"/>
  <c r="AB187" i="5"/>
  <c r="AI251" i="5"/>
  <c r="AJ116" i="5"/>
  <c r="AK118" i="3"/>
  <c r="AM118" i="3" s="1"/>
  <c r="AN100" i="3"/>
  <c r="AK135" i="3"/>
  <c r="AM135" i="3" s="1"/>
  <c r="AN118" i="3"/>
  <c r="AE227" i="5"/>
  <c r="AI248" i="5"/>
  <c r="AC148" i="5"/>
  <c r="W227" i="5"/>
  <c r="AE248" i="5"/>
  <c r="AJ148" i="5"/>
  <c r="AI177" i="5"/>
  <c r="AC275" i="5"/>
  <c r="AG227" i="5"/>
  <c r="AI114" i="5"/>
  <c r="W248" i="5"/>
  <c r="AH248" i="5"/>
  <c r="AF148" i="5"/>
  <c r="AF275" i="5"/>
  <c r="AF114" i="5"/>
  <c r="AD248" i="5"/>
  <c r="AI148" i="5"/>
  <c r="AB148" i="5"/>
  <c r="AI275" i="5"/>
  <c r="AE148" i="5"/>
  <c r="AH275" i="5"/>
  <c r="AJ227" i="5"/>
  <c r="AI116" i="5"/>
  <c r="AJ248" i="5"/>
  <c r="AC248" i="5"/>
  <c r="AH148" i="5"/>
  <c r="AF227" i="5"/>
  <c r="AH183" i="5"/>
  <c r="AG187" i="5"/>
  <c r="W148" i="5"/>
  <c r="AK58" i="3"/>
  <c r="AM58" i="3" s="1"/>
  <c r="AH29" i="5"/>
  <c r="AK34" i="3"/>
  <c r="AM34" i="3" s="1"/>
  <c r="AH114" i="5"/>
  <c r="AJ154" i="5"/>
  <c r="AG29" i="5"/>
  <c r="AD29" i="5"/>
  <c r="AE113" i="5"/>
  <c r="AH273" i="5"/>
  <c r="AC29" i="5"/>
  <c r="AJ29" i="5"/>
  <c r="AF29" i="5"/>
  <c r="AN58" i="3"/>
  <c r="AF213" i="5"/>
  <c r="AF75" i="5"/>
  <c r="AB29" i="5"/>
  <c r="AN50" i="3"/>
  <c r="AK77" i="3"/>
  <c r="AM77" i="3" s="1"/>
  <c r="AK143" i="3"/>
  <c r="AM143" i="3" s="1"/>
  <c r="AK140" i="3"/>
  <c r="AM140" i="3" s="1"/>
  <c r="AK9" i="3"/>
  <c r="AM9" i="3" s="1"/>
  <c r="AK100" i="3"/>
  <c r="AM100" i="3" s="1"/>
  <c r="AK50" i="3"/>
  <c r="AM50" i="3" s="1"/>
  <c r="AK81" i="3"/>
  <c r="AM81" i="3" s="1"/>
  <c r="AN77" i="3"/>
  <c r="AN143" i="3"/>
  <c r="AN9" i="3"/>
  <c r="AH177" i="5"/>
  <c r="AC286" i="5"/>
  <c r="AD278" i="5"/>
  <c r="W177" i="5"/>
  <c r="AJ247" i="5"/>
  <c r="AD177" i="5"/>
  <c r="AJ286" i="5"/>
  <c r="AG278" i="5"/>
  <c r="W247" i="5"/>
  <c r="AE177" i="5"/>
  <c r="AG65" i="5"/>
  <c r="AG177" i="5"/>
  <c r="AF286" i="5"/>
  <c r="AJ278" i="5"/>
  <c r="AC278" i="5"/>
  <c r="AJ177" i="5"/>
  <c r="AC177" i="5"/>
  <c r="AB286" i="5"/>
  <c r="AF278" i="5"/>
  <c r="W286" i="5"/>
  <c r="AI129" i="5"/>
  <c r="AF177" i="5"/>
  <c r="AI286" i="5"/>
  <c r="AB278" i="5"/>
  <c r="AC187" i="5"/>
  <c r="AE114" i="5"/>
  <c r="AB114" i="5"/>
  <c r="AF169" i="5"/>
  <c r="AE271" i="5"/>
  <c r="AI227" i="5"/>
  <c r="AJ187" i="5"/>
  <c r="W114" i="5"/>
  <c r="AB169" i="5"/>
  <c r="AH271" i="5"/>
  <c r="AD114" i="5"/>
  <c r="AE169" i="5"/>
  <c r="AG271" i="5"/>
  <c r="AG114" i="5"/>
  <c r="AH169" i="5"/>
  <c r="AC271" i="5"/>
  <c r="AH187" i="5"/>
  <c r="AC114" i="5"/>
  <c r="AD169" i="5"/>
  <c r="AJ271" i="5"/>
  <c r="AJ228" i="5"/>
  <c r="AD187" i="5"/>
  <c r="AG169" i="5"/>
  <c r="AF271" i="5"/>
  <c r="AJ169" i="5"/>
  <c r="AI271" i="5"/>
  <c r="AB271" i="5"/>
  <c r="W245" i="5"/>
  <c r="AI183" i="5"/>
  <c r="AI300" i="5"/>
  <c r="W183" i="5"/>
  <c r="AD183" i="5"/>
  <c r="AF233" i="5"/>
  <c r="W180" i="5"/>
  <c r="AE180" i="5"/>
  <c r="AN132" i="3"/>
  <c r="AK138" i="3"/>
  <c r="AM138" i="3" s="1"/>
  <c r="W300" i="5"/>
  <c r="W243" i="5"/>
  <c r="AK86" i="3"/>
  <c r="AM86" i="3" s="1"/>
  <c r="AH180" i="5"/>
  <c r="AD180" i="5"/>
  <c r="AH133" i="5"/>
  <c r="AD160" i="5"/>
  <c r="AC160" i="5"/>
  <c r="AF160" i="5"/>
  <c r="AI110" i="5"/>
  <c r="AH160" i="5"/>
  <c r="AD306" i="5"/>
  <c r="AC94" i="5"/>
  <c r="AG160" i="5"/>
  <c r="AB306" i="5"/>
  <c r="AC204" i="5"/>
  <c r="W204" i="5"/>
  <c r="AI160" i="5"/>
  <c r="W160" i="5"/>
  <c r="AG236" i="5"/>
  <c r="AJ218" i="5"/>
  <c r="AG180" i="5"/>
  <c r="AJ160" i="5"/>
  <c r="AC180" i="5"/>
  <c r="AJ180" i="5"/>
  <c r="AB47" i="5"/>
  <c r="AB180" i="5"/>
  <c r="AE71" i="5"/>
  <c r="AE160" i="5"/>
  <c r="AJ183" i="5"/>
  <c r="AF183" i="5"/>
  <c r="AB183" i="5"/>
  <c r="AD108" i="5"/>
  <c r="AE183" i="5"/>
  <c r="AB136" i="5"/>
  <c r="AC239" i="5"/>
  <c r="AD41" i="5"/>
  <c r="AC277" i="5"/>
  <c r="AN93" i="3"/>
  <c r="AN56" i="3"/>
  <c r="AN86" i="3"/>
  <c r="AN138" i="3"/>
  <c r="AN82" i="3"/>
  <c r="AF80" i="5"/>
  <c r="AH223" i="5"/>
  <c r="W167" i="5"/>
  <c r="AD223" i="5"/>
  <c r="AG223" i="5"/>
  <c r="AI167" i="5"/>
  <c r="AF261" i="5"/>
  <c r="AC223" i="5"/>
  <c r="AH167" i="5"/>
  <c r="AI261" i="5"/>
  <c r="AE167" i="5"/>
  <c r="AB223" i="5"/>
  <c r="W261" i="5"/>
  <c r="AJ223" i="5"/>
  <c r="AD261" i="5"/>
  <c r="AH226" i="5"/>
  <c r="AF189" i="5"/>
  <c r="AG226" i="5"/>
  <c r="AB189" i="5"/>
  <c r="AC226" i="5"/>
  <c r="AD189" i="5"/>
  <c r="AJ226" i="5"/>
  <c r="AF226" i="5"/>
  <c r="AB226" i="5"/>
  <c r="AC227" i="5"/>
  <c r="AD227" i="5"/>
  <c r="AI70" i="5"/>
  <c r="AH236" i="5"/>
  <c r="AG133" i="5"/>
  <c r="AJ232" i="5"/>
  <c r="AJ133" i="5"/>
  <c r="AB232" i="5"/>
  <c r="AJ236" i="5"/>
  <c r="AB133" i="5"/>
  <c r="AE232" i="5"/>
  <c r="AB236" i="5"/>
  <c r="AH232" i="5"/>
  <c r="AE133" i="5"/>
  <c r="AK69" i="3"/>
  <c r="AM69" i="3" s="1"/>
  <c r="AC99" i="5"/>
  <c r="AB263" i="5"/>
  <c r="AF99" i="5"/>
  <c r="AB99" i="5"/>
  <c r="AI218" i="5"/>
  <c r="AI99" i="5"/>
  <c r="AH245" i="5"/>
  <c r="AC108" i="5"/>
  <c r="AI136" i="5"/>
  <c r="AF239" i="5"/>
  <c r="AE277" i="5"/>
  <c r="AH216" i="5"/>
  <c r="AD245" i="5"/>
  <c r="AJ108" i="5"/>
  <c r="AH136" i="5"/>
  <c r="AJ134" i="5"/>
  <c r="AB239" i="5"/>
  <c r="W216" i="5"/>
  <c r="AG245" i="5"/>
  <c r="AF108" i="5"/>
  <c r="AD188" i="5"/>
  <c r="AE245" i="5"/>
  <c r="AC245" i="5"/>
  <c r="AE108" i="5"/>
  <c r="AJ245" i="5"/>
  <c r="AB245" i="5"/>
  <c r="AJ136" i="5"/>
  <c r="AF277" i="5"/>
  <c r="AI245" i="5"/>
  <c r="AF136" i="5"/>
  <c r="AH239" i="5"/>
  <c r="AB277" i="5"/>
  <c r="AH277" i="5"/>
  <c r="AG277" i="5"/>
  <c r="AH34" i="5"/>
  <c r="AI277" i="5"/>
  <c r="AD277" i="5"/>
  <c r="W277" i="5"/>
  <c r="AF21" i="5"/>
  <c r="AI189" i="5"/>
  <c r="AI34" i="5"/>
  <c r="AE189" i="5"/>
  <c r="AF31" i="5"/>
  <c r="AG34" i="5"/>
  <c r="W189" i="5"/>
  <c r="AH189" i="5"/>
  <c r="AD226" i="5"/>
  <c r="AJ189" i="5"/>
  <c r="AF251" i="5"/>
  <c r="AE110" i="5"/>
  <c r="AH231" i="5"/>
  <c r="W101" i="5"/>
  <c r="AD215" i="5"/>
  <c r="AG216" i="5"/>
  <c r="AD216" i="5"/>
  <c r="AJ251" i="5"/>
  <c r="W110" i="5"/>
  <c r="W32" i="5"/>
  <c r="AC216" i="5"/>
  <c r="AD110" i="5"/>
  <c r="AJ216" i="5"/>
  <c r="AG211" i="5"/>
  <c r="AE98" i="5"/>
  <c r="AH101" i="5"/>
  <c r="AF216" i="5"/>
  <c r="AJ34" i="5"/>
  <c r="AB86" i="5"/>
  <c r="AG101" i="5"/>
  <c r="AB216" i="5"/>
  <c r="AC40" i="5"/>
  <c r="AJ110" i="5"/>
  <c r="AI145" i="5"/>
  <c r="AF186" i="5"/>
  <c r="AJ101" i="5"/>
  <c r="AI216" i="5"/>
  <c r="AE251" i="5"/>
  <c r="AF110" i="5"/>
  <c r="W145" i="5"/>
  <c r="AB101" i="5"/>
  <c r="AE236" i="5"/>
  <c r="AG99" i="5"/>
  <c r="AE99" i="5"/>
  <c r="AC183" i="5"/>
  <c r="AJ143" i="5"/>
  <c r="AD251" i="5"/>
  <c r="AD107" i="5"/>
  <c r="AE68" i="5"/>
  <c r="AD68" i="5"/>
  <c r="AH110" i="5"/>
  <c r="AH251" i="5"/>
  <c r="AG110" i="5"/>
  <c r="AB122" i="5"/>
  <c r="AE61" i="5"/>
  <c r="AJ68" i="5"/>
  <c r="AG98" i="5"/>
  <c r="AJ80" i="5"/>
  <c r="AD31" i="5"/>
  <c r="AB90" i="5"/>
  <c r="AJ21" i="5"/>
  <c r="AC31" i="5"/>
  <c r="AF95" i="5"/>
  <c r="AB80" i="5"/>
  <c r="AJ31" i="5"/>
  <c r="AB21" i="5"/>
  <c r="AG21" i="5"/>
  <c r="AH80" i="5"/>
  <c r="AB31" i="5"/>
  <c r="AB167" i="5"/>
  <c r="AE90" i="5"/>
  <c r="AD80" i="5"/>
  <c r="AI31" i="5"/>
  <c r="AF167" i="5"/>
  <c r="AC21" i="5"/>
  <c r="W306" i="5"/>
  <c r="AG80" i="5"/>
  <c r="AE31" i="5"/>
  <c r="AI95" i="5"/>
  <c r="AH21" i="5"/>
  <c r="AC306" i="5"/>
  <c r="AC80" i="5"/>
  <c r="W31" i="5"/>
  <c r="AH270" i="5"/>
  <c r="AD21" i="5"/>
  <c r="AI237" i="5"/>
  <c r="AI243" i="5"/>
  <c r="AC228" i="5"/>
  <c r="AB113" i="5"/>
  <c r="AG116" i="5"/>
  <c r="W65" i="5"/>
  <c r="AH243" i="5"/>
  <c r="AH65" i="5"/>
  <c r="AF129" i="5"/>
  <c r="AG162" i="5"/>
  <c r="AD162" i="5"/>
  <c r="AG247" i="5"/>
  <c r="AI273" i="5"/>
  <c r="W237" i="5"/>
  <c r="AE243" i="5"/>
  <c r="AE228" i="5"/>
  <c r="AD237" i="5"/>
  <c r="AI113" i="5"/>
  <c r="AC116" i="5"/>
  <c r="W129" i="5"/>
  <c r="AH85" i="5"/>
  <c r="AD65" i="5"/>
  <c r="AB129" i="5"/>
  <c r="AC162" i="5"/>
  <c r="AB247" i="5"/>
  <c r="AE273" i="5"/>
  <c r="AB305" i="5"/>
  <c r="AB228" i="5"/>
  <c r="W113" i="5"/>
  <c r="AF116" i="5"/>
  <c r="AC71" i="5"/>
  <c r="AC113" i="5"/>
  <c r="AE116" i="5"/>
  <c r="AJ65" i="5"/>
  <c r="AC65" i="5"/>
  <c r="AE129" i="5"/>
  <c r="AF162" i="5"/>
  <c r="AF247" i="5"/>
  <c r="AD273" i="5"/>
  <c r="AH113" i="5"/>
  <c r="AB116" i="5"/>
  <c r="AB71" i="5"/>
  <c r="W162" i="5"/>
  <c r="AC243" i="5"/>
  <c r="AG113" i="5"/>
  <c r="AF65" i="5"/>
  <c r="AH129" i="5"/>
  <c r="AB162" i="5"/>
  <c r="AI247" i="5"/>
  <c r="AG273" i="5"/>
  <c r="AG305" i="5"/>
  <c r="W228" i="5"/>
  <c r="AF302" i="5"/>
  <c r="AD113" i="5"/>
  <c r="W273" i="5"/>
  <c r="W305" i="5"/>
  <c r="AB65" i="5"/>
  <c r="AD129" i="5"/>
  <c r="AI162" i="5"/>
  <c r="AE247" i="5"/>
  <c r="AJ273" i="5"/>
  <c r="AC273" i="5"/>
  <c r="AE305" i="5"/>
  <c r="AI228" i="5"/>
  <c r="AC305" i="5"/>
  <c r="AG243" i="5"/>
  <c r="AJ243" i="5"/>
  <c r="AI305" i="5"/>
  <c r="AN305" i="5" s="1"/>
  <c r="AF243" i="5"/>
  <c r="AH228" i="5"/>
  <c r="AD302" i="5"/>
  <c r="AJ113" i="5"/>
  <c r="AH116" i="5"/>
  <c r="AF98" i="5"/>
  <c r="AI65" i="5"/>
  <c r="AG129" i="5"/>
  <c r="AE162" i="5"/>
  <c r="AH247" i="5"/>
  <c r="AC247" i="5"/>
  <c r="AF273" i="5"/>
  <c r="AF237" i="5"/>
  <c r="AB243" i="5"/>
  <c r="AG228" i="5"/>
  <c r="AD116" i="5"/>
  <c r="AJ129" i="5"/>
  <c r="AE218" i="5"/>
  <c r="W71" i="5"/>
  <c r="AI98" i="5"/>
  <c r="AI68" i="5"/>
  <c r="AD70" i="5"/>
  <c r="W218" i="5"/>
  <c r="AH71" i="5"/>
  <c r="AC122" i="5"/>
  <c r="AJ98" i="5"/>
  <c r="AC70" i="5"/>
  <c r="AD61" i="5"/>
  <c r="AD228" i="5"/>
  <c r="AI302" i="5"/>
  <c r="AF187" i="5"/>
  <c r="AH218" i="5"/>
  <c r="AD71" i="5"/>
  <c r="AB110" i="5"/>
  <c r="AF223" i="5"/>
  <c r="AI122" i="5"/>
  <c r="AG122" i="5"/>
  <c r="AB98" i="5"/>
  <c r="AH70" i="5"/>
  <c r="AB70" i="5"/>
  <c r="AJ61" i="5"/>
  <c r="AJ94" i="5"/>
  <c r="W302" i="5"/>
  <c r="AD218" i="5"/>
  <c r="AG71" i="5"/>
  <c r="AE115" i="5"/>
  <c r="AE122" i="5"/>
  <c r="AC98" i="5"/>
  <c r="AE70" i="5"/>
  <c r="AB61" i="5"/>
  <c r="W68" i="5"/>
  <c r="AF218" i="5"/>
  <c r="AJ71" i="5"/>
  <c r="AG251" i="5"/>
  <c r="AD98" i="5"/>
  <c r="AG68" i="5"/>
  <c r="AJ122" i="5"/>
  <c r="AB218" i="5"/>
  <c r="AF71" i="5"/>
  <c r="AG218" i="5"/>
  <c r="AB251" i="5"/>
  <c r="AF122" i="5"/>
  <c r="AH98" i="5"/>
  <c r="AB68" i="5"/>
  <c r="AE187" i="5"/>
  <c r="AG136" i="5"/>
  <c r="AB108" i="5"/>
  <c r="AG79" i="5"/>
  <c r="AE136" i="5"/>
  <c r="AD239" i="5"/>
  <c r="AG134" i="5"/>
  <c r="AD104" i="5"/>
  <c r="AH108" i="5"/>
  <c r="W136" i="5"/>
  <c r="AG239" i="5"/>
  <c r="AD136" i="5"/>
  <c r="AJ239" i="5"/>
  <c r="AC211" i="5"/>
  <c r="AJ40" i="5"/>
  <c r="AF134" i="5"/>
  <c r="AJ188" i="5"/>
  <c r="AI115" i="5"/>
  <c r="AD231" i="5"/>
  <c r="W115" i="5"/>
  <c r="W213" i="5"/>
  <c r="AC134" i="5"/>
  <c r="AH104" i="5"/>
  <c r="AC79" i="5"/>
  <c r="W104" i="5"/>
  <c r="AH292" i="5"/>
  <c r="AF154" i="5"/>
  <c r="AF117" i="5"/>
  <c r="AB213" i="5"/>
  <c r="AB75" i="5"/>
  <c r="AI211" i="5"/>
  <c r="AK211" i="5" s="1"/>
  <c r="AM211" i="5" s="1"/>
  <c r="AF40" i="5"/>
  <c r="AD235" i="5"/>
  <c r="AB134" i="5"/>
  <c r="AF188" i="5"/>
  <c r="AG231" i="5"/>
  <c r="AH115" i="5"/>
  <c r="W75" i="5"/>
  <c r="AC143" i="5"/>
  <c r="AE104" i="5"/>
  <c r="AH172" i="5"/>
  <c r="AI231" i="5"/>
  <c r="AF79" i="5"/>
  <c r="AD292" i="5"/>
  <c r="AB154" i="5"/>
  <c r="AB117" i="5"/>
  <c r="AI213" i="5"/>
  <c r="AI75" i="5"/>
  <c r="AD211" i="5"/>
  <c r="AB40" i="5"/>
  <c r="AI134" i="5"/>
  <c r="AB188" i="5"/>
  <c r="AC231" i="5"/>
  <c r="AD115" i="5"/>
  <c r="AG172" i="5"/>
  <c r="AG143" i="5"/>
  <c r="AI104" i="5"/>
  <c r="AC172" i="5"/>
  <c r="AD79" i="5"/>
  <c r="AG292" i="5"/>
  <c r="AI154" i="5"/>
  <c r="AI117" i="5"/>
  <c r="AE213" i="5"/>
  <c r="AE75" i="5"/>
  <c r="AH211" i="5"/>
  <c r="AF172" i="5"/>
  <c r="AE134" i="5"/>
  <c r="AI188" i="5"/>
  <c r="AJ231" i="5"/>
  <c r="AG115" i="5"/>
  <c r="W154" i="5"/>
  <c r="AB172" i="5"/>
  <c r="AJ104" i="5"/>
  <c r="AJ79" i="5"/>
  <c r="AH79" i="5"/>
  <c r="W292" i="5"/>
  <c r="AC292" i="5"/>
  <c r="AH154" i="5"/>
  <c r="AE154" i="5"/>
  <c r="AE117" i="5"/>
  <c r="AH213" i="5"/>
  <c r="AH75" i="5"/>
  <c r="AG88" i="5"/>
  <c r="AC88" i="5"/>
  <c r="AB211" i="5"/>
  <c r="AH40" i="5"/>
  <c r="AB235" i="5"/>
  <c r="AJ172" i="5"/>
  <c r="W134" i="5"/>
  <c r="AE188" i="5"/>
  <c r="AF231" i="5"/>
  <c r="AC115" i="5"/>
  <c r="AE211" i="5"/>
  <c r="AB104" i="5"/>
  <c r="AE79" i="5"/>
  <c r="AJ292" i="5"/>
  <c r="AD154" i="5"/>
  <c r="AH117" i="5"/>
  <c r="AG213" i="5"/>
  <c r="AD213" i="5"/>
  <c r="AD75" i="5"/>
  <c r="W88" i="5"/>
  <c r="AE172" i="5"/>
  <c r="AF211" i="5"/>
  <c r="AD40" i="5"/>
  <c r="AI235" i="5"/>
  <c r="AH134" i="5"/>
  <c r="W188" i="5"/>
  <c r="AE231" i="5"/>
  <c r="AB231" i="5"/>
  <c r="AF115" i="5"/>
  <c r="AG188" i="5"/>
  <c r="AF143" i="5"/>
  <c r="AI143" i="5"/>
  <c r="AC104" i="5"/>
  <c r="AI79" i="5"/>
  <c r="W143" i="5"/>
  <c r="AF292" i="5"/>
  <c r="AG154" i="5"/>
  <c r="AG117" i="5"/>
  <c r="AD117" i="5"/>
  <c r="AC213" i="5"/>
  <c r="AG75" i="5"/>
  <c r="AE88" i="5"/>
  <c r="AF88" i="5"/>
  <c r="AB88" i="5"/>
  <c r="AI88" i="5"/>
  <c r="AD88" i="5"/>
  <c r="AH88" i="5"/>
  <c r="AI172" i="5"/>
  <c r="W211" i="5"/>
  <c r="AG40" i="5"/>
  <c r="AE235" i="5"/>
  <c r="AH188" i="5"/>
  <c r="AB115" i="5"/>
  <c r="AB143" i="5"/>
  <c r="AE143" i="5"/>
  <c r="AG104" i="5"/>
  <c r="AB79" i="5"/>
  <c r="AD143" i="5"/>
  <c r="AI292" i="5"/>
  <c r="AJ75" i="5"/>
  <c r="AI85" i="5"/>
  <c r="AE80" i="5"/>
  <c r="AD95" i="5"/>
  <c r="AI80" i="5"/>
  <c r="AJ95" i="5"/>
  <c r="AB95" i="5"/>
  <c r="AG109" i="5"/>
  <c r="AC95" i="5"/>
  <c r="AG95" i="5"/>
  <c r="AE95" i="5"/>
  <c r="W95" i="5"/>
  <c r="AG96" i="5"/>
  <c r="AG300" i="5"/>
  <c r="AG31" i="5"/>
  <c r="AF300" i="5"/>
  <c r="AG32" i="5"/>
  <c r="AH204" i="5"/>
  <c r="AB233" i="5"/>
  <c r="AE47" i="5"/>
  <c r="AG94" i="5"/>
  <c r="AI270" i="5"/>
  <c r="W94" i="5"/>
  <c r="AN136" i="3"/>
  <c r="U136" i="3" s="1"/>
  <c r="AI86" i="5"/>
  <c r="AE145" i="5"/>
  <c r="AB186" i="5"/>
  <c r="AG215" i="5"/>
  <c r="AG107" i="5"/>
  <c r="AD204" i="5"/>
  <c r="AI233" i="5"/>
  <c r="AH157" i="5"/>
  <c r="AF263" i="5"/>
  <c r="AF41" i="5"/>
  <c r="AC107" i="5"/>
  <c r="AC189" i="5"/>
  <c r="AI47" i="5"/>
  <c r="AD94" i="5"/>
  <c r="AH61" i="5"/>
  <c r="AI21" i="5"/>
  <c r="AC233" i="5"/>
  <c r="AH86" i="5"/>
  <c r="AE86" i="5"/>
  <c r="AH145" i="5"/>
  <c r="AI186" i="5"/>
  <c r="AC215" i="5"/>
  <c r="AF200" i="5"/>
  <c r="AJ41" i="5"/>
  <c r="AB204" i="5"/>
  <c r="AE233" i="5"/>
  <c r="AG157" i="5"/>
  <c r="AJ263" i="5"/>
  <c r="AB41" i="5"/>
  <c r="AJ107" i="5"/>
  <c r="W105" i="5"/>
  <c r="AH94" i="5"/>
  <c r="AJ270" i="5"/>
  <c r="AC61" i="5"/>
  <c r="AC235" i="5"/>
  <c r="AD86" i="5"/>
  <c r="AG145" i="5"/>
  <c r="AD145" i="5"/>
  <c r="AH186" i="5"/>
  <c r="AE186" i="5"/>
  <c r="AJ215" i="5"/>
  <c r="AG204" i="5"/>
  <c r="AH233" i="5"/>
  <c r="W233" i="5"/>
  <c r="AJ157" i="5"/>
  <c r="AE263" i="5"/>
  <c r="AI41" i="5"/>
  <c r="AF107" i="5"/>
  <c r="W86" i="5"/>
  <c r="AG52" i="5"/>
  <c r="AD47" i="5"/>
  <c r="AG61" i="5"/>
  <c r="W47" i="5"/>
  <c r="AG86" i="5"/>
  <c r="AC145" i="5"/>
  <c r="AD186" i="5"/>
  <c r="W186" i="5"/>
  <c r="AF215" i="5"/>
  <c r="AI200" i="5"/>
  <c r="AF204" i="5"/>
  <c r="AG233" i="5"/>
  <c r="AB157" i="5"/>
  <c r="AI263" i="5"/>
  <c r="AE41" i="5"/>
  <c r="AB107" i="5"/>
  <c r="AF270" i="5"/>
  <c r="AB52" i="5"/>
  <c r="AI94" i="5"/>
  <c r="AC41" i="5"/>
  <c r="AF61" i="5"/>
  <c r="W122" i="5"/>
  <c r="AC86" i="5"/>
  <c r="AJ145" i="5"/>
  <c r="AG186" i="5"/>
  <c r="AB215" i="5"/>
  <c r="AH200" i="5"/>
  <c r="AE200" i="5"/>
  <c r="U57" i="3"/>
  <c r="AK132" i="3"/>
  <c r="AM132" i="3" s="1"/>
  <c r="AI204" i="5"/>
  <c r="AD233" i="5"/>
  <c r="W41" i="5"/>
  <c r="W215" i="5"/>
  <c r="AB270" i="5"/>
  <c r="AD52" i="5"/>
  <c r="AB94" i="5"/>
  <c r="AE21" i="5"/>
  <c r="AI61" i="5"/>
  <c r="AD122" i="5"/>
  <c r="AJ86" i="5"/>
  <c r="AF145" i="5"/>
  <c r="AC186" i="5"/>
  <c r="AI215" i="5"/>
  <c r="AE204" i="5"/>
  <c r="AH41" i="5"/>
  <c r="AH107" i="5"/>
  <c r="W157" i="5"/>
  <c r="AG263" i="5"/>
  <c r="AG47" i="5"/>
  <c r="AH52" i="5"/>
  <c r="AF94" i="5"/>
  <c r="AH215" i="5"/>
  <c r="W263" i="5"/>
  <c r="AN34" i="3"/>
  <c r="AK93" i="3"/>
  <c r="AM93" i="3" s="1"/>
  <c r="AN140" i="3"/>
  <c r="AK56" i="3"/>
  <c r="AM56" i="3" s="1"/>
  <c r="AN69" i="3"/>
  <c r="AN81" i="3"/>
  <c r="U66" i="3"/>
  <c r="U110" i="3"/>
  <c r="U53" i="3"/>
  <c r="AC251" i="5"/>
  <c r="AI40" i="5"/>
  <c r="U26" i="3"/>
  <c r="U155" i="5"/>
  <c r="U59" i="3"/>
  <c r="AK82" i="3"/>
  <c r="AM82" i="3" s="1"/>
  <c r="U125" i="3"/>
  <c r="U127" i="3"/>
  <c r="AK127" i="5"/>
  <c r="AM127" i="5" s="1"/>
  <c r="AN127" i="5"/>
  <c r="AK283" i="5"/>
  <c r="AM283" i="5" s="1"/>
  <c r="AN283" i="5"/>
  <c r="AK83" i="5"/>
  <c r="AM83" i="5" s="1"/>
  <c r="AN83" i="5"/>
  <c r="AN155" i="5"/>
  <c r="AK155" i="5"/>
  <c r="AM155" i="5" s="1"/>
  <c r="AK229" i="5"/>
  <c r="AM229" i="5" s="1"/>
  <c r="AN229" i="5"/>
  <c r="AN64" i="5"/>
  <c r="AK64" i="5"/>
  <c r="AM64" i="5" s="1"/>
  <c r="AN42" i="5"/>
  <c r="AK42" i="5"/>
  <c r="AM42" i="5" s="1"/>
  <c r="AN190" i="5"/>
  <c r="AK190" i="5"/>
  <c r="AM190" i="5" s="1"/>
  <c r="AN173" i="5"/>
  <c r="AK173" i="5"/>
  <c r="AM173" i="5" s="1"/>
  <c r="AK203" i="5"/>
  <c r="AM203" i="5" s="1"/>
  <c r="AN203" i="5"/>
  <c r="AK295" i="5"/>
  <c r="AM295" i="5" s="1"/>
  <c r="AN295" i="5"/>
  <c r="AK126" i="5"/>
  <c r="AM126" i="5" s="1"/>
  <c r="AN126" i="5"/>
  <c r="AN244" i="5"/>
  <c r="AK244" i="5"/>
  <c r="AM244" i="5" s="1"/>
  <c r="AN209" i="5"/>
  <c r="AK209" i="5"/>
  <c r="AM209" i="5" s="1"/>
  <c r="AN55" i="5"/>
  <c r="AK55" i="5"/>
  <c r="AM55" i="5" s="1"/>
  <c r="AN195" i="5"/>
  <c r="AK195" i="5"/>
  <c r="AM195" i="5" s="1"/>
  <c r="AN207" i="5"/>
  <c r="AK207" i="5"/>
  <c r="AM207" i="5" s="1"/>
  <c r="AN131" i="5"/>
  <c r="AK131" i="5"/>
  <c r="AM131" i="5" s="1"/>
  <c r="AN196" i="5"/>
  <c r="AK196" i="5"/>
  <c r="AM196" i="5" s="1"/>
  <c r="AK130" i="5"/>
  <c r="AM130" i="5" s="1"/>
  <c r="AN130" i="5"/>
  <c r="AN272" i="5"/>
  <c r="AK272" i="5"/>
  <c r="AM272" i="5" s="1"/>
  <c r="AN138" i="5"/>
  <c r="AK138" i="5"/>
  <c r="AM138" i="5" s="1"/>
  <c r="AN253" i="5"/>
  <c r="AK253" i="5"/>
  <c r="AM253" i="5" s="1"/>
  <c r="AN121" i="5"/>
  <c r="AK121" i="5"/>
  <c r="AM121" i="5" s="1"/>
  <c r="AN69" i="5"/>
  <c r="AK69" i="5"/>
  <c r="AM69" i="5" s="1"/>
  <c r="AN250" i="5"/>
  <c r="AK250" i="5"/>
  <c r="AM250" i="5" s="1"/>
  <c r="AK159" i="5"/>
  <c r="AM159" i="5" s="1"/>
  <c r="AN159" i="5"/>
  <c r="AN214" i="5"/>
  <c r="AK214" i="5"/>
  <c r="AM214" i="5" s="1"/>
  <c r="AN184" i="5"/>
  <c r="AK184" i="5"/>
  <c r="AM184" i="5" s="1"/>
  <c r="AD101" i="5"/>
  <c r="AF101" i="5"/>
  <c r="AC101" i="5"/>
  <c r="AK14" i="3"/>
  <c r="AM14" i="3" s="1"/>
  <c r="AK36" i="3"/>
  <c r="AM36" i="3" s="1"/>
  <c r="AN36" i="3"/>
  <c r="AK99" i="3"/>
  <c r="AM99" i="3" s="1"/>
  <c r="AN99" i="3"/>
  <c r="U62" i="3"/>
  <c r="U102" i="3"/>
  <c r="U103" i="3"/>
  <c r="AK45" i="3"/>
  <c r="AM45" i="3" s="1"/>
  <c r="AN14" i="3"/>
  <c r="AG275" i="5"/>
  <c r="AB275" i="5"/>
  <c r="AD275" i="5"/>
  <c r="AJ275" i="5"/>
  <c r="AB34" i="5"/>
  <c r="AC34" i="5"/>
  <c r="AD270" i="5"/>
  <c r="AF68" i="5"/>
  <c r="AC52" i="5"/>
  <c r="AG270" i="5"/>
  <c r="AH263" i="5"/>
  <c r="AG70" i="5"/>
  <c r="AI187" i="5"/>
  <c r="AD105" i="5"/>
  <c r="AF34" i="5"/>
  <c r="AE34" i="5"/>
  <c r="W70" i="5"/>
  <c r="AH300" i="5"/>
  <c r="AD263" i="5"/>
  <c r="AN89" i="5"/>
  <c r="AK89" i="5"/>
  <c r="AM89" i="5" s="1"/>
  <c r="AF105" i="5"/>
  <c r="W149" i="5"/>
  <c r="AJ149" i="5"/>
  <c r="AJ47" i="5"/>
  <c r="AC47" i="5"/>
  <c r="AI52" i="5"/>
  <c r="AC68" i="5"/>
  <c r="AF47" i="5"/>
  <c r="AF52" i="5"/>
  <c r="AJ52" i="5"/>
  <c r="AE52" i="5"/>
  <c r="AC270" i="5"/>
  <c r="AD99" i="5"/>
  <c r="AE270" i="5"/>
  <c r="AG232" i="5"/>
  <c r="AI147" i="5"/>
  <c r="AB147" i="5"/>
  <c r="AE147" i="5"/>
  <c r="AJ147" i="5"/>
  <c r="AD147" i="5"/>
  <c r="AJ167" i="5"/>
  <c r="AG167" i="5"/>
  <c r="AD167" i="5"/>
  <c r="AH96" i="5"/>
  <c r="AD96" i="5"/>
  <c r="AE96" i="5"/>
  <c r="AI96" i="5"/>
  <c r="AJ96" i="5"/>
  <c r="AC96" i="5"/>
  <c r="AF96" i="5"/>
  <c r="AD73" i="5"/>
  <c r="AC73" i="5"/>
  <c r="AB73" i="5"/>
  <c r="AJ73" i="5"/>
  <c r="AH73" i="5"/>
  <c r="AG73" i="5"/>
  <c r="AI73" i="5"/>
  <c r="W239" i="5"/>
  <c r="AE239" i="5"/>
  <c r="AE73" i="5"/>
  <c r="AJ109" i="5"/>
  <c r="AH109" i="5"/>
  <c r="AB109" i="5"/>
  <c r="W109" i="5"/>
  <c r="AD109" i="5"/>
  <c r="AF109" i="5"/>
  <c r="AE109" i="5"/>
  <c r="AC109" i="5"/>
  <c r="AC85" i="5"/>
  <c r="W85" i="5"/>
  <c r="AD85" i="5"/>
  <c r="AB85" i="5"/>
  <c r="AJ85" i="5"/>
  <c r="AG85" i="5"/>
  <c r="AE85" i="5"/>
  <c r="W176" i="5"/>
  <c r="AE176" i="5"/>
  <c r="AH176" i="5"/>
  <c r="AF176" i="5"/>
  <c r="AJ176" i="5"/>
  <c r="W223" i="5"/>
  <c r="AI223" i="5"/>
  <c r="AH99" i="5"/>
  <c r="AH149" i="5"/>
  <c r="AB32" i="5"/>
  <c r="AC105" i="5"/>
  <c r="AB287" i="5"/>
  <c r="AI32" i="5"/>
  <c r="AI105" i="5"/>
  <c r="AE262" i="5"/>
  <c r="AI262" i="5"/>
  <c r="AB262" i="5"/>
  <c r="AF262" i="5"/>
  <c r="AJ262" i="5"/>
  <c r="AC262" i="5"/>
  <c r="AG262" i="5"/>
  <c r="AD262" i="5"/>
  <c r="AH262" i="5"/>
  <c r="AC234" i="5"/>
  <c r="AG234" i="5"/>
  <c r="AD234" i="5"/>
  <c r="AH234" i="5"/>
  <c r="AE234" i="5"/>
  <c r="AI234" i="5"/>
  <c r="AB234" i="5"/>
  <c r="AF234" i="5"/>
  <c r="AJ234" i="5"/>
  <c r="AF70" i="5"/>
  <c r="W96" i="5"/>
  <c r="AJ99" i="5"/>
  <c r="W73" i="5"/>
  <c r="AJ300" i="5"/>
  <c r="AD172" i="5"/>
  <c r="AD149" i="5"/>
  <c r="AF149" i="5"/>
  <c r="AH105" i="5"/>
  <c r="AJ105" i="5"/>
  <c r="AE105" i="5"/>
  <c r="AK102" i="5"/>
  <c r="AM102" i="5" s="1"/>
  <c r="AN102" i="5"/>
  <c r="AD300" i="5"/>
  <c r="AI149" i="5"/>
  <c r="AG149" i="5"/>
  <c r="AB149" i="5"/>
  <c r="AE93" i="5"/>
  <c r="AI93" i="5"/>
  <c r="AB93" i="5"/>
  <c r="AF93" i="5"/>
  <c r="AJ93" i="5"/>
  <c r="AC93" i="5"/>
  <c r="AG93" i="5"/>
  <c r="AD93" i="5"/>
  <c r="AH93" i="5"/>
  <c r="AC164" i="5"/>
  <c r="AG164" i="5"/>
  <c r="W164" i="5"/>
  <c r="AH164" i="5"/>
  <c r="AF164" i="5"/>
  <c r="AD164" i="5"/>
  <c r="AJ164" i="5"/>
  <c r="AE164" i="5"/>
  <c r="AI164" i="5"/>
  <c r="AB164" i="5"/>
  <c r="AB194" i="5"/>
  <c r="AF194" i="5"/>
  <c r="AJ194" i="5"/>
  <c r="AC194" i="5"/>
  <c r="AG194" i="5"/>
  <c r="AD194" i="5"/>
  <c r="AH194" i="5"/>
  <c r="AE194" i="5"/>
  <c r="AI194" i="5"/>
  <c r="AC300" i="5"/>
  <c r="AE149" i="5"/>
  <c r="AG105" i="5"/>
  <c r="AE208" i="5"/>
  <c r="AI208" i="5"/>
  <c r="AB208" i="5"/>
  <c r="AF208" i="5"/>
  <c r="AJ208" i="5"/>
  <c r="AC208" i="5"/>
  <c r="AG208" i="5"/>
  <c r="AD208" i="5"/>
  <c r="AH208" i="5"/>
  <c r="AE268" i="5"/>
  <c r="AI268" i="5"/>
  <c r="AB268" i="5"/>
  <c r="AF268" i="5"/>
  <c r="AJ268" i="5"/>
  <c r="AC268" i="5"/>
  <c r="AG268" i="5"/>
  <c r="AD268" i="5"/>
  <c r="AH268" i="5"/>
  <c r="AD32" i="5"/>
  <c r="AF32" i="5"/>
  <c r="AE32" i="5"/>
  <c r="AC32" i="5"/>
  <c r="AH32" i="5"/>
  <c r="AB56" i="5"/>
  <c r="AF56" i="5"/>
  <c r="AJ56" i="5"/>
  <c r="AC56" i="5"/>
  <c r="AG56" i="5"/>
  <c r="AD56" i="5"/>
  <c r="AH56" i="5"/>
  <c r="AE56" i="5"/>
  <c r="AI56" i="5"/>
  <c r="AB224" i="5"/>
  <c r="AF224" i="5"/>
  <c r="AJ224" i="5"/>
  <c r="AC224" i="5"/>
  <c r="AG224" i="5"/>
  <c r="AD224" i="5"/>
  <c r="AH224" i="5"/>
  <c r="AE224" i="5"/>
  <c r="AI224" i="5"/>
  <c r="AN45" i="3"/>
  <c r="U128" i="3"/>
  <c r="AK114" i="3"/>
  <c r="AM114" i="3" s="1"/>
  <c r="AD34" i="5"/>
  <c r="AE40" i="5"/>
  <c r="AN114" i="3"/>
  <c r="AB35" i="3"/>
  <c r="W35" i="3"/>
  <c r="AD35" i="3"/>
  <c r="AJ35" i="3"/>
  <c r="AE35" i="3"/>
  <c r="AH35" i="3"/>
  <c r="AC35" i="3"/>
  <c r="AI35" i="3"/>
  <c r="AG35" i="3"/>
  <c r="W178" i="5"/>
  <c r="AB178" i="5"/>
  <c r="AB237" i="5"/>
  <c r="AJ261" i="5"/>
  <c r="AE261" i="5"/>
  <c r="AG261" i="5"/>
  <c r="AC237" i="5"/>
  <c r="AH306" i="5"/>
  <c r="AG306" i="5"/>
  <c r="AD157" i="5"/>
  <c r="AF157" i="5"/>
  <c r="AC236" i="5"/>
  <c r="AJ302" i="5"/>
  <c r="AE302" i="5"/>
  <c r="AC133" i="5"/>
  <c r="AF232" i="5"/>
  <c r="W232" i="5"/>
  <c r="W236" i="5"/>
  <c r="AJ306" i="5"/>
  <c r="AC232" i="5"/>
  <c r="AB176" i="5"/>
  <c r="AH261" i="5"/>
  <c r="AF178" i="5"/>
  <c r="AJ178" i="5"/>
  <c r="AD176" i="5"/>
  <c r="AJ90" i="5"/>
  <c r="AG90" i="5"/>
  <c r="AI90" i="5"/>
  <c r="AC90" i="5"/>
  <c r="AD90" i="5"/>
  <c r="W90" i="5"/>
  <c r="AH90" i="5"/>
  <c r="AE157" i="5"/>
  <c r="AG147" i="5"/>
  <c r="AF147" i="5"/>
  <c r="AC147" i="5"/>
  <c r="W147" i="5"/>
  <c r="AC178" i="5"/>
  <c r="AD178" i="5"/>
  <c r="AI176" i="5"/>
  <c r="AC302" i="5"/>
  <c r="W107" i="5"/>
  <c r="AE107" i="5"/>
  <c r="AI133" i="5"/>
  <c r="AJ237" i="5"/>
  <c r="AE237" i="5"/>
  <c r="AB261" i="5"/>
  <c r="AG237" i="5"/>
  <c r="AI306" i="5"/>
  <c r="AF306" i="5"/>
  <c r="AC157" i="5"/>
  <c r="AD236" i="5"/>
  <c r="AF236" i="5"/>
  <c r="AB302" i="5"/>
  <c r="AH302" i="5"/>
  <c r="AD133" i="5"/>
  <c r="AF133" i="5"/>
  <c r="AI232" i="5"/>
  <c r="AG178" i="5"/>
  <c r="AI178" i="5"/>
  <c r="AH178" i="5"/>
  <c r="AC176" i="5"/>
  <c r="W226" i="5"/>
  <c r="AE226" i="5"/>
  <c r="AI108" i="5"/>
  <c r="W108" i="5"/>
  <c r="AN280" i="5"/>
  <c r="AK280" i="5"/>
  <c r="AM280" i="5" s="1"/>
  <c r="AB290" i="5"/>
  <c r="AF290" i="5"/>
  <c r="AJ290" i="5"/>
  <c r="AC290" i="5"/>
  <c r="AG290" i="5"/>
  <c r="AD290" i="5"/>
  <c r="AH290" i="5"/>
  <c r="W290" i="5"/>
  <c r="AE290" i="5"/>
  <c r="AI290" i="5"/>
  <c r="AK303" i="5"/>
  <c r="AM303" i="5" s="1"/>
  <c r="AN303" i="5"/>
  <c r="W262" i="5"/>
  <c r="U79" i="3" l="1"/>
  <c r="AN264" i="5"/>
  <c r="AK264" i="5"/>
  <c r="AM264" i="5" s="1"/>
  <c r="AN287" i="5"/>
  <c r="AK260" i="5"/>
  <c r="AM260" i="5" s="1"/>
  <c r="AK287" i="5"/>
  <c r="AM287" i="5" s="1"/>
  <c r="AK45" i="5"/>
  <c r="AM45" i="5" s="1"/>
  <c r="AN45" i="5"/>
  <c r="AN260" i="5"/>
  <c r="AN144" i="5"/>
  <c r="AK144" i="5"/>
  <c r="AM144" i="5" s="1"/>
  <c r="AK304" i="5"/>
  <c r="AM304" i="5" s="1"/>
  <c r="AN39" i="5"/>
  <c r="AK171" i="5"/>
  <c r="AM171" i="5" s="1"/>
  <c r="AN276" i="5"/>
  <c r="AK276" i="5"/>
  <c r="AM276" i="5" s="1"/>
  <c r="AN171" i="5"/>
  <c r="AN304" i="5"/>
  <c r="AN124" i="5"/>
  <c r="AK124" i="5"/>
  <c r="AM124" i="5" s="1"/>
  <c r="AK39" i="5"/>
  <c r="AM39" i="5" s="1"/>
  <c r="U12" i="3"/>
  <c r="U111" i="3"/>
  <c r="U117" i="3"/>
  <c r="U80" i="3"/>
  <c r="U68" i="3"/>
  <c r="U84" i="3"/>
  <c r="U83" i="3"/>
  <c r="U70" i="3"/>
  <c r="U54" i="3"/>
  <c r="U25" i="3"/>
  <c r="U135" i="3"/>
  <c r="U100" i="3"/>
  <c r="AN221" i="5"/>
  <c r="AK221" i="5"/>
  <c r="AM221" i="5" s="1"/>
  <c r="AK192" i="5"/>
  <c r="AM192" i="5" s="1"/>
  <c r="AN222" i="5"/>
  <c r="AN87" i="5"/>
  <c r="AK222" i="5"/>
  <c r="AM222" i="5" s="1"/>
  <c r="AK87" i="5"/>
  <c r="AM87" i="5" s="1"/>
  <c r="AK305" i="5"/>
  <c r="AM305" i="5" s="1"/>
  <c r="U305" i="5" s="1"/>
  <c r="U81" i="3"/>
  <c r="U86" i="3"/>
  <c r="U118" i="3"/>
  <c r="AK267" i="5"/>
  <c r="AM267" i="5" s="1"/>
  <c r="AN148" i="5"/>
  <c r="AN267" i="5"/>
  <c r="AK183" i="5"/>
  <c r="AM183" i="5" s="1"/>
  <c r="AK114" i="5"/>
  <c r="AM114" i="5" s="1"/>
  <c r="AN192" i="5"/>
  <c r="AK148" i="5"/>
  <c r="AM148" i="5" s="1"/>
  <c r="AN114" i="5"/>
  <c r="AN239" i="5"/>
  <c r="AK160" i="5"/>
  <c r="AM160" i="5" s="1"/>
  <c r="AN271" i="5"/>
  <c r="AK169" i="5"/>
  <c r="AM169" i="5" s="1"/>
  <c r="AK271" i="5"/>
  <c r="AM271" i="5" s="1"/>
  <c r="AK177" i="5"/>
  <c r="AM177" i="5" s="1"/>
  <c r="AN278" i="5"/>
  <c r="AN286" i="5"/>
  <c r="AK29" i="5"/>
  <c r="AM29" i="5" s="1"/>
  <c r="AN227" i="5"/>
  <c r="AN160" i="5"/>
  <c r="AN169" i="5"/>
  <c r="AK248" i="5"/>
  <c r="AM248" i="5" s="1"/>
  <c r="AK286" i="5"/>
  <c r="AM286" i="5" s="1"/>
  <c r="AK227" i="5"/>
  <c r="AM227" i="5" s="1"/>
  <c r="AN29" i="5"/>
  <c r="AN177" i="5"/>
  <c r="AN248" i="5"/>
  <c r="AK278" i="5"/>
  <c r="AM278" i="5" s="1"/>
  <c r="AN189" i="5"/>
  <c r="U143" i="3"/>
  <c r="U50" i="3"/>
  <c r="U58" i="3"/>
  <c r="U34" i="3"/>
  <c r="U77" i="3"/>
  <c r="U9" i="3"/>
  <c r="U132" i="3"/>
  <c r="U140" i="3"/>
  <c r="AN218" i="5"/>
  <c r="AN113" i="5"/>
  <c r="AK113" i="5"/>
  <c r="AM113" i="5" s="1"/>
  <c r="AN223" i="5"/>
  <c r="U138" i="3"/>
  <c r="U36" i="3"/>
  <c r="U45" i="3"/>
  <c r="U69" i="3"/>
  <c r="U56" i="3"/>
  <c r="AK71" i="5"/>
  <c r="AM71" i="5" s="1"/>
  <c r="AK231" i="5"/>
  <c r="AM231" i="5" s="1"/>
  <c r="AK162" i="5"/>
  <c r="AM162" i="5" s="1"/>
  <c r="AN71" i="5"/>
  <c r="AN110" i="5"/>
  <c r="AK277" i="5"/>
  <c r="AM277" i="5" s="1"/>
  <c r="AK239" i="5"/>
  <c r="AM239" i="5" s="1"/>
  <c r="AN183" i="5"/>
  <c r="AK180" i="5"/>
  <c r="AM180" i="5" s="1"/>
  <c r="AN180" i="5"/>
  <c r="AN134" i="5"/>
  <c r="AK218" i="5"/>
  <c r="AM218" i="5" s="1"/>
  <c r="AK98" i="5"/>
  <c r="AM98" i="5" s="1"/>
  <c r="AN65" i="5"/>
  <c r="AN243" i="5"/>
  <c r="AN31" i="5"/>
  <c r="AN216" i="5"/>
  <c r="AN277" i="5"/>
  <c r="AK245" i="5"/>
  <c r="AM245" i="5" s="1"/>
  <c r="AN136" i="5"/>
  <c r="AK136" i="5"/>
  <c r="AM136" i="5" s="1"/>
  <c r="AN245" i="5"/>
  <c r="AK134" i="5"/>
  <c r="AM134" i="5" s="1"/>
  <c r="AK243" i="5"/>
  <c r="AM243" i="5" s="1"/>
  <c r="AK187" i="5"/>
  <c r="AM187" i="5" s="1"/>
  <c r="AN108" i="5"/>
  <c r="AN101" i="5"/>
  <c r="AN226" i="5"/>
  <c r="AK65" i="5"/>
  <c r="AM65" i="5" s="1"/>
  <c r="AN68" i="5"/>
  <c r="U99" i="3"/>
  <c r="U93" i="3"/>
  <c r="U82" i="3"/>
  <c r="AN35" i="3"/>
  <c r="AK75" i="5"/>
  <c r="AM75" i="5" s="1"/>
  <c r="AN162" i="5"/>
  <c r="AK216" i="5"/>
  <c r="AM216" i="5" s="1"/>
  <c r="AK273" i="5"/>
  <c r="AM273" i="5" s="1"/>
  <c r="AK223" i="5"/>
  <c r="AM223" i="5" s="1"/>
  <c r="AK172" i="5"/>
  <c r="AM172" i="5" s="1"/>
  <c r="AN21" i="5"/>
  <c r="AN235" i="5"/>
  <c r="AK32" i="5"/>
  <c r="AM32" i="5" s="1"/>
  <c r="AN188" i="5"/>
  <c r="AK88" i="5"/>
  <c r="AM88" i="5" s="1"/>
  <c r="AN231" i="5"/>
  <c r="AN145" i="5"/>
  <c r="AN95" i="5"/>
  <c r="AN143" i="5"/>
  <c r="AN98" i="5"/>
  <c r="AN116" i="5"/>
  <c r="AN273" i="5"/>
  <c r="AK129" i="5"/>
  <c r="AM129" i="5" s="1"/>
  <c r="AK110" i="5"/>
  <c r="AM110" i="5" s="1"/>
  <c r="AN34" i="5"/>
  <c r="AK188" i="5"/>
  <c r="AM188" i="5" s="1"/>
  <c r="AK213" i="5"/>
  <c r="AM213" i="5" s="1"/>
  <c r="AN251" i="5"/>
  <c r="AK228" i="5"/>
  <c r="AM228" i="5" s="1"/>
  <c r="AN247" i="5"/>
  <c r="AN80" i="5"/>
  <c r="AK79" i="5"/>
  <c r="AM79" i="5" s="1"/>
  <c r="AK251" i="5"/>
  <c r="AM251" i="5" s="1"/>
  <c r="AN129" i="5"/>
  <c r="AK116" i="5"/>
  <c r="AM116" i="5" s="1"/>
  <c r="AK145" i="5"/>
  <c r="AM145" i="5" s="1"/>
  <c r="AN228" i="5"/>
  <c r="AK143" i="5"/>
  <c r="AM143" i="5" s="1"/>
  <c r="AK247" i="5"/>
  <c r="AM247" i="5" s="1"/>
  <c r="AK235" i="5"/>
  <c r="AM235" i="5" s="1"/>
  <c r="AN213" i="5"/>
  <c r="AK80" i="5"/>
  <c r="AM80" i="5" s="1"/>
  <c r="AK95" i="5"/>
  <c r="AM95" i="5" s="1"/>
  <c r="AK31" i="5"/>
  <c r="AM31" i="5" s="1"/>
  <c r="U89" i="5"/>
  <c r="AK68" i="5"/>
  <c r="AM68" i="5" s="1"/>
  <c r="AN79" i="5"/>
  <c r="AN211" i="5"/>
  <c r="U211" i="5" s="1"/>
  <c r="AN75" i="5"/>
  <c r="AN172" i="5"/>
  <c r="AN104" i="5"/>
  <c r="AK40" i="5"/>
  <c r="AM40" i="5" s="1"/>
  <c r="AK215" i="5"/>
  <c r="AM215" i="5" s="1"/>
  <c r="AK86" i="5"/>
  <c r="AM86" i="5" s="1"/>
  <c r="AK292" i="5"/>
  <c r="AM292" i="5" s="1"/>
  <c r="AN40" i="5"/>
  <c r="AN70" i="5"/>
  <c r="AN122" i="5"/>
  <c r="AN300" i="5"/>
  <c r="AN292" i="5"/>
  <c r="AK21" i="5"/>
  <c r="AM21" i="5" s="1"/>
  <c r="AK167" i="5"/>
  <c r="AM167" i="5" s="1"/>
  <c r="AK261" i="5"/>
  <c r="AM261" i="5" s="1"/>
  <c r="AN47" i="5"/>
  <c r="AN86" i="5"/>
  <c r="AN88" i="5"/>
  <c r="AN154" i="5"/>
  <c r="AK115" i="5"/>
  <c r="AM115" i="5" s="1"/>
  <c r="AK117" i="5"/>
  <c r="AM117" i="5" s="1"/>
  <c r="AN96" i="5"/>
  <c r="AK52" i="5"/>
  <c r="AM52" i="5" s="1"/>
  <c r="AN261" i="5"/>
  <c r="AN167" i="5"/>
  <c r="AK104" i="5"/>
  <c r="AM104" i="5" s="1"/>
  <c r="AK189" i="5"/>
  <c r="AM189" i="5" s="1"/>
  <c r="AN115" i="5"/>
  <c r="AK70" i="5"/>
  <c r="AM70" i="5" s="1"/>
  <c r="AK154" i="5"/>
  <c r="AM154" i="5" s="1"/>
  <c r="AN117" i="5"/>
  <c r="AN232" i="5"/>
  <c r="U69" i="5"/>
  <c r="U195" i="5"/>
  <c r="U244" i="5"/>
  <c r="U173" i="5"/>
  <c r="U64" i="5"/>
  <c r="AK204" i="5"/>
  <c r="AM204" i="5" s="1"/>
  <c r="AN200" i="5"/>
  <c r="AK41" i="5"/>
  <c r="AM41" i="5" s="1"/>
  <c r="AK226" i="5"/>
  <c r="AM226" i="5" s="1"/>
  <c r="AN204" i="5"/>
  <c r="AK99" i="5"/>
  <c r="AM99" i="5" s="1"/>
  <c r="AN187" i="5"/>
  <c r="AK302" i="5"/>
  <c r="AM302" i="5" s="1"/>
  <c r="AK236" i="5"/>
  <c r="AM236" i="5" s="1"/>
  <c r="AK34" i="5"/>
  <c r="AM34" i="5" s="1"/>
  <c r="AK85" i="5"/>
  <c r="AM85" i="5" s="1"/>
  <c r="AN109" i="5"/>
  <c r="AK73" i="5"/>
  <c r="AM73" i="5" s="1"/>
  <c r="AN133" i="5"/>
  <c r="AN237" i="5"/>
  <c r="AN233" i="5"/>
  <c r="AN94" i="5"/>
  <c r="AN41" i="5"/>
  <c r="AK61" i="5"/>
  <c r="AM61" i="5" s="1"/>
  <c r="AN263" i="5"/>
  <c r="AK107" i="5"/>
  <c r="AM107" i="5" s="1"/>
  <c r="AN215" i="5"/>
  <c r="AK47" i="5"/>
  <c r="AM47" i="5" s="1"/>
  <c r="AK96" i="5"/>
  <c r="AM96" i="5" s="1"/>
  <c r="AK157" i="5"/>
  <c r="AM157" i="5" s="1"/>
  <c r="AK232" i="5"/>
  <c r="AM232" i="5" s="1"/>
  <c r="U184" i="5"/>
  <c r="AK147" i="5"/>
  <c r="AM147" i="5" s="1"/>
  <c r="AN52" i="5"/>
  <c r="AK270" i="5"/>
  <c r="AM270" i="5" s="1"/>
  <c r="AK109" i="5"/>
  <c r="AM109" i="5" s="1"/>
  <c r="AN85" i="5"/>
  <c r="AK133" i="5"/>
  <c r="AM133" i="5" s="1"/>
  <c r="AN270" i="5"/>
  <c r="AK200" i="5"/>
  <c r="AM200" i="5" s="1"/>
  <c r="AK186" i="5"/>
  <c r="AM186" i="5" s="1"/>
  <c r="AN236" i="5"/>
  <c r="AK233" i="5"/>
  <c r="AM233" i="5" s="1"/>
  <c r="AN107" i="5"/>
  <c r="AK263" i="5"/>
  <c r="AM263" i="5" s="1"/>
  <c r="AN61" i="5"/>
  <c r="AN73" i="5"/>
  <c r="AK94" i="5"/>
  <c r="AM94" i="5" s="1"/>
  <c r="AK149" i="5"/>
  <c r="AM149" i="5" s="1"/>
  <c r="AK300" i="5"/>
  <c r="AM300" i="5" s="1"/>
  <c r="AN99" i="5"/>
  <c r="AK122" i="5"/>
  <c r="AM122" i="5" s="1"/>
  <c r="AN157" i="5"/>
  <c r="U250" i="5"/>
  <c r="U196" i="5"/>
  <c r="U209" i="5"/>
  <c r="U42" i="5"/>
  <c r="U121" i="5"/>
  <c r="U253" i="5"/>
  <c r="U272" i="5"/>
  <c r="U131" i="5"/>
  <c r="U190" i="5"/>
  <c r="AN149" i="5"/>
  <c r="AN186" i="5"/>
  <c r="U138" i="5"/>
  <c r="U207" i="5"/>
  <c r="U55" i="5"/>
  <c r="U283" i="5"/>
  <c r="U83" i="5"/>
  <c r="AN147" i="5"/>
  <c r="U159" i="5"/>
  <c r="U130" i="5"/>
  <c r="U203" i="5"/>
  <c r="U229" i="5"/>
  <c r="U127" i="5"/>
  <c r="U14" i="3"/>
  <c r="U126" i="5"/>
  <c r="U214" i="5"/>
  <c r="AN93" i="5"/>
  <c r="AK93" i="5"/>
  <c r="AM93" i="5" s="1"/>
  <c r="AN234" i="5"/>
  <c r="AK234" i="5"/>
  <c r="AM234" i="5" s="1"/>
  <c r="AN262" i="5"/>
  <c r="AK262" i="5"/>
  <c r="AM262" i="5" s="1"/>
  <c r="AK101" i="5"/>
  <c r="AM101" i="5" s="1"/>
  <c r="AK275" i="5"/>
  <c r="AM275" i="5" s="1"/>
  <c r="AN275" i="5"/>
  <c r="AN194" i="5"/>
  <c r="AK194" i="5"/>
  <c r="AM194" i="5" s="1"/>
  <c r="AN105" i="5"/>
  <c r="AK105" i="5"/>
  <c r="AM105" i="5" s="1"/>
  <c r="AK237" i="5"/>
  <c r="AM237" i="5" s="1"/>
  <c r="AN32" i="5"/>
  <c r="AK108" i="5"/>
  <c r="AM108" i="5" s="1"/>
  <c r="AK164" i="5"/>
  <c r="AM164" i="5" s="1"/>
  <c r="AN164" i="5"/>
  <c r="U102" i="5"/>
  <c r="AN268" i="5"/>
  <c r="AK268" i="5"/>
  <c r="AM268" i="5" s="1"/>
  <c r="AN208" i="5"/>
  <c r="AK208" i="5"/>
  <c r="AM208" i="5" s="1"/>
  <c r="AK224" i="5"/>
  <c r="AM224" i="5" s="1"/>
  <c r="AN224" i="5"/>
  <c r="AK56" i="5"/>
  <c r="AM56" i="5" s="1"/>
  <c r="AN56" i="5"/>
  <c r="U303" i="5"/>
  <c r="U114" i="3"/>
  <c r="U280" i="5"/>
  <c r="AK35" i="3"/>
  <c r="AM35" i="3" s="1"/>
  <c r="AK176" i="5"/>
  <c r="AM176" i="5" s="1"/>
  <c r="U264" i="5"/>
  <c r="AN302" i="5"/>
  <c r="AN176" i="5"/>
  <c r="AN178" i="5"/>
  <c r="AK178" i="5"/>
  <c r="AM178" i="5" s="1"/>
  <c r="AN306" i="5"/>
  <c r="AK306" i="5"/>
  <c r="AM306" i="5" s="1"/>
  <c r="AN90" i="5"/>
  <c r="AK90" i="5"/>
  <c r="AM90" i="5" s="1"/>
  <c r="AK290" i="5"/>
  <c r="AM290" i="5" s="1"/>
  <c r="AN290" i="5"/>
  <c r="U287" i="5" l="1"/>
  <c r="U260" i="5"/>
  <c r="U45" i="5"/>
  <c r="U144" i="5"/>
  <c r="U105" i="3"/>
  <c r="U304" i="5"/>
  <c r="U39" i="5"/>
  <c r="U276" i="5"/>
  <c r="U171" i="5"/>
  <c r="U124" i="5"/>
  <c r="U114" i="5"/>
  <c r="U222" i="5"/>
  <c r="U183" i="5"/>
  <c r="U160" i="5"/>
  <c r="U239" i="5"/>
  <c r="U267" i="5"/>
  <c r="U227" i="5"/>
  <c r="U177" i="5"/>
  <c r="U109" i="3"/>
  <c r="U169" i="5"/>
  <c r="U148" i="5"/>
  <c r="U87" i="5"/>
  <c r="U271" i="5"/>
  <c r="U221" i="5"/>
  <c r="U21" i="3"/>
  <c r="U192" i="5"/>
  <c r="U110" i="5"/>
  <c r="U223" i="5"/>
  <c r="U162" i="5"/>
  <c r="U277" i="5"/>
  <c r="U218" i="5"/>
  <c r="U278" i="5"/>
  <c r="U189" i="5"/>
  <c r="U248" i="5"/>
  <c r="U286" i="5"/>
  <c r="U29" i="5"/>
  <c r="U113" i="5"/>
  <c r="U101" i="5"/>
  <c r="U32" i="5"/>
  <c r="U95" i="5"/>
  <c r="U71" i="5"/>
  <c r="U136" i="5"/>
  <c r="U231" i="5"/>
  <c r="U180" i="5"/>
  <c r="U134" i="5"/>
  <c r="U216" i="5"/>
  <c r="U34" i="5"/>
  <c r="U108" i="5"/>
  <c r="U300" i="5"/>
  <c r="U243" i="5"/>
  <c r="U31" i="5"/>
  <c r="U187" i="5"/>
  <c r="U245" i="5"/>
  <c r="U65" i="5"/>
  <c r="U98" i="5"/>
  <c r="U68" i="5"/>
  <c r="U226" i="5"/>
  <c r="U273" i="5"/>
  <c r="U145" i="5"/>
  <c r="U75" i="5"/>
  <c r="U235" i="5"/>
  <c r="U35" i="3"/>
  <c r="U21" i="5"/>
  <c r="U143" i="5"/>
  <c r="U188" i="5"/>
  <c r="U167" i="5"/>
  <c r="U47" i="5"/>
  <c r="U80" i="5"/>
  <c r="U213" i="5"/>
  <c r="U122" i="5"/>
  <c r="U88" i="5"/>
  <c r="U228" i="5"/>
  <c r="U172" i="5"/>
  <c r="U154" i="5"/>
  <c r="U116" i="5"/>
  <c r="U204" i="5"/>
  <c r="U99" i="5"/>
  <c r="U104" i="5"/>
  <c r="U129" i="5"/>
  <c r="U261" i="5"/>
  <c r="U79" i="5"/>
  <c r="U247" i="5"/>
  <c r="U292" i="5"/>
  <c r="U251" i="5"/>
  <c r="U61" i="5"/>
  <c r="U233" i="5"/>
  <c r="U263" i="5"/>
  <c r="U149" i="5"/>
  <c r="U133" i="5"/>
  <c r="U107" i="5"/>
  <c r="U236" i="5"/>
  <c r="U96" i="5"/>
  <c r="U117" i="5"/>
  <c r="U215" i="5"/>
  <c r="U109" i="5"/>
  <c r="U85" i="5"/>
  <c r="U41" i="5"/>
  <c r="U40" i="5"/>
  <c r="U115" i="5"/>
  <c r="U70" i="5"/>
  <c r="U52" i="5"/>
  <c r="U86" i="5"/>
  <c r="U147" i="5"/>
  <c r="U237" i="5"/>
  <c r="U186" i="5"/>
  <c r="U200" i="5"/>
  <c r="U157" i="5"/>
  <c r="U94" i="5"/>
  <c r="U232" i="5"/>
  <c r="U73" i="5"/>
  <c r="U302" i="5"/>
  <c r="U270" i="5"/>
  <c r="U224" i="5"/>
  <c r="U105" i="5"/>
  <c r="U275" i="5"/>
  <c r="U234" i="5"/>
  <c r="U93" i="5"/>
  <c r="U194" i="5"/>
  <c r="U176" i="5"/>
  <c r="U208" i="5"/>
  <c r="U164" i="5"/>
  <c r="U268" i="5"/>
  <c r="U56" i="5"/>
  <c r="U178" i="5"/>
  <c r="U290" i="5"/>
  <c r="U90" i="5"/>
  <c r="U306" i="5"/>
  <c r="U262" i="5"/>
  <c r="W9" i="5"/>
  <c r="T9" i="5"/>
  <c r="S9" i="5"/>
  <c r="S12" i="5"/>
  <c r="T12" i="5"/>
  <c r="W12" i="5" s="1"/>
  <c r="S15" i="5"/>
  <c r="T15" i="5" s="1"/>
  <c r="W15" i="5" s="1"/>
  <c r="W16" i="5"/>
  <c r="S16" i="5"/>
  <c r="T16" i="5"/>
</calcChain>
</file>

<file path=xl/sharedStrings.xml><?xml version="1.0" encoding="utf-8"?>
<sst xmlns="http://schemas.openxmlformats.org/spreadsheetml/2006/main" count="3837" uniqueCount="913">
  <si>
    <t>NOM - Prénom</t>
  </si>
  <si>
    <t>P.C.</t>
  </si>
  <si>
    <t>TOTAL</t>
  </si>
  <si>
    <t>Serie</t>
  </si>
  <si>
    <t>IWF</t>
  </si>
  <si>
    <t>NAT</t>
  </si>
  <si>
    <t>Pl</t>
  </si>
  <si>
    <t>Catégorie</t>
  </si>
  <si>
    <t>REG</t>
  </si>
  <si>
    <t>Licence</t>
  </si>
  <si>
    <t>CLUB</t>
  </si>
  <si>
    <t>AN</t>
  </si>
  <si>
    <t>ARR</t>
  </si>
  <si>
    <t>EP-J</t>
  </si>
  <si>
    <t>DATE</t>
  </si>
  <si>
    <t>DEBUTANT</t>
  </si>
  <si>
    <t>DEPARTEMENTAL</t>
  </si>
  <si>
    <t>REGIONAL</t>
  </si>
  <si>
    <t>INTERREGIONAL</t>
  </si>
  <si>
    <t>FEDERAL</t>
  </si>
  <si>
    <t>NATIONAL</t>
  </si>
  <si>
    <t>INTERNATIONAL B</t>
  </si>
  <si>
    <t>INTERNATIONAL A</t>
  </si>
  <si>
    <t>OLYMPIQUE</t>
  </si>
  <si>
    <t>MINIME</t>
  </si>
  <si>
    <t>CADET</t>
  </si>
  <si>
    <t>JUNIOR</t>
  </si>
  <si>
    <t>SENIOR</t>
  </si>
  <si>
    <t>CADETTE</t>
  </si>
  <si>
    <t>NON</t>
  </si>
  <si>
    <t xml:space="preserve">DEB </t>
  </si>
  <si>
    <t>DEP +</t>
  </si>
  <si>
    <t>REG +</t>
  </si>
  <si>
    <t>IRG +</t>
  </si>
  <si>
    <t>FED +</t>
  </si>
  <si>
    <t>NAT +</t>
  </si>
  <si>
    <t>INTB +</t>
  </si>
  <si>
    <t>INTA +</t>
  </si>
  <si>
    <t>OLY +</t>
  </si>
  <si>
    <t>Genre</t>
  </si>
  <si>
    <t>H</t>
  </si>
  <si>
    <t/>
  </si>
  <si>
    <t>DPT +</t>
  </si>
  <si>
    <t>DEB</t>
  </si>
  <si>
    <t>F</t>
  </si>
  <si>
    <t>U15 M49</t>
  </si>
  <si>
    <t>U15 M55</t>
  </si>
  <si>
    <t>U15 M61</t>
  </si>
  <si>
    <t>U15 M67</t>
  </si>
  <si>
    <t>U15 M73</t>
  </si>
  <si>
    <t>U15 M81</t>
  </si>
  <si>
    <t>U15 M89</t>
  </si>
  <si>
    <t>U15 M96</t>
  </si>
  <si>
    <t>U15 M102</t>
  </si>
  <si>
    <t>U15 M&gt;102</t>
  </si>
  <si>
    <t>U17 M49</t>
  </si>
  <si>
    <t>U17 M55</t>
  </si>
  <si>
    <t>U17 M61</t>
  </si>
  <si>
    <t>U17 M67</t>
  </si>
  <si>
    <t>U17 M73</t>
  </si>
  <si>
    <t>U17 M81</t>
  </si>
  <si>
    <t>U17 M89</t>
  </si>
  <si>
    <t>U17 M96</t>
  </si>
  <si>
    <t>U17 M102</t>
  </si>
  <si>
    <t>U17 M&gt;102</t>
  </si>
  <si>
    <t>U20 M55</t>
  </si>
  <si>
    <t>U20 M61</t>
  </si>
  <si>
    <t>U20 M67</t>
  </si>
  <si>
    <t>U20 M73</t>
  </si>
  <si>
    <t>U20 M81</t>
  </si>
  <si>
    <t>U20 M89</t>
  </si>
  <si>
    <t>U20 M96</t>
  </si>
  <si>
    <t>U20 M102</t>
  </si>
  <si>
    <t>U20 M109</t>
  </si>
  <si>
    <t>U20 M&gt;109</t>
  </si>
  <si>
    <t>SE M55</t>
  </si>
  <si>
    <t>SE M61</t>
  </si>
  <si>
    <t>SE M67</t>
  </si>
  <si>
    <t>SE M73</t>
  </si>
  <si>
    <t>SE M81</t>
  </si>
  <si>
    <t>SE M89</t>
  </si>
  <si>
    <t>SE M96</t>
  </si>
  <si>
    <t>SE M102</t>
  </si>
  <si>
    <t>SE M109</t>
  </si>
  <si>
    <t>SE M&gt;109</t>
  </si>
  <si>
    <t>U15 F40</t>
  </si>
  <si>
    <t>U15 F45</t>
  </si>
  <si>
    <t>U15 F49</t>
  </si>
  <si>
    <t>U17 F55</t>
  </si>
  <si>
    <t>U15 F59</t>
  </si>
  <si>
    <t>U15 F64</t>
  </si>
  <si>
    <t>U15 F71</t>
  </si>
  <si>
    <t>U15 F76</t>
  </si>
  <si>
    <t>U15 F81</t>
  </si>
  <si>
    <t>U15 F&gt;81</t>
  </si>
  <si>
    <t>U17 F40</t>
  </si>
  <si>
    <t>U17 F45</t>
  </si>
  <si>
    <t>U15 F55</t>
  </si>
  <si>
    <t>U17 F59</t>
  </si>
  <si>
    <t>U17 F64</t>
  </si>
  <si>
    <t>U17 F71</t>
  </si>
  <si>
    <t>U17 F76</t>
  </si>
  <si>
    <t>U17 F81</t>
  </si>
  <si>
    <t>U17 F&gt;81</t>
  </si>
  <si>
    <t>U17 F49</t>
  </si>
  <si>
    <t>U20 F45</t>
  </si>
  <si>
    <t>U20 F49</t>
  </si>
  <si>
    <t>U20 F55</t>
  </si>
  <si>
    <t>U20 F59</t>
  </si>
  <si>
    <t>U20 F64</t>
  </si>
  <si>
    <t>U20 F71</t>
  </si>
  <si>
    <t>U20 F76</t>
  </si>
  <si>
    <t>U20 F81</t>
  </si>
  <si>
    <t>U20 F87</t>
  </si>
  <si>
    <t>U20 F&gt;87</t>
  </si>
  <si>
    <t>SE F45</t>
  </si>
  <si>
    <t>SE F49</t>
  </si>
  <si>
    <t>SE F55</t>
  </si>
  <si>
    <t>SE F59</t>
  </si>
  <si>
    <t>SE F64</t>
  </si>
  <si>
    <t>SE F71</t>
  </si>
  <si>
    <t>SE F76</t>
  </si>
  <si>
    <t>SE F81</t>
  </si>
  <si>
    <t>SE F87</t>
  </si>
  <si>
    <t>SE F&gt;87</t>
  </si>
  <si>
    <t>FEMININES</t>
  </si>
  <si>
    <t>MASCULINS</t>
  </si>
  <si>
    <t>RONCO</t>
  </si>
  <si>
    <t>Emmanuelle</t>
  </si>
  <si>
    <t>ES VILLENEUVE LOUBET</t>
  </si>
  <si>
    <t>TABACARU</t>
  </si>
  <si>
    <t>Mariana</t>
  </si>
  <si>
    <t>ROU</t>
  </si>
  <si>
    <t>TESTE</t>
  </si>
  <si>
    <t>Flavie</t>
  </si>
  <si>
    <t>PLANCQ</t>
  </si>
  <si>
    <t>Déborah</t>
  </si>
  <si>
    <t>ATTIA</t>
  </si>
  <si>
    <t>Severine</t>
  </si>
  <si>
    <t>ASLDD TOULON</t>
  </si>
  <si>
    <t>FALCOU</t>
  </si>
  <si>
    <t>Cassandra</t>
  </si>
  <si>
    <t>MAILLOT</t>
  </si>
  <si>
    <t>Bahia</t>
  </si>
  <si>
    <t>GIANETTI</t>
  </si>
  <si>
    <t>Margot</t>
  </si>
  <si>
    <t>VORSTER</t>
  </si>
  <si>
    <t>Olna</t>
  </si>
  <si>
    <t>AFR</t>
  </si>
  <si>
    <t>VILLANO</t>
  </si>
  <si>
    <t>Elisabeth</t>
  </si>
  <si>
    <t>FERRARI</t>
  </si>
  <si>
    <t>Elodie</t>
  </si>
  <si>
    <t xml:space="preserve">DARMANI </t>
  </si>
  <si>
    <t>Margaux</t>
  </si>
  <si>
    <t>MASSILIA BARBEL CLUB</t>
  </si>
  <si>
    <t>MANNINA</t>
  </si>
  <si>
    <t>DARIEUX BLONDY</t>
  </si>
  <si>
    <t>Amélie</t>
  </si>
  <si>
    <t>CANOVAS</t>
  </si>
  <si>
    <t xml:space="preserve">Elodie </t>
  </si>
  <si>
    <t>GAUJARD</t>
  </si>
  <si>
    <t>Marine</t>
  </si>
  <si>
    <t>MAZOUZ</t>
  </si>
  <si>
    <t>Sophie</t>
  </si>
  <si>
    <t>GOUDE</t>
  </si>
  <si>
    <t>Zoé</t>
  </si>
  <si>
    <t>DUPEYROUX</t>
  </si>
  <si>
    <t>Elise</t>
  </si>
  <si>
    <t>DE BARROS</t>
  </si>
  <si>
    <t>ISTRES SPORTS</t>
  </si>
  <si>
    <t>GEFFROY</t>
  </si>
  <si>
    <t>Lisa</t>
  </si>
  <si>
    <t>ASPTT DRAGUIGNAN</t>
  </si>
  <si>
    <t>Zoe</t>
  </si>
  <si>
    <t>MORISON</t>
  </si>
  <si>
    <t>DELAHAYE</t>
  </si>
  <si>
    <t>JARREAU</t>
  </si>
  <si>
    <t>Camilla</t>
  </si>
  <si>
    <t>CASTELLANI</t>
  </si>
  <si>
    <t>Laura</t>
  </si>
  <si>
    <t>WAZNI</t>
  </si>
  <si>
    <t>Genevieve</t>
  </si>
  <si>
    <t>BEAUCHET</t>
  </si>
  <si>
    <t>EPSILON BARBEL CLUB</t>
  </si>
  <si>
    <t>NEYRINCK</t>
  </si>
  <si>
    <t>MOSTAERT</t>
  </si>
  <si>
    <t>Eva</t>
  </si>
  <si>
    <t>EPSILON BARBELL CLUB</t>
  </si>
  <si>
    <t>FERRACI</t>
  </si>
  <si>
    <t>Maeva</t>
  </si>
  <si>
    <t>BIBOLE</t>
  </si>
  <si>
    <t>Natacha</t>
  </si>
  <si>
    <t>NICOLAU</t>
  </si>
  <si>
    <t>Stéphanie</t>
  </si>
  <si>
    <t>APAIX</t>
  </si>
  <si>
    <t>ARQUIER</t>
  </si>
  <si>
    <t>Beatrice</t>
  </si>
  <si>
    <t>HC PELISSANNE</t>
  </si>
  <si>
    <t>SUAREZ</t>
  </si>
  <si>
    <t>Sana</t>
  </si>
  <si>
    <t>TUN</t>
  </si>
  <si>
    <t>Marie-Charlotte</t>
  </si>
  <si>
    <t>Ngarlem</t>
  </si>
  <si>
    <t>Kristelle</t>
  </si>
  <si>
    <t>CAN</t>
  </si>
  <si>
    <t>HELOISE</t>
  </si>
  <si>
    <t>EMIE</t>
  </si>
  <si>
    <t>PASCALINE</t>
  </si>
  <si>
    <t>CHLOE</t>
  </si>
  <si>
    <t>NATACHA</t>
  </si>
  <si>
    <t>GAMBIEZ</t>
  </si>
  <si>
    <t>ARBONA</t>
  </si>
  <si>
    <t>ROMANE</t>
  </si>
  <si>
    <t>EEAR MONTEUX</t>
  </si>
  <si>
    <t>GRILLON</t>
  </si>
  <si>
    <t>MARIE ANNE</t>
  </si>
  <si>
    <t>PELLISSIER</t>
  </si>
  <si>
    <t>MELINA</t>
  </si>
  <si>
    <t>CHC MONDRAGON</t>
  </si>
  <si>
    <t>PONS</t>
  </si>
  <si>
    <t>ANAIS</t>
  </si>
  <si>
    <t>GOMEZ</t>
  </si>
  <si>
    <t>ESTIFANIA</t>
  </si>
  <si>
    <t>COL</t>
  </si>
  <si>
    <t>GENEVIEVE</t>
  </si>
  <si>
    <t>UNSS</t>
  </si>
  <si>
    <t>SEVERINE</t>
  </si>
  <si>
    <t>BOYER</t>
  </si>
  <si>
    <t>KRISTINA</t>
  </si>
  <si>
    <t>GIANNOTTI</t>
  </si>
  <si>
    <t>ALJOSCHA</t>
  </si>
  <si>
    <t>DARSIGNY</t>
  </si>
  <si>
    <t>Tali</t>
  </si>
  <si>
    <t>COULLET</t>
  </si>
  <si>
    <t>Anthony</t>
  </si>
  <si>
    <t>REY</t>
  </si>
  <si>
    <t>SOL</t>
  </si>
  <si>
    <t>Guilhaume</t>
  </si>
  <si>
    <t>LAUGIER</t>
  </si>
  <si>
    <t>Jonathan</t>
  </si>
  <si>
    <t>GOLOGAN</t>
  </si>
  <si>
    <t>Marin</t>
  </si>
  <si>
    <t>Rou</t>
  </si>
  <si>
    <t>FOLCHER</t>
  </si>
  <si>
    <t>JOLY</t>
  </si>
  <si>
    <t>Lucas</t>
  </si>
  <si>
    <t>DAVERIO</t>
  </si>
  <si>
    <t>Tiphaine</t>
  </si>
  <si>
    <t>BLAIN</t>
  </si>
  <si>
    <t>CILIA</t>
  </si>
  <si>
    <t>Thomas</t>
  </si>
  <si>
    <t>BRIDIER</t>
  </si>
  <si>
    <t>FABIEN</t>
  </si>
  <si>
    <t>AC MENTON</t>
  </si>
  <si>
    <t>FORESTIERI</t>
  </si>
  <si>
    <t>JORIS</t>
  </si>
  <si>
    <t>WARTELLE</t>
  </si>
  <si>
    <t>EDMOND</t>
  </si>
  <si>
    <t>LEDANT</t>
  </si>
  <si>
    <t>JOHN</t>
  </si>
  <si>
    <t>CAMPS</t>
  </si>
  <si>
    <t>SEBASTIEN</t>
  </si>
  <si>
    <t>THIBAULT</t>
  </si>
  <si>
    <t>PEREZ</t>
  </si>
  <si>
    <t>ENZO</t>
  </si>
  <si>
    <t>LUCAS</t>
  </si>
  <si>
    <t>MOUMEN</t>
  </si>
  <si>
    <t>ARAFET</t>
  </si>
  <si>
    <t>JULLIEN</t>
  </si>
  <si>
    <t>Gabriel</t>
  </si>
  <si>
    <t>ASLDD TOULON 1</t>
  </si>
  <si>
    <t>GALAND</t>
  </si>
  <si>
    <t>Kevin</t>
  </si>
  <si>
    <t>ARNAUD</t>
  </si>
  <si>
    <t>Martin</t>
  </si>
  <si>
    <t>TIEN-YUSONG</t>
  </si>
  <si>
    <t>Jean-Marc</t>
  </si>
  <si>
    <t>BIGGI</t>
  </si>
  <si>
    <t>Marc</t>
  </si>
  <si>
    <t>Colin</t>
  </si>
  <si>
    <t>Franck</t>
  </si>
  <si>
    <t>SEGOT</t>
  </si>
  <si>
    <t>Alexandre</t>
  </si>
  <si>
    <t>RUELLE</t>
  </si>
  <si>
    <t>Steven</t>
  </si>
  <si>
    <t>BARBIER</t>
  </si>
  <si>
    <t>Dylan</t>
  </si>
  <si>
    <t>ZAKRZEWSKI</t>
  </si>
  <si>
    <t>John</t>
  </si>
  <si>
    <t>CHAURAND</t>
  </si>
  <si>
    <t>BUISSON</t>
  </si>
  <si>
    <t>Romain</t>
  </si>
  <si>
    <t>Noa</t>
  </si>
  <si>
    <t>RIBAUDO</t>
  </si>
  <si>
    <t>SAMUEL</t>
  </si>
  <si>
    <t>BAILLEUX</t>
  </si>
  <si>
    <t>CYRIL</t>
  </si>
  <si>
    <t>FABIO</t>
  </si>
  <si>
    <t>GUERIN</t>
  </si>
  <si>
    <t>THEO</t>
  </si>
  <si>
    <t>MARTIN</t>
  </si>
  <si>
    <t>GABRIEL</t>
  </si>
  <si>
    <t>MARIN</t>
  </si>
  <si>
    <t>CLEMENT</t>
  </si>
  <si>
    <t>ROUSSET</t>
  </si>
  <si>
    <t>Hugo</t>
  </si>
  <si>
    <t>PAU</t>
  </si>
  <si>
    <t>WRIGHT</t>
  </si>
  <si>
    <t>Leo</t>
  </si>
  <si>
    <t>MATS</t>
  </si>
  <si>
    <t>ARTHUR</t>
  </si>
  <si>
    <t>BASSET</t>
  </si>
  <si>
    <t>THOMAS</t>
  </si>
  <si>
    <t>AVIGNON SORGUES H</t>
  </si>
  <si>
    <t>ZAPPA</t>
  </si>
  <si>
    <t>Fabien</t>
  </si>
  <si>
    <t>CROSSFIT HYERES</t>
  </si>
  <si>
    <t>KADI</t>
  </si>
  <si>
    <t>YOUNES</t>
  </si>
  <si>
    <t>CHAMPALBERT</t>
  </si>
  <si>
    <t>Arthur</t>
  </si>
  <si>
    <t>AP AIX</t>
  </si>
  <si>
    <t>PAOLO</t>
  </si>
  <si>
    <t>ESVL</t>
  </si>
  <si>
    <t>ORTUNIO</t>
  </si>
  <si>
    <t>Vincent</t>
  </si>
  <si>
    <t>VICENTE</t>
  </si>
  <si>
    <t>FRANCOIS</t>
  </si>
  <si>
    <t>AVIGNON SORGUES HALTERO</t>
  </si>
  <si>
    <t xml:space="preserve">VICENTE </t>
  </si>
  <si>
    <t>François</t>
  </si>
  <si>
    <t>PEDROLA</t>
  </si>
  <si>
    <t>TIEN YU SONG</t>
  </si>
  <si>
    <t>NIGRO</t>
  </si>
  <si>
    <t>FLORIAN</t>
  </si>
  <si>
    <t>HM STE TULLE</t>
  </si>
  <si>
    <t>MILLEREAU</t>
  </si>
  <si>
    <t>MATTHIEU</t>
  </si>
  <si>
    <t>HC NICE</t>
  </si>
  <si>
    <t>GOURRIER</t>
  </si>
  <si>
    <t>BENOIT</t>
  </si>
  <si>
    <t>JOAN</t>
  </si>
  <si>
    <t>BAUDRY</t>
  </si>
  <si>
    <t>MARC</t>
  </si>
  <si>
    <t>BOCHEW</t>
  </si>
  <si>
    <t>JEROME</t>
  </si>
  <si>
    <t>GANDIN</t>
  </si>
  <si>
    <t>Alexis</t>
  </si>
  <si>
    <t>Jmarc</t>
  </si>
  <si>
    <t>CLAUX</t>
  </si>
  <si>
    <t>ANTHONY</t>
  </si>
  <si>
    <t>Edmond</t>
  </si>
  <si>
    <t>Guillaume</t>
  </si>
  <si>
    <t>DARTOUT</t>
  </si>
  <si>
    <t>CAYSAC</t>
  </si>
  <si>
    <t>FOUCHER</t>
  </si>
  <si>
    <t>Morgan</t>
  </si>
  <si>
    <t>HARDOUIN</t>
  </si>
  <si>
    <t>EDOUARD</t>
  </si>
  <si>
    <t>BENABDALLAH</t>
  </si>
  <si>
    <t>Madjid</t>
  </si>
  <si>
    <t>LLORENS</t>
  </si>
  <si>
    <t>Mathieu</t>
  </si>
  <si>
    <t>BERTHEL</t>
  </si>
  <si>
    <t>Yann</t>
  </si>
  <si>
    <t>PADOVANI</t>
  </si>
  <si>
    <t>JULIEN</t>
  </si>
  <si>
    <t>GAALOUL</t>
  </si>
  <si>
    <t>Sami</t>
  </si>
  <si>
    <t>LEOPOLD</t>
  </si>
  <si>
    <t>Laurent</t>
  </si>
  <si>
    <t>DANIEL</t>
  </si>
  <si>
    <t>VILLEMINOT</t>
  </si>
  <si>
    <t>ALEX</t>
  </si>
  <si>
    <t>BARBER</t>
  </si>
  <si>
    <t>CROSSFIT FREJUS</t>
  </si>
  <si>
    <t>ROUX</t>
  </si>
  <si>
    <t>PIERRE</t>
  </si>
  <si>
    <t>CRSSFIT FREJUS</t>
  </si>
  <si>
    <t>DAVY</t>
  </si>
  <si>
    <t>MARTEL</t>
  </si>
  <si>
    <t>FREDERIC</t>
  </si>
  <si>
    <t>OUARDI</t>
  </si>
  <si>
    <t>ADIL</t>
  </si>
  <si>
    <t>DUBOIS</t>
  </si>
  <si>
    <t>VAUGIN</t>
  </si>
  <si>
    <t>Dominique</t>
  </si>
  <si>
    <t>BIZOT</t>
  </si>
  <si>
    <t>JEAN</t>
  </si>
  <si>
    <t>TROUSSIER</t>
  </si>
  <si>
    <t>GUGLIELMETTI</t>
  </si>
  <si>
    <t>MAATOUG</t>
  </si>
  <si>
    <t>Farid</t>
  </si>
  <si>
    <t>HC HYERES</t>
  </si>
  <si>
    <t>COLICCHIO</t>
  </si>
  <si>
    <t>LEO</t>
  </si>
  <si>
    <t>SIRVEN</t>
  </si>
  <si>
    <t>GUILLAUME</t>
  </si>
  <si>
    <t>PUERTO</t>
  </si>
  <si>
    <t>AXEL</t>
  </si>
  <si>
    <t>TALLON</t>
  </si>
  <si>
    <t>DEVLETYAN</t>
  </si>
  <si>
    <t>ALAIN</t>
  </si>
  <si>
    <t>BONICI-MORENO</t>
  </si>
  <si>
    <t>LEBAILLY</t>
  </si>
  <si>
    <t>VANHAMME</t>
  </si>
  <si>
    <t>David</t>
  </si>
  <si>
    <t>WACH</t>
  </si>
  <si>
    <t>Mickael</t>
  </si>
  <si>
    <t>BIGOT</t>
  </si>
  <si>
    <t>MICKAEL</t>
  </si>
  <si>
    <t>KNIGHT</t>
  </si>
  <si>
    <t>TEO</t>
  </si>
  <si>
    <t>COUTELET</t>
  </si>
  <si>
    <t>NEGRI</t>
  </si>
  <si>
    <t>ALEXANDRE</t>
  </si>
  <si>
    <t>KRETTLY</t>
  </si>
  <si>
    <t>AS MONACO</t>
  </si>
  <si>
    <t>JISSANE</t>
  </si>
  <si>
    <t>MICHEL</t>
  </si>
  <si>
    <t>SAVOLDELLI</t>
  </si>
  <si>
    <t>Sebastien</t>
  </si>
  <si>
    <t>DESRUMEAUX</t>
  </si>
  <si>
    <t>NICOLAS</t>
  </si>
  <si>
    <t>BATTAGLIA</t>
  </si>
  <si>
    <t>ERIC</t>
  </si>
  <si>
    <t>BELMAS</t>
  </si>
  <si>
    <t>JEAN PAUL</t>
  </si>
  <si>
    <t>Nicolas</t>
  </si>
  <si>
    <t>JUSTINIEN</t>
  </si>
  <si>
    <t>Eddy</t>
  </si>
  <si>
    <t>SOURD</t>
  </si>
  <si>
    <t>SEVERIN</t>
  </si>
  <si>
    <t>VERGNOL</t>
  </si>
  <si>
    <t>MIKAELIAN</t>
  </si>
  <si>
    <t>LANDAIS</t>
  </si>
  <si>
    <t>RICHET</t>
  </si>
  <si>
    <t xml:space="preserve">FOUR </t>
  </si>
  <si>
    <t>DENIS MONTOYA</t>
  </si>
  <si>
    <t>HC MARSEILLE</t>
  </si>
  <si>
    <t>CEI</t>
  </si>
  <si>
    <t>RAPHAEL</t>
  </si>
  <si>
    <t>ALEXIS</t>
  </si>
  <si>
    <t>NACCARI</t>
  </si>
  <si>
    <t>NATALE</t>
  </si>
  <si>
    <t>JACQUES</t>
  </si>
  <si>
    <t>KATKOV</t>
  </si>
  <si>
    <t>ALEXANDER</t>
  </si>
  <si>
    <t>STEVEN</t>
  </si>
  <si>
    <t>LAURENT</t>
  </si>
  <si>
    <t>AMBS</t>
  </si>
  <si>
    <t>FLORESTAN</t>
  </si>
  <si>
    <t>CALZI</t>
  </si>
  <si>
    <t>CHRISTIAN</t>
  </si>
  <si>
    <t>YOANN</t>
  </si>
  <si>
    <t>J BAPTISTE</t>
  </si>
  <si>
    <t>CUVILLIER</t>
  </si>
  <si>
    <t>MADJID</t>
  </si>
  <si>
    <t>LEFEVBRE</t>
  </si>
  <si>
    <t>MATHIEU</t>
  </si>
  <si>
    <t>YANN</t>
  </si>
  <si>
    <t>GAUTIER</t>
  </si>
  <si>
    <t>SACCO</t>
  </si>
  <si>
    <t>DAVIDE</t>
  </si>
  <si>
    <t>ESPIN</t>
  </si>
  <si>
    <t>BAPTISTE</t>
  </si>
  <si>
    <t>GONDY</t>
  </si>
  <si>
    <t>ORENGO</t>
  </si>
  <si>
    <t>MANUEL</t>
  </si>
  <si>
    <t>RAMOS</t>
  </si>
  <si>
    <t>CALABUIG</t>
  </si>
  <si>
    <t>DAMIEN</t>
  </si>
  <si>
    <t>HERTZOGT</t>
  </si>
  <si>
    <t>AVIGNON SORGUES</t>
  </si>
  <si>
    <t>REYNAUD</t>
  </si>
  <si>
    <t>LOIC</t>
  </si>
  <si>
    <t>HC NOVES</t>
  </si>
  <si>
    <t>SOUCHE</t>
  </si>
  <si>
    <t>CHRISTOPHE</t>
  </si>
  <si>
    <t>DA COSTA</t>
  </si>
  <si>
    <t>TIAGO</t>
  </si>
  <si>
    <t>POR</t>
  </si>
  <si>
    <t>SAIHI</t>
  </si>
  <si>
    <t>GNERUCCI</t>
  </si>
  <si>
    <t>MATTHEW</t>
  </si>
  <si>
    <t>LUKIE</t>
  </si>
  <si>
    <t>SIMON</t>
  </si>
  <si>
    <t>COUPOUX</t>
  </si>
  <si>
    <t>GIRAUD</t>
  </si>
  <si>
    <t>GRANIER</t>
  </si>
  <si>
    <t>NANS</t>
  </si>
  <si>
    <t>JOUVEAU</t>
  </si>
  <si>
    <t>ROSU</t>
  </si>
  <si>
    <t>GREG</t>
  </si>
  <si>
    <t>POUPET</t>
  </si>
  <si>
    <t>REMY</t>
  </si>
  <si>
    <t xml:space="preserve"> -</t>
  </si>
  <si>
    <t>-</t>
  </si>
  <si>
    <t>LISTING REGIONAL   U15 - U17 - U20 - SE</t>
  </si>
  <si>
    <t>LISTING REGIONAL    U15 - U17 - U20 - SE</t>
  </si>
  <si>
    <t>Compétition</t>
  </si>
  <si>
    <t>Lieu</t>
  </si>
  <si>
    <t>1ère Journée du championnat de France des clubs</t>
  </si>
  <si>
    <t>Villeneuve Loubet</t>
  </si>
  <si>
    <t>1er Tour régional par équipe</t>
  </si>
  <si>
    <t>Draguignan</t>
  </si>
  <si>
    <t>1er Challenge Avenir</t>
  </si>
  <si>
    <t>2ème Journée du championnat de France des clubs</t>
  </si>
  <si>
    <t>2ème Challenge Avenir</t>
  </si>
  <si>
    <t>Pélissanne</t>
  </si>
  <si>
    <t>Monteux</t>
  </si>
  <si>
    <t>3ème Journée du championnat de France des clubs</t>
  </si>
  <si>
    <t>Dijon</t>
  </si>
  <si>
    <t>Toulon</t>
  </si>
  <si>
    <t>Tournoi internationnal de France</t>
  </si>
  <si>
    <t>Clermont l'Hérault</t>
  </si>
  <si>
    <t>Saint Marcelin</t>
  </si>
  <si>
    <t>Oyonnax</t>
  </si>
  <si>
    <t>JANKOVITS</t>
  </si>
  <si>
    <t>PENICHON</t>
  </si>
  <si>
    <t>Lea</t>
  </si>
  <si>
    <t>JEAN FRANCOIS</t>
  </si>
  <si>
    <t>Laureen</t>
  </si>
  <si>
    <t>ESTEVES</t>
  </si>
  <si>
    <t>3ème Challenge Avenir</t>
  </si>
  <si>
    <t>2ème Tour régional par équipe</t>
  </si>
  <si>
    <t>LUCA</t>
  </si>
  <si>
    <t>RIVIERE</t>
  </si>
  <si>
    <t>QUENTIN</t>
  </si>
  <si>
    <t>PROVENCE ALPES COTE D'AZUR</t>
  </si>
  <si>
    <t>HASPOT</t>
  </si>
  <si>
    <t>Jeoffrey</t>
  </si>
  <si>
    <t>PELLETIER</t>
  </si>
  <si>
    <t>AUTRAND</t>
  </si>
  <si>
    <t>ALBENGA</t>
  </si>
  <si>
    <t>Linda</t>
  </si>
  <si>
    <t xml:space="preserve">ATTIA </t>
  </si>
  <si>
    <t>VERDAGUER</t>
  </si>
  <si>
    <t>Julie</t>
  </si>
  <si>
    <t>CROSFIT HYERES</t>
  </si>
  <si>
    <t>NOBLAT</t>
  </si>
  <si>
    <t>Alyx</t>
  </si>
  <si>
    <t>SUD</t>
  </si>
  <si>
    <t>MICHEL DEPIERRODON</t>
  </si>
  <si>
    <t>Eliminatoire départemental et championnat départemental</t>
  </si>
  <si>
    <t>EEAR</t>
  </si>
  <si>
    <t>MARTINE</t>
  </si>
  <si>
    <t xml:space="preserve">PAGE </t>
  </si>
  <si>
    <t>BRUNO</t>
  </si>
  <si>
    <t>GIANNOTI</t>
  </si>
  <si>
    <t>SYLVAIN</t>
  </si>
  <si>
    <t>JONATHAN</t>
  </si>
  <si>
    <t>BRIZE</t>
  </si>
  <si>
    <t>LAETITIA</t>
  </si>
  <si>
    <t>Championnat départemental</t>
  </si>
  <si>
    <t>Nice</t>
  </si>
  <si>
    <t>MC</t>
  </si>
  <si>
    <t>PELLERIN</t>
  </si>
  <si>
    <t>SUSIE</t>
  </si>
  <si>
    <t>MASSILIA BARBELL</t>
  </si>
  <si>
    <t>LINDA</t>
  </si>
  <si>
    <t>MELANIE</t>
  </si>
  <si>
    <t>UNBROKEN BARBELL</t>
  </si>
  <si>
    <t>DUQUET</t>
  </si>
  <si>
    <t>ELODIE</t>
  </si>
  <si>
    <t>CROSS FIT EPSILON</t>
  </si>
  <si>
    <t>VATRY</t>
  </si>
  <si>
    <t>AURIANE</t>
  </si>
  <si>
    <t>BISQUERT - NICOLLEAU</t>
  </si>
  <si>
    <t>STEPHANIE</t>
  </si>
  <si>
    <t>SINTES</t>
  </si>
  <si>
    <t>MARION</t>
  </si>
  <si>
    <t>BARTOLI</t>
  </si>
  <si>
    <t>JENNIFER</t>
  </si>
  <si>
    <t>HC PELISSANNAIS</t>
  </si>
  <si>
    <t>BONNAFFOUX</t>
  </si>
  <si>
    <t>FLORY</t>
  </si>
  <si>
    <t>VIALA</t>
  </si>
  <si>
    <t>CAROLINE</t>
  </si>
  <si>
    <t>Eliminatoire départemental des championnats de France</t>
  </si>
  <si>
    <t>Noves</t>
  </si>
  <si>
    <t>CLARA</t>
  </si>
  <si>
    <t>CARLA</t>
  </si>
  <si>
    <t>AURORE</t>
  </si>
  <si>
    <t>FERRACCI</t>
  </si>
  <si>
    <t>AUDREY</t>
  </si>
  <si>
    <t>SERVAL CROSS FIT</t>
  </si>
  <si>
    <t>DESANDRE NAVARRE</t>
  </si>
  <si>
    <t>MARIE</t>
  </si>
  <si>
    <t>CONDE</t>
  </si>
  <si>
    <t>FABIENNE</t>
  </si>
  <si>
    <t>PASTOR</t>
  </si>
  <si>
    <t>LUCILE</t>
  </si>
  <si>
    <t>ASTRID</t>
  </si>
  <si>
    <t>FIRLY</t>
  </si>
  <si>
    <t>JUSTINE</t>
  </si>
  <si>
    <t>JULES</t>
  </si>
  <si>
    <t>MARI</t>
  </si>
  <si>
    <t>ANQUET</t>
  </si>
  <si>
    <t>MASSILLIA BARBELL</t>
  </si>
  <si>
    <t>CHEVALIER</t>
  </si>
  <si>
    <t>VALENTIN</t>
  </si>
  <si>
    <t>SERPE</t>
  </si>
  <si>
    <t>LE NAGARD</t>
  </si>
  <si>
    <t>ROMAIN</t>
  </si>
  <si>
    <t>CAU</t>
  </si>
  <si>
    <t>STEPHANE</t>
  </si>
  <si>
    <t>CASTOR</t>
  </si>
  <si>
    <t>USSEGLIO</t>
  </si>
  <si>
    <t>EPSILLON CROSS FIT</t>
  </si>
  <si>
    <t>MAZZOCHI</t>
  </si>
  <si>
    <t>REMI</t>
  </si>
  <si>
    <t>TOURNEUR</t>
  </si>
  <si>
    <t>ESTEVE</t>
  </si>
  <si>
    <t>LE CALVE</t>
  </si>
  <si>
    <t>THIERRY</t>
  </si>
  <si>
    <t>FLORIANT</t>
  </si>
  <si>
    <t>HERVO</t>
  </si>
  <si>
    <t>CAMPANA</t>
  </si>
  <si>
    <t>LE RHUN</t>
  </si>
  <si>
    <t>ERWANN</t>
  </si>
  <si>
    <t>DEMATTEI-DUBOS</t>
  </si>
  <si>
    <t>RAVELOJAONA</t>
  </si>
  <si>
    <t>HARRY</t>
  </si>
  <si>
    <t>DAVAL</t>
  </si>
  <si>
    <t>BERTRAND</t>
  </si>
  <si>
    <t>WEHR</t>
  </si>
  <si>
    <t>JOEL</t>
  </si>
  <si>
    <t>GETTE</t>
  </si>
  <si>
    <t>Eliminatoire départementale des championnats de France</t>
  </si>
  <si>
    <t>TIRARD</t>
  </si>
  <si>
    <t>Johan</t>
  </si>
  <si>
    <t>US STE TULLE</t>
  </si>
  <si>
    <t>GUILLOU</t>
  </si>
  <si>
    <t>TOURETTE</t>
  </si>
  <si>
    <t>Valentin</t>
  </si>
  <si>
    <t>HCVHYERES</t>
  </si>
  <si>
    <t>CROSFIT FREJUS</t>
  </si>
  <si>
    <t>AYMONIN</t>
  </si>
  <si>
    <t>Eliminatoire départementale et championnat du Var</t>
  </si>
  <si>
    <t>BEVIERRE</t>
  </si>
  <si>
    <t>Theo</t>
  </si>
  <si>
    <t>Jean marc</t>
  </si>
  <si>
    <t>ABRIL</t>
  </si>
  <si>
    <t xml:space="preserve">LANGLOIS </t>
  </si>
  <si>
    <t>Thibault</t>
  </si>
  <si>
    <t>ASPTT Draguignan</t>
  </si>
  <si>
    <t>Colomiers</t>
  </si>
  <si>
    <t>EMMANUELLE</t>
  </si>
  <si>
    <t>N. GARLEM</t>
  </si>
  <si>
    <t>KRISTEL</t>
  </si>
  <si>
    <t>ELISABETH</t>
  </si>
  <si>
    <t>TUDES</t>
  </si>
  <si>
    <t>GUILHEM</t>
  </si>
  <si>
    <t>4ème journée du championnat de France des clubs</t>
  </si>
  <si>
    <t>MARIOTTINI-DARBAS</t>
  </si>
  <si>
    <t>JORDAN</t>
  </si>
  <si>
    <t>Alexandru</t>
  </si>
  <si>
    <t>Remy</t>
  </si>
  <si>
    <t>Finale du championnat régional des clubs</t>
  </si>
  <si>
    <t>Menton</t>
  </si>
  <si>
    <t>SOPHIE</t>
  </si>
  <si>
    <t>MYLENE</t>
  </si>
  <si>
    <t>Jean-Paul</t>
  </si>
  <si>
    <t>Luigi</t>
  </si>
  <si>
    <t>Luca</t>
  </si>
  <si>
    <t>FAKHRI</t>
  </si>
  <si>
    <t>Ayman</t>
  </si>
  <si>
    <t>CHOMIENNE</t>
  </si>
  <si>
    <t>HC MENTON</t>
  </si>
  <si>
    <t>BOUTIER</t>
  </si>
  <si>
    <t>DEB + 12</t>
  </si>
  <si>
    <t>S 102</t>
  </si>
  <si>
    <t>Dorian</t>
  </si>
  <si>
    <t>MUSQUIN</t>
  </si>
  <si>
    <t>Nolan</t>
  </si>
  <si>
    <t>PARDOSI</t>
  </si>
  <si>
    <t>Ethan</t>
  </si>
  <si>
    <t>Geremy</t>
  </si>
  <si>
    <t>BURRIEZ</t>
  </si>
  <si>
    <t>Gael</t>
  </si>
  <si>
    <t>VITIELLO</t>
  </si>
  <si>
    <t>DEFIANAS</t>
  </si>
  <si>
    <t>COMBE</t>
  </si>
  <si>
    <t>Florent</t>
  </si>
  <si>
    <t>ESTIENNE</t>
  </si>
  <si>
    <t>Ludovic</t>
  </si>
  <si>
    <t>TERRISSE</t>
  </si>
  <si>
    <t>DPT +16</t>
  </si>
  <si>
    <t>FONSECA BRAS</t>
  </si>
  <si>
    <t>BONNAFOUX</t>
  </si>
  <si>
    <t>Flory</t>
  </si>
  <si>
    <t>COLLADO</t>
  </si>
  <si>
    <t>3ème tour championnat régional des clubs</t>
  </si>
  <si>
    <t>Hyères</t>
  </si>
  <si>
    <t>3ème tour du championnat régional des clubs</t>
  </si>
  <si>
    <t>SZYSZKA</t>
  </si>
  <si>
    <t xml:space="preserve"> - - -</t>
  </si>
  <si>
    <t>SURIAC</t>
  </si>
  <si>
    <t>Monaco</t>
  </si>
  <si>
    <t>Sorgues</t>
  </si>
  <si>
    <t>Comines</t>
  </si>
  <si>
    <t>Sorguez</t>
  </si>
  <si>
    <t>Villeneuve-Loubet</t>
  </si>
  <si>
    <t>Eliminatoire régionale</t>
  </si>
  <si>
    <t>Manon</t>
  </si>
  <si>
    <t>SAMMY</t>
  </si>
  <si>
    <t>MATHILDE</t>
  </si>
  <si>
    <t>ATHLETIC PAYS AIXOIS</t>
  </si>
  <si>
    <t>TEISSIER</t>
  </si>
  <si>
    <t>Istres</t>
  </si>
  <si>
    <t>CHAUBET</t>
  </si>
  <si>
    <t>TOUMI BRADLEY</t>
  </si>
  <si>
    <t>1er tour de la Coupe de France</t>
  </si>
  <si>
    <t>RAFFA</t>
  </si>
  <si>
    <t>Morgana</t>
  </si>
  <si>
    <t>Mylène</t>
  </si>
  <si>
    <t xml:space="preserve">GALAND </t>
  </si>
  <si>
    <t>x</t>
  </si>
  <si>
    <t>OLIER</t>
  </si>
  <si>
    <t>Thibaud</t>
  </si>
  <si>
    <t>EUDES-GARCIN</t>
  </si>
  <si>
    <t>CIAMOS</t>
  </si>
  <si>
    <t>MARINE</t>
  </si>
  <si>
    <t>ESPINAS</t>
  </si>
  <si>
    <t>MANUELA</t>
  </si>
  <si>
    <t>PLANQUET</t>
  </si>
  <si>
    <t>BENACQUA</t>
  </si>
  <si>
    <t>VITERBO</t>
  </si>
  <si>
    <t>BARONCHELLI</t>
  </si>
  <si>
    <t>MELODY</t>
  </si>
  <si>
    <t>AMADIEU</t>
  </si>
  <si>
    <t>LAURENE</t>
  </si>
  <si>
    <t>BREDA</t>
  </si>
  <si>
    <t>OLIVIER</t>
  </si>
  <si>
    <t>MAKARTCHIK</t>
  </si>
  <si>
    <t>VITALY</t>
  </si>
  <si>
    <t>JOUVENTE</t>
  </si>
  <si>
    <t>JAMES</t>
  </si>
  <si>
    <t>BERMOND</t>
  </si>
  <si>
    <t>KATE</t>
  </si>
  <si>
    <t>DEPP</t>
  </si>
  <si>
    <t>AURELIE</t>
  </si>
  <si>
    <t>LUPANO</t>
  </si>
  <si>
    <t>HERBIN</t>
  </si>
  <si>
    <t>ANTOINE</t>
  </si>
  <si>
    <t>DAUMAS</t>
  </si>
  <si>
    <t>CERCIARINI</t>
  </si>
  <si>
    <t>VERONIQUE</t>
  </si>
  <si>
    <t>JEANNY-EVANISTE</t>
  </si>
  <si>
    <t>ANNICK</t>
  </si>
  <si>
    <t>HOLMES</t>
  </si>
  <si>
    <t>MASSYN</t>
  </si>
  <si>
    <t>VALLOTTI</t>
  </si>
  <si>
    <t>ELISE</t>
  </si>
  <si>
    <t>MARCHAND</t>
  </si>
  <si>
    <t>MELISSA</t>
  </si>
  <si>
    <t>SCOTTO</t>
  </si>
  <si>
    <t>PAUL</t>
  </si>
  <si>
    <t>MARSALEIK</t>
  </si>
  <si>
    <t>TEROL</t>
  </si>
  <si>
    <t>STEPHEN</t>
  </si>
  <si>
    <t>GILLES-ZANUCCHI</t>
  </si>
  <si>
    <t>OLIVIA</t>
  </si>
  <si>
    <t>TOUSSAINT</t>
  </si>
  <si>
    <t>JADE</t>
  </si>
  <si>
    <t>LECLERCQ</t>
  </si>
  <si>
    <t>RODRIGUEZ</t>
  </si>
  <si>
    <t>STEVE</t>
  </si>
  <si>
    <t>MOSCA</t>
  </si>
  <si>
    <t>DAVID</t>
  </si>
  <si>
    <t>SILVESTRI</t>
  </si>
  <si>
    <t>SABINE</t>
  </si>
  <si>
    <t>GINESY</t>
  </si>
  <si>
    <t>SILENE</t>
  </si>
  <si>
    <t>DELZANT</t>
  </si>
  <si>
    <t>CAMBON</t>
  </si>
  <si>
    <t>MAXIME</t>
  </si>
  <si>
    <t>MEDAGLIA</t>
  </si>
  <si>
    <t>ICART</t>
  </si>
  <si>
    <t>SAUVAYRE</t>
  </si>
  <si>
    <t>PAUL LOUIS</t>
  </si>
  <si>
    <t>MATTEO</t>
  </si>
  <si>
    <t>HERTZOG</t>
  </si>
  <si>
    <t>BENJAMIN</t>
  </si>
  <si>
    <t>BOUTEILLER</t>
  </si>
  <si>
    <t>WILLIAM</t>
  </si>
  <si>
    <t>SERGUIER</t>
  </si>
  <si>
    <t>BRICE</t>
  </si>
  <si>
    <t>MARRAS</t>
  </si>
  <si>
    <t>AUPHELIE</t>
  </si>
  <si>
    <t>LUCHARD</t>
  </si>
  <si>
    <t>Renaud</t>
  </si>
  <si>
    <t>NANTHAVONG</t>
  </si>
  <si>
    <t>Chanty</t>
  </si>
  <si>
    <t>UNBROKEN BARBEL CLUB</t>
  </si>
  <si>
    <t>NGUYEN</t>
  </si>
  <si>
    <t>Tai</t>
  </si>
  <si>
    <t>CHALARD</t>
  </si>
  <si>
    <t>Patrick</t>
  </si>
  <si>
    <t>MOUNOUSSAMY</t>
  </si>
  <si>
    <t>Loic</t>
  </si>
  <si>
    <t>MANFFRIN</t>
  </si>
  <si>
    <t>Igor</t>
  </si>
  <si>
    <t>4ème Challenge Avenir</t>
  </si>
  <si>
    <t>Marseille</t>
  </si>
  <si>
    <t xml:space="preserve">RAFFA </t>
  </si>
  <si>
    <t xml:space="preserve">JEAN FRANCOIS </t>
  </si>
  <si>
    <t>ARZEL</t>
  </si>
  <si>
    <t>TAPPAZ</t>
  </si>
  <si>
    <t>Stephanie</t>
  </si>
  <si>
    <t>RASOLAFONDRAIBE</t>
  </si>
  <si>
    <t>Roman</t>
  </si>
  <si>
    <t>BARBEZANGE</t>
  </si>
  <si>
    <t>Axel</t>
  </si>
  <si>
    <t>BIDELLO</t>
  </si>
  <si>
    <t>GIULIANO</t>
  </si>
  <si>
    <t>PESISTICA ALIANO</t>
  </si>
  <si>
    <t>IT</t>
  </si>
  <si>
    <t>LANDRAIN</t>
  </si>
  <si>
    <t xml:space="preserve">TERRISSE </t>
  </si>
  <si>
    <t>BENHAMIDA</t>
  </si>
  <si>
    <t>MOUNIR</t>
  </si>
  <si>
    <t>CAILLET BOUTEILLE</t>
  </si>
  <si>
    <t>MAEL</t>
  </si>
  <si>
    <t>LAiMECHE</t>
  </si>
  <si>
    <t>ZAKARY</t>
  </si>
  <si>
    <t>KARSTEN</t>
  </si>
  <si>
    <t>Mondragon</t>
  </si>
  <si>
    <t>Marie-Anne</t>
  </si>
  <si>
    <t>DPT + 1</t>
  </si>
  <si>
    <t>LANDRY</t>
  </si>
  <si>
    <t>AUDE</t>
  </si>
  <si>
    <t>DEB 2</t>
  </si>
  <si>
    <t>GARCIA</t>
  </si>
  <si>
    <t>DEB -3</t>
  </si>
  <si>
    <t>REG + 10</t>
  </si>
  <si>
    <t>DPT + 5</t>
  </si>
  <si>
    <t>DEB 6</t>
  </si>
  <si>
    <t>LOMBARD</t>
  </si>
  <si>
    <t>JEAN LUC</t>
  </si>
  <si>
    <t>DPT + 10</t>
  </si>
  <si>
    <t>DEB -20</t>
  </si>
  <si>
    <t>BRUNET</t>
  </si>
  <si>
    <t>DEB -36</t>
  </si>
  <si>
    <t>Eliminatoire de Ligue</t>
  </si>
  <si>
    <t>ASIA</t>
  </si>
  <si>
    <t>FRA</t>
  </si>
  <si>
    <t>Championnats de France FFSU</t>
  </si>
  <si>
    <t>Toulouse</t>
  </si>
  <si>
    <t>P200023435</t>
  </si>
  <si>
    <t>UNIVERSITE TOULON</t>
  </si>
  <si>
    <t>Championnats de France par équipes de Ligues</t>
  </si>
  <si>
    <t>Durstel</t>
  </si>
  <si>
    <t>UNBROKEN BARBELL CLUB</t>
  </si>
  <si>
    <t>Championnat Sud 2019</t>
  </si>
  <si>
    <t>DENIS-MEYER</t>
  </si>
  <si>
    <t>Emma</t>
  </si>
  <si>
    <t>N'GANGA</t>
  </si>
  <si>
    <t>Championnats de France Masters</t>
  </si>
  <si>
    <t>Luxueil-les-Bains</t>
  </si>
  <si>
    <t>AC PAYS D'AIX</t>
  </si>
  <si>
    <t>Martine</t>
  </si>
  <si>
    <t>Jérôme</t>
  </si>
  <si>
    <t>Eric</t>
  </si>
  <si>
    <t>Jean-Pierre</t>
  </si>
  <si>
    <t>Grand Prix Fédéral</t>
  </si>
  <si>
    <t>Châteauroux</t>
  </si>
  <si>
    <t>Krystel</t>
  </si>
  <si>
    <t>Benoït</t>
  </si>
  <si>
    <t>Edouard</t>
  </si>
  <si>
    <t>BORNE</t>
  </si>
  <si>
    <t>Faustin</t>
  </si>
  <si>
    <t>Championnats de France UNSS</t>
  </si>
  <si>
    <t>Evry</t>
  </si>
  <si>
    <t>Marc-Andréa</t>
  </si>
  <si>
    <t>BRUN</t>
  </si>
  <si>
    <t>Lucile</t>
  </si>
  <si>
    <t>GUILLEMARD</t>
  </si>
  <si>
    <t>Iris</t>
  </si>
  <si>
    <t>Finale Coupe de France des Clubs</t>
  </si>
  <si>
    <t>Caen</t>
  </si>
  <si>
    <t>Benoît</t>
  </si>
  <si>
    <t>DAUVERGNE</t>
  </si>
  <si>
    <t>Evan</t>
  </si>
  <si>
    <t>Championnats de France Elite</t>
  </si>
  <si>
    <t>La Ferté-Milon</t>
  </si>
  <si>
    <t>Louisiane</t>
  </si>
  <si>
    <t>Fabienne</t>
  </si>
  <si>
    <t>Fabio</t>
  </si>
  <si>
    <t>Anaïs</t>
  </si>
  <si>
    <t>Challenge d'été</t>
  </si>
  <si>
    <t>PLAINDOUX</t>
  </si>
  <si>
    <t>ERIKA</t>
  </si>
  <si>
    <t>BENDJILLALI</t>
  </si>
  <si>
    <t>TIPHANIE</t>
  </si>
  <si>
    <t>GIUSTI</t>
  </si>
  <si>
    <t>CLAIRE</t>
  </si>
  <si>
    <t>DUREZ</t>
  </si>
  <si>
    <t>BEY</t>
  </si>
  <si>
    <t>ZELIAN</t>
  </si>
  <si>
    <t>HONNORAT</t>
  </si>
  <si>
    <t>RENAUD</t>
  </si>
  <si>
    <t>DEVOTI</t>
  </si>
  <si>
    <t>YOAN</t>
  </si>
  <si>
    <t>TAI</t>
  </si>
  <si>
    <t>SEIVE</t>
  </si>
  <si>
    <t>VICTORIEN</t>
  </si>
  <si>
    <t>LASFARGUES</t>
  </si>
  <si>
    <t>Trophée Jean-Marie CHANUT</t>
  </si>
  <si>
    <t>Figeac</t>
  </si>
  <si>
    <t>DORIAN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</si>
</sst>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0.0"/>
    <numFmt numFmtId="166" formatCode="yy"/>
    <numFmt numFmtId="167" formatCode="[$-40C]d\-mmm\-yy;@"/>
    <numFmt numFmtId="168" formatCode="dd/mm/yy;@"/>
  </numFmts>
  <fonts count="67" x14ac:knownFonts="1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0"/>
      <color indexed="12"/>
      <name val="Arial"/>
      <family val="2"/>
    </font>
    <font>
      <b/>
      <sz val="11"/>
      <color indexed="9"/>
      <name val="Arial"/>
      <family val="2"/>
    </font>
    <font>
      <b/>
      <sz val="11"/>
      <color indexed="55"/>
      <name val="Arial"/>
      <family val="2"/>
    </font>
    <font>
      <b/>
      <sz val="18"/>
      <color indexed="55"/>
      <name val="Arial"/>
      <family val="2"/>
    </font>
    <font>
      <b/>
      <sz val="20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b/>
      <sz val="11"/>
      <color indexed="10"/>
      <name val="Arial"/>
      <family val="2"/>
    </font>
    <font>
      <b/>
      <sz val="16"/>
      <color theme="0"/>
      <name val="Arial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b/>
      <sz val="10"/>
      <color indexed="55"/>
      <name val="Arial"/>
      <family val="2"/>
    </font>
    <font>
      <b/>
      <sz val="9"/>
      <color theme="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indexed="8"/>
      <name val="Arial"/>
      <family val="2"/>
    </font>
    <font>
      <b/>
      <sz val="14"/>
      <color theme="5" tint="-0.249977111117893"/>
      <name val="Arial"/>
      <family val="2"/>
    </font>
    <font>
      <b/>
      <sz val="18"/>
      <color theme="5" tint="-0.249977111117893"/>
      <name val="Arial"/>
      <family val="2"/>
    </font>
    <font>
      <b/>
      <sz val="8"/>
      <name val="Arial"/>
      <family val="2"/>
    </font>
    <font>
      <b/>
      <sz val="18"/>
      <color rgb="FF0000FF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b/>
      <sz val="26"/>
      <color theme="0"/>
      <name val="Arial"/>
      <family val="2"/>
    </font>
    <font>
      <b/>
      <sz val="14"/>
      <color rgb="FF0000FF"/>
      <name val="Arial"/>
      <family val="2"/>
    </font>
    <font>
      <b/>
      <sz val="14"/>
      <color rgb="FFFF00FF"/>
      <name val="Arial"/>
      <family val="2"/>
    </font>
    <font>
      <sz val="10"/>
      <name val="Arial"/>
    </font>
    <font>
      <b/>
      <sz val="11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2"/>
      <name val="Arial"/>
      <family val="2"/>
    </font>
    <font>
      <b/>
      <sz val="11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8"/>
      <color indexed="8"/>
      <name val="Arial"/>
      <family val="2"/>
    </font>
    <font>
      <b/>
      <sz val="18"/>
      <color theme="1" tint="4.9989318521683403E-2"/>
      <name val="Arial"/>
      <family val="2"/>
    </font>
    <font>
      <b/>
      <sz val="11"/>
      <color theme="1" tint="4.9989318521683403E-2"/>
      <name val="Arial"/>
      <family val="2"/>
    </font>
    <font>
      <b/>
      <sz val="12"/>
      <color theme="1" tint="4.9989318521683403E-2"/>
      <name val="Arial"/>
      <family val="2"/>
    </font>
    <font>
      <b/>
      <sz val="14"/>
      <color theme="1" tint="4.9989318521683403E-2"/>
      <name val="Arial"/>
      <family val="2"/>
    </font>
    <font>
      <b/>
      <sz val="16"/>
      <color rgb="FF0000FF"/>
      <name val="Arial"/>
      <family val="2"/>
    </font>
    <font>
      <b/>
      <sz val="20"/>
      <color indexed="8"/>
      <name val="Arial"/>
      <family val="2"/>
    </font>
    <font>
      <b/>
      <sz val="11"/>
      <color rgb="FF0033CC"/>
      <name val="Arial"/>
      <family val="2"/>
    </font>
    <font>
      <b/>
      <sz val="16"/>
      <color rgb="FFFF0000"/>
      <name val="Arial"/>
      <family val="2"/>
    </font>
    <font>
      <b/>
      <sz val="9"/>
      <color indexed="8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sz val="28"/>
      <color rgb="FFFF00FF"/>
      <name val="Arial"/>
      <family val="2"/>
    </font>
    <font>
      <b/>
      <sz val="16"/>
      <color indexed="8"/>
      <name val="Arial"/>
      <family val="2"/>
    </font>
    <font>
      <b/>
      <sz val="16"/>
      <color indexed="55"/>
      <name val="Arial"/>
      <family val="2"/>
    </font>
    <font>
      <b/>
      <sz val="11"/>
      <color theme="0"/>
      <name val="Arial"/>
      <family val="2"/>
    </font>
    <font>
      <b/>
      <sz val="11"/>
      <color indexed="12"/>
      <name val="Arial"/>
      <family val="2"/>
    </font>
    <font>
      <b/>
      <sz val="12"/>
      <color indexed="55"/>
      <name val="Arial"/>
      <family val="2"/>
    </font>
    <font>
      <b/>
      <sz val="12"/>
      <color theme="5" tint="-0.249977111117893"/>
      <name val="Arial"/>
      <family val="2"/>
    </font>
    <font>
      <b/>
      <sz val="12"/>
      <color indexed="10"/>
      <name val="Arial"/>
      <family val="2"/>
    </font>
    <font>
      <b/>
      <sz val="12"/>
      <color rgb="FF0000FF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b/>
      <sz val="16"/>
      <color indexed="12"/>
      <name val="Arial"/>
      <family val="2"/>
    </font>
    <font>
      <b/>
      <sz val="18"/>
      <color indexed="60"/>
      <name val="Arial"/>
      <family val="2"/>
    </font>
    <font>
      <b/>
      <sz val="10"/>
      <color theme="1" tint="4.9989318521683403E-2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5"/>
        <bgColor indexed="64"/>
      </patternFill>
    </fill>
  </fills>
  <borders count="95">
    <border>
      <left/>
      <right/>
      <top/>
      <bottom/>
      <diagonal/>
    </border>
    <border>
      <left/>
      <right style="medium">
        <color theme="5" tint="-0.24994659260841701"/>
      </right>
      <top/>
      <bottom/>
      <diagonal/>
    </border>
    <border>
      <left style="medium">
        <color theme="5" tint="-0.24994659260841701"/>
      </left>
      <right/>
      <top style="medium">
        <color theme="5" tint="-0.24994659260841701"/>
      </top>
      <bottom/>
      <diagonal/>
    </border>
    <border>
      <left/>
      <right/>
      <top style="medium">
        <color theme="5" tint="-0.24994659260841701"/>
      </top>
      <bottom/>
      <diagonal/>
    </border>
    <border>
      <left/>
      <right style="medium">
        <color theme="5" tint="-0.24994659260841701"/>
      </right>
      <top style="medium">
        <color theme="5" tint="-0.24994659260841701"/>
      </top>
      <bottom/>
      <diagonal/>
    </border>
    <border>
      <left style="medium">
        <color theme="5" tint="-0.24994659260841701"/>
      </left>
      <right/>
      <top/>
      <bottom style="medium">
        <color theme="5" tint="-0.24994659260841701"/>
      </bottom>
      <diagonal/>
    </border>
    <border>
      <left/>
      <right/>
      <top/>
      <bottom style="medium">
        <color theme="5" tint="-0.24994659260841701"/>
      </bottom>
      <diagonal/>
    </border>
    <border>
      <left/>
      <right style="medium">
        <color theme="5" tint="-0.24994659260841701"/>
      </right>
      <top/>
      <bottom style="medium">
        <color theme="5" tint="-0.24994659260841701"/>
      </bottom>
      <diagonal/>
    </border>
    <border>
      <left style="medium">
        <color theme="5" tint="-0.24994659260841701"/>
      </left>
      <right/>
      <top style="medium">
        <color theme="5" tint="-0.24994659260841701"/>
      </top>
      <bottom style="medium">
        <color theme="5" tint="-0.24994659260841701"/>
      </bottom>
      <diagonal/>
    </border>
    <border>
      <left/>
      <right/>
      <top style="medium">
        <color theme="5" tint="-0.24994659260841701"/>
      </top>
      <bottom style="medium">
        <color theme="5" tint="-0.24994659260841701"/>
      </bottom>
      <diagonal/>
    </border>
    <border>
      <left/>
      <right style="medium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medium">
        <color theme="5" tint="-0.24994659260841701"/>
      </left>
      <right style="thin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hair">
        <color theme="5" tint="-0.24994659260841701"/>
      </left>
      <right style="medium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thin">
        <color theme="5" tint="-0.24994659260841701"/>
      </left>
      <right style="medium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hair">
        <color theme="5" tint="-0.24994659260841701"/>
      </left>
      <right style="medium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medium">
        <color theme="5" tint="-0.24994659260841701"/>
      </left>
      <right style="thin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thin">
        <color theme="5" tint="-0.24994659260841701"/>
      </left>
      <right style="medium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medium">
        <color theme="5" tint="-0.24994659260841701"/>
      </left>
      <right style="thin">
        <color theme="5" tint="-0.24994659260841701"/>
      </right>
      <top/>
      <bottom style="dashed">
        <color theme="5" tint="-0.24994659260841701"/>
      </bottom>
      <diagonal/>
    </border>
    <border>
      <left style="hair">
        <color theme="5" tint="-0.24994659260841701"/>
      </left>
      <right style="medium">
        <color theme="5" tint="-0.24994659260841701"/>
      </right>
      <top/>
      <bottom style="dashed">
        <color theme="5" tint="-0.24994659260841701"/>
      </bottom>
      <diagonal/>
    </border>
    <border>
      <left style="thin">
        <color theme="5" tint="-0.24994659260841701"/>
      </left>
      <right style="medium">
        <color theme="5" tint="-0.24994659260841701"/>
      </right>
      <top/>
      <bottom style="dashed">
        <color theme="5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5" tint="-0.24994659260841701"/>
      </left>
      <right/>
      <top/>
      <bottom style="dashed">
        <color theme="5" tint="-0.2499465926084170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theme="5" tint="-0.24994659260841701"/>
      </left>
      <right style="medium">
        <color theme="5" tint="-0.24994659260841701"/>
      </right>
      <top style="dashed">
        <color theme="5" tint="-0.24994659260841701"/>
      </top>
      <bottom/>
      <diagonal/>
    </border>
    <border>
      <left style="medium">
        <color theme="5" tint="-0.24994659260841701"/>
      </left>
      <right style="thin">
        <color theme="5" tint="-0.24994659260841701"/>
      </right>
      <top style="dashed">
        <color theme="5" tint="-0.24994659260841701"/>
      </top>
      <bottom/>
      <diagonal/>
    </border>
    <border>
      <left style="thin">
        <color theme="5" tint="-0.24994659260841701"/>
      </left>
      <right style="thin">
        <color theme="5" tint="-0.24994659260841701"/>
      </right>
      <top style="dashed">
        <color theme="5" tint="-0.24994659260841701"/>
      </top>
      <bottom/>
      <diagonal/>
    </border>
    <border>
      <left style="thin">
        <color theme="5" tint="-0.24994659260841701"/>
      </left>
      <right style="medium">
        <color theme="5" tint="-0.24994659260841701"/>
      </right>
      <top style="dashed">
        <color theme="5" tint="-0.2499465926084170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B0F0"/>
      </left>
      <right style="thin">
        <color rgb="FF00B0F0"/>
      </right>
      <top style="dashed">
        <color rgb="FF00B0F0"/>
      </top>
      <bottom style="dashed">
        <color rgb="FF00B0F0"/>
      </bottom>
      <diagonal/>
    </border>
    <border>
      <left style="thin">
        <color theme="5" tint="-0.24994659260841701"/>
      </left>
      <right style="thin">
        <color theme="5" tint="-0.24994659260841701"/>
      </right>
      <top/>
      <bottom style="dashed">
        <color theme="5" tint="-0.24994659260841701"/>
      </bottom>
      <diagonal/>
    </border>
    <border>
      <left style="thin">
        <color theme="5" tint="-0.24994659260841701"/>
      </left>
      <right style="hair">
        <color theme="5" tint="-0.24994659260841701"/>
      </right>
      <top/>
      <bottom style="dashed">
        <color theme="5" tint="-0.24994659260841701"/>
      </bottom>
      <diagonal/>
    </border>
    <border>
      <left style="hair">
        <color theme="5" tint="-0.24994659260841701"/>
      </left>
      <right style="thin">
        <color theme="5" tint="-0.24994659260841701"/>
      </right>
      <top/>
      <bottom style="dashed">
        <color theme="5" tint="-0.24994659260841701"/>
      </bottom>
      <diagonal/>
    </border>
    <border>
      <left/>
      <right style="medium">
        <color theme="5" tint="-0.24994659260841701"/>
      </right>
      <top/>
      <bottom style="dashed">
        <color theme="5" tint="-0.24994659260841701"/>
      </bottom>
      <diagonal/>
    </border>
    <border>
      <left style="medium">
        <color theme="5" tint="-0.24994659260841701"/>
      </left>
      <right style="hair">
        <color theme="5" tint="-0.24994659260841701"/>
      </right>
      <top/>
      <bottom style="dashed">
        <color theme="5" tint="-0.24994659260841701"/>
      </bottom>
      <diagonal/>
    </border>
    <border>
      <left style="hair">
        <color theme="5" tint="-0.24994659260841701"/>
      </left>
      <right style="hair">
        <color theme="5" tint="-0.24994659260841701"/>
      </right>
      <top/>
      <bottom style="dashed">
        <color theme="5" tint="-0.24994659260841701"/>
      </bottom>
      <diagonal/>
    </border>
    <border>
      <left style="thin">
        <color theme="5" tint="-0.24994659260841701"/>
      </left>
      <right style="hair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hair">
        <color theme="5" tint="-0.24994659260841701"/>
      </left>
      <right style="thin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/>
      <right style="medium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medium">
        <color theme="5" tint="-0.24994659260841701"/>
      </left>
      <right style="hair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hair">
        <color theme="5" tint="-0.24994659260841701"/>
      </left>
      <right style="hair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medium">
        <color theme="5" tint="-0.24994659260841701"/>
      </top>
      <bottom style="dashed">
        <color theme="5" tint="-0.24994659260841701"/>
      </bottom>
      <diagonal/>
    </border>
    <border>
      <left style="thin">
        <color theme="5" tint="-0.24994659260841701"/>
      </left>
      <right style="hair">
        <color theme="5" tint="-0.24994659260841701"/>
      </right>
      <top style="medium">
        <color theme="5" tint="-0.24994659260841701"/>
      </top>
      <bottom style="dashed">
        <color theme="5" tint="-0.24994659260841701"/>
      </bottom>
      <diagonal/>
    </border>
    <border>
      <left style="hair">
        <color theme="5" tint="-0.24994659260841701"/>
      </left>
      <right style="thin">
        <color theme="5" tint="-0.24994659260841701"/>
      </right>
      <top style="medium">
        <color theme="5" tint="-0.24994659260841701"/>
      </top>
      <bottom style="dashed">
        <color theme="5" tint="-0.24994659260841701"/>
      </bottom>
      <diagonal/>
    </border>
    <border>
      <left style="thin">
        <color theme="5" tint="-0.24994659260841701"/>
      </left>
      <right/>
      <top style="dashed">
        <color theme="5" tint="-0.24994659260841701"/>
      </top>
      <bottom style="dashed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dashed">
        <color theme="5" tint="-0.24994659260841701"/>
      </top>
      <bottom style="medium">
        <color theme="5" tint="-0.24994659260841701"/>
      </bottom>
      <diagonal/>
    </border>
    <border>
      <left style="thin">
        <color theme="5" tint="-0.24994659260841701"/>
      </left>
      <right style="hair">
        <color theme="5" tint="-0.24994659260841701"/>
      </right>
      <top style="dashed">
        <color theme="5" tint="-0.24994659260841701"/>
      </top>
      <bottom style="medium">
        <color theme="5" tint="-0.24994659260841701"/>
      </bottom>
      <diagonal/>
    </border>
    <border>
      <left style="hair">
        <color theme="5" tint="-0.24994659260841701"/>
      </left>
      <right style="thin">
        <color theme="5" tint="-0.24994659260841701"/>
      </right>
      <top style="dashed">
        <color theme="5" tint="-0.24994659260841701"/>
      </top>
      <bottom style="medium">
        <color theme="5" tint="-0.24994659260841701"/>
      </bottom>
      <diagonal/>
    </border>
    <border>
      <left style="thin">
        <color theme="5" tint="-0.24994659260841701"/>
      </left>
      <right/>
      <top style="medium">
        <color theme="5" tint="-0.24994659260841701"/>
      </top>
      <bottom style="dashed">
        <color theme="5" tint="-0.24994659260841701"/>
      </bottom>
      <diagonal/>
    </border>
    <border>
      <left style="medium">
        <color rgb="FF00B0F0"/>
      </left>
      <right style="thin">
        <color rgb="FF00B0F0"/>
      </right>
      <top style="dashed">
        <color rgb="FF00B0F0"/>
      </top>
      <bottom style="dashed">
        <color rgb="FF00B0F0"/>
      </bottom>
      <diagonal/>
    </border>
    <border>
      <left style="thin">
        <color rgb="FF00B0F0"/>
      </left>
      <right/>
      <top style="dashed">
        <color rgb="FF00B0F0"/>
      </top>
      <bottom style="dashed">
        <color rgb="FF00B0F0"/>
      </bottom>
      <diagonal/>
    </border>
    <border>
      <left style="thin">
        <color rgb="FF00B0F0"/>
      </left>
      <right style="hair">
        <color rgb="FF00B0F0"/>
      </right>
      <top style="dashed">
        <color rgb="FF00B0F0"/>
      </top>
      <bottom style="dashed">
        <color rgb="FF00B0F0"/>
      </bottom>
      <diagonal/>
    </border>
    <border>
      <left style="hair">
        <color rgb="FF00B0F0"/>
      </left>
      <right style="thin">
        <color rgb="FF00B0F0"/>
      </right>
      <top style="dashed">
        <color rgb="FF00B0F0"/>
      </top>
      <bottom style="dashed">
        <color rgb="FF00B0F0"/>
      </bottom>
      <diagonal/>
    </border>
    <border>
      <left style="thin">
        <color rgb="FF00B0F0"/>
      </left>
      <right style="medium">
        <color rgb="FF00B0F0"/>
      </right>
      <top style="dashed">
        <color rgb="FF00B0F0"/>
      </top>
      <bottom style="dashed">
        <color rgb="FF00B0F0"/>
      </bottom>
      <diagonal/>
    </border>
    <border>
      <left style="medium">
        <color rgb="FF00B0F0"/>
      </left>
      <right style="dotted">
        <color rgb="FF00B0F0"/>
      </right>
      <top style="dashed">
        <color rgb="FF00B0F0"/>
      </top>
      <bottom style="dashed">
        <color rgb="FF00B0F0"/>
      </bottom>
      <diagonal/>
    </border>
    <border>
      <left style="dotted">
        <color rgb="FF00B0F0"/>
      </left>
      <right style="dotted">
        <color rgb="FF00B0F0"/>
      </right>
      <top style="dashed">
        <color rgb="FF00B0F0"/>
      </top>
      <bottom style="dashed">
        <color rgb="FF00B0F0"/>
      </bottom>
      <diagonal/>
    </border>
    <border>
      <left style="dotted">
        <color rgb="FF00B0F0"/>
      </left>
      <right style="medium">
        <color rgb="FF00B0F0"/>
      </right>
      <top/>
      <bottom style="dashed">
        <color rgb="FF00B0F0"/>
      </bottom>
      <diagonal/>
    </border>
    <border>
      <left style="dotted">
        <color rgb="FF00B0F0"/>
      </left>
      <right style="dotted">
        <color rgb="FF00B0F0"/>
      </right>
      <top/>
      <bottom style="dashed">
        <color rgb="FF00B0F0"/>
      </bottom>
      <diagonal/>
    </border>
    <border>
      <left style="medium">
        <color rgb="FF00B0F0"/>
      </left>
      <right style="thin">
        <color rgb="FF00B0F0"/>
      </right>
      <top/>
      <bottom style="dashed">
        <color rgb="FF00B0F0"/>
      </bottom>
      <diagonal/>
    </border>
    <border>
      <left style="thin">
        <color rgb="FF00B0F0"/>
      </left>
      <right style="thin">
        <color rgb="FF00B0F0"/>
      </right>
      <top/>
      <bottom style="dashed">
        <color rgb="FF00B0F0"/>
      </bottom>
      <diagonal/>
    </border>
    <border>
      <left style="thin">
        <color rgb="FF00B0F0"/>
      </left>
      <right/>
      <top/>
      <bottom style="dashed">
        <color rgb="FF00B0F0"/>
      </bottom>
      <diagonal/>
    </border>
    <border>
      <left/>
      <right/>
      <top style="dashed">
        <color theme="5" tint="-0.24994659260841701"/>
      </top>
      <bottom style="dashed">
        <color theme="5" tint="-0.24994659260841701"/>
      </bottom>
      <diagonal/>
    </border>
    <border>
      <left/>
      <right style="thin">
        <color theme="5" tint="-0.24994659260841701"/>
      </right>
      <top/>
      <bottom style="dashed">
        <color theme="5" tint="-0.24994659260841701"/>
      </bottom>
      <diagonal/>
    </border>
    <border>
      <left/>
      <right style="thin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medium">
        <color theme="5" tint="-0.24994659260841701"/>
      </left>
      <right style="thin">
        <color theme="5" tint="-0.24994659260841701"/>
      </right>
      <top style="dashed">
        <color theme="5" tint="-0.24994659260841701"/>
      </top>
      <bottom style="medium">
        <color theme="5" tint="-0.24994659260841701"/>
      </bottom>
      <diagonal/>
    </border>
    <border>
      <left style="medium">
        <color theme="5" tint="-0.24994659260841701"/>
      </left>
      <right style="thin">
        <color theme="5" tint="-0.24994659260841701"/>
      </right>
      <top style="medium">
        <color theme="5" tint="-0.24994659260841701"/>
      </top>
      <bottom style="dashed">
        <color theme="5" tint="-0.24994659260841701"/>
      </bottom>
      <diagonal/>
    </border>
    <border>
      <left/>
      <right/>
      <top/>
      <bottom style="dashed">
        <color theme="5" tint="-0.24994659260841701"/>
      </bottom>
      <diagonal/>
    </border>
    <border>
      <left style="medium">
        <color indexed="60"/>
      </left>
      <right style="thin">
        <color indexed="60"/>
      </right>
      <top style="medium">
        <color indexed="60"/>
      </top>
      <bottom style="dashed">
        <color indexed="60"/>
      </bottom>
      <diagonal/>
    </border>
    <border>
      <left style="thin">
        <color indexed="40"/>
      </left>
      <right style="thin">
        <color indexed="40"/>
      </right>
      <top style="dashed">
        <color indexed="40"/>
      </top>
      <bottom style="medium">
        <color indexed="40"/>
      </bottom>
      <diagonal/>
    </border>
    <border>
      <left style="thin">
        <color indexed="60"/>
      </left>
      <right style="thin">
        <color indexed="60"/>
      </right>
      <top style="medium">
        <color indexed="60"/>
      </top>
      <bottom style="dashed">
        <color indexed="60"/>
      </bottom>
      <diagonal/>
    </border>
    <border>
      <left style="thin">
        <color indexed="60"/>
      </left>
      <right style="thin">
        <color indexed="60"/>
      </right>
      <top/>
      <bottom style="dashed">
        <color indexed="60"/>
      </bottom>
      <diagonal/>
    </border>
    <border>
      <left style="thin">
        <color indexed="60"/>
      </left>
      <right style="hair">
        <color indexed="60"/>
      </right>
      <top/>
      <bottom style="dashed">
        <color indexed="60"/>
      </bottom>
      <diagonal/>
    </border>
    <border>
      <left style="hair">
        <color indexed="60"/>
      </left>
      <right style="thin">
        <color indexed="60"/>
      </right>
      <top/>
      <bottom style="dashed">
        <color indexed="60"/>
      </bottom>
      <diagonal/>
    </border>
    <border>
      <left style="thin">
        <color indexed="60"/>
      </left>
      <right/>
      <top/>
      <bottom style="dashed">
        <color indexed="60"/>
      </bottom>
      <diagonal/>
    </border>
    <border>
      <left/>
      <right style="thin">
        <color indexed="60"/>
      </right>
      <top/>
      <bottom style="dashed">
        <color indexed="60"/>
      </bottom>
      <diagonal/>
    </border>
    <border>
      <left/>
      <right style="medium">
        <color indexed="60"/>
      </right>
      <top/>
      <bottom style="dashed">
        <color indexed="60"/>
      </bottom>
      <diagonal/>
    </border>
    <border>
      <left style="medium">
        <color indexed="60"/>
      </left>
      <right style="hair">
        <color indexed="60"/>
      </right>
      <top/>
      <bottom style="dashed">
        <color indexed="60"/>
      </bottom>
      <diagonal/>
    </border>
    <border>
      <left style="hair">
        <color indexed="60"/>
      </left>
      <right style="medium">
        <color indexed="60"/>
      </right>
      <top/>
      <bottom style="dashed">
        <color indexed="60"/>
      </bottom>
      <diagonal/>
    </border>
    <border>
      <left style="medium">
        <color indexed="60"/>
      </left>
      <right style="thin">
        <color indexed="60"/>
      </right>
      <top/>
      <bottom style="dashed">
        <color indexed="60"/>
      </bottom>
      <diagonal/>
    </border>
    <border>
      <left style="thin">
        <color indexed="60"/>
      </left>
      <right style="medium">
        <color indexed="60"/>
      </right>
      <top/>
      <bottom style="dashed">
        <color indexed="60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7" fillId="0" borderId="0"/>
    <xf numFmtId="0" fontId="29" fillId="0" borderId="0"/>
  </cellStyleXfs>
  <cellXfs count="914">
    <xf numFmtId="0" fontId="0" fillId="0" borderId="0" xfId="0"/>
    <xf numFmtId="0" fontId="1" fillId="2" borderId="0" xfId="0" applyFont="1" applyFill="1" applyAlignment="1" applyProtection="1">
      <alignment vertical="center"/>
      <protection locked="0" hidden="1"/>
    </xf>
    <xf numFmtId="166" fontId="1" fillId="2" borderId="0" xfId="0" applyNumberFormat="1" applyFont="1" applyFill="1" applyAlignment="1" applyProtection="1">
      <alignment vertical="center"/>
      <protection locked="0" hidden="1"/>
    </xf>
    <xf numFmtId="0" fontId="1" fillId="2" borderId="0" xfId="0" applyFont="1" applyFill="1" applyAlignment="1" applyProtection="1">
      <alignment horizontal="center" vertical="center"/>
      <protection locked="0" hidden="1"/>
    </xf>
    <xf numFmtId="2" fontId="1" fillId="2" borderId="0" xfId="0" applyNumberFormat="1" applyFont="1" applyFill="1" applyAlignment="1" applyProtection="1">
      <alignment vertical="center"/>
      <protection locked="0" hidden="1"/>
    </xf>
    <xf numFmtId="0" fontId="2" fillId="2" borderId="0" xfId="0" applyFont="1" applyFill="1" applyAlignment="1" applyProtection="1">
      <alignment vertical="center"/>
      <protection locked="0" hidden="1"/>
    </xf>
    <xf numFmtId="0" fontId="1" fillId="2" borderId="0" xfId="0" applyFont="1" applyFill="1" applyBorder="1" applyAlignment="1" applyProtection="1">
      <alignment vertical="center"/>
      <protection locked="0" hidden="1"/>
    </xf>
    <xf numFmtId="0" fontId="2" fillId="2" borderId="0" xfId="0" applyFont="1" applyFill="1" applyBorder="1" applyAlignment="1" applyProtection="1">
      <alignment vertical="center"/>
    </xf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vertical="center"/>
    </xf>
    <xf numFmtId="0" fontId="2" fillId="3" borderId="0" xfId="0" applyFont="1" applyFill="1" applyBorder="1" applyAlignment="1">
      <alignment vertical="center"/>
    </xf>
    <xf numFmtId="0" fontId="4" fillId="2" borderId="0" xfId="0" applyFont="1" applyFill="1" applyAlignment="1" applyProtection="1">
      <alignment vertical="center"/>
    </xf>
    <xf numFmtId="0" fontId="4" fillId="0" borderId="0" xfId="0" applyFont="1" applyAlignment="1">
      <alignment vertical="center"/>
    </xf>
    <xf numFmtId="0" fontId="2" fillId="2" borderId="0" xfId="0" applyNumberFormat="1" applyFont="1" applyFill="1" applyBorder="1" applyAlignment="1" applyProtection="1">
      <alignment vertical="center"/>
    </xf>
    <xf numFmtId="164" fontId="2" fillId="2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</xf>
    <xf numFmtId="164" fontId="2" fillId="2" borderId="0" xfId="0" applyNumberFormat="1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horizontal="center" vertical="center"/>
      <protection locked="0"/>
    </xf>
    <xf numFmtId="166" fontId="2" fillId="2" borderId="0" xfId="0" applyNumberFormat="1" applyFont="1" applyFill="1" applyBorder="1" applyAlignment="1" applyProtection="1">
      <alignment horizontal="center" vertical="center"/>
      <protection locked="0"/>
    </xf>
    <xf numFmtId="164" fontId="9" fillId="2" borderId="0" xfId="0" applyNumberFormat="1" applyFont="1" applyFill="1" applyBorder="1" applyAlignment="1" applyProtection="1">
      <alignment vertical="center"/>
      <protection locked="0"/>
    </xf>
    <xf numFmtId="1" fontId="10" fillId="2" borderId="0" xfId="0" applyNumberFormat="1" applyFont="1" applyFill="1" applyBorder="1" applyAlignment="1" applyProtection="1">
      <alignment horizontal="center" vertical="center"/>
      <protection locked="0"/>
    </xf>
    <xf numFmtId="1" fontId="10" fillId="2" borderId="0" xfId="0" applyNumberFormat="1" applyFont="1" applyFill="1" applyBorder="1" applyAlignment="1" applyProtection="1">
      <alignment horizontal="center" vertical="center"/>
    </xf>
    <xf numFmtId="165" fontId="2" fillId="2" borderId="0" xfId="0" applyNumberFormat="1" applyFont="1" applyFill="1" applyBorder="1" applyAlignment="1" applyProtection="1">
      <alignment horizontal="center" vertical="center"/>
    </xf>
    <xf numFmtId="0" fontId="17" fillId="0" borderId="0" xfId="0" applyFont="1"/>
    <xf numFmtId="0" fontId="0" fillId="0" borderId="0" xfId="0" applyBorder="1"/>
    <xf numFmtId="0" fontId="0" fillId="0" borderId="0" xfId="0" applyBorder="1" applyAlignment="1" applyProtection="1">
      <alignment horizontal="left"/>
    </xf>
    <xf numFmtId="0" fontId="18" fillId="10" borderId="0" xfId="0" applyFont="1" applyFill="1"/>
    <xf numFmtId="0" fontId="18" fillId="10" borderId="0" xfId="0" applyFont="1" applyFill="1" applyBorder="1"/>
    <xf numFmtId="0" fontId="17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0" xfId="0" applyProtection="1"/>
    <xf numFmtId="0" fontId="0" fillId="0" borderId="0" xfId="0" applyAlignment="1" applyProtection="1">
      <alignment horizontal="left"/>
    </xf>
    <xf numFmtId="0" fontId="17" fillId="0" borderId="0" xfId="0" applyFont="1" applyAlignment="1" applyProtection="1">
      <alignment horizontal="left"/>
    </xf>
    <xf numFmtId="0" fontId="1" fillId="3" borderId="0" xfId="0" applyFont="1" applyFill="1" applyAlignment="1" applyProtection="1">
      <alignment vertical="center"/>
      <protection locked="0" hidden="1"/>
    </xf>
    <xf numFmtId="0" fontId="3" fillId="3" borderId="0" xfId="0" applyFont="1" applyFill="1" applyAlignment="1">
      <alignment vertical="center"/>
    </xf>
    <xf numFmtId="0" fontId="5" fillId="3" borderId="0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2" fillId="3" borderId="0" xfId="0" applyFont="1" applyFill="1" applyAlignment="1" applyProtection="1">
      <alignment vertical="center"/>
      <protection locked="0" hidden="1"/>
    </xf>
    <xf numFmtId="0" fontId="3" fillId="2" borderId="1" xfId="0" applyFont="1" applyFill="1" applyBorder="1" applyAlignment="1">
      <alignment vertical="center"/>
    </xf>
    <xf numFmtId="0" fontId="13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20" fillId="2" borderId="6" xfId="0" applyFont="1" applyFill="1" applyBorder="1" applyAlignment="1">
      <alignment vertical="center"/>
    </xf>
    <xf numFmtId="0" fontId="14" fillId="11" borderId="9" xfId="0" applyFont="1" applyFill="1" applyBorder="1" applyAlignment="1" applyProtection="1">
      <alignment horizontal="center" vertical="center"/>
    </xf>
    <xf numFmtId="164" fontId="14" fillId="11" borderId="9" xfId="0" applyNumberFormat="1" applyFont="1" applyFill="1" applyBorder="1" applyAlignment="1" applyProtection="1">
      <alignment horizontal="center" vertical="center"/>
    </xf>
    <xf numFmtId="164" fontId="14" fillId="11" borderId="10" xfId="0" applyNumberFormat="1" applyFont="1" applyFill="1" applyBorder="1" applyAlignment="1" applyProtection="1">
      <alignment horizontal="center" vertical="center"/>
    </xf>
    <xf numFmtId="0" fontId="15" fillId="3" borderId="8" xfId="0" applyFont="1" applyFill="1" applyBorder="1" applyAlignment="1" applyProtection="1">
      <alignment horizontal="center" vertical="center"/>
    </xf>
    <xf numFmtId="0" fontId="15" fillId="3" borderId="9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/>
    </xf>
    <xf numFmtId="2" fontId="11" fillId="2" borderId="14" xfId="0" applyNumberFormat="1" applyFont="1" applyFill="1" applyBorder="1" applyAlignment="1" applyProtection="1">
      <alignment horizontal="center" vertical="center"/>
    </xf>
    <xf numFmtId="164" fontId="14" fillId="11" borderId="15" xfId="0" applyNumberFormat="1" applyFont="1" applyFill="1" applyBorder="1" applyAlignment="1" applyProtection="1">
      <alignment horizontal="center" vertical="center"/>
    </xf>
    <xf numFmtId="1" fontId="21" fillId="2" borderId="11" xfId="0" applyNumberFormat="1" applyFont="1" applyFill="1" applyBorder="1" applyAlignment="1" applyProtection="1">
      <alignment horizontal="center" vertical="center"/>
    </xf>
    <xf numFmtId="1" fontId="7" fillId="12" borderId="13" xfId="0" applyNumberFormat="1" applyFont="1" applyFill="1" applyBorder="1" applyAlignment="1" applyProtection="1">
      <alignment horizontal="center" vertical="center"/>
    </xf>
    <xf numFmtId="2" fontId="0" fillId="0" borderId="0" xfId="0" applyNumberFormat="1"/>
    <xf numFmtId="2" fontId="0" fillId="0" borderId="0" xfId="0" applyNumberFormat="1" applyBorder="1"/>
    <xf numFmtId="164" fontId="14" fillId="11" borderId="16" xfId="0" applyNumberFormat="1" applyFont="1" applyFill="1" applyBorder="1" applyAlignment="1" applyProtection="1">
      <alignment horizontal="center" vertical="center"/>
    </xf>
    <xf numFmtId="164" fontId="14" fillId="11" borderId="17" xfId="0" applyNumberFormat="1" applyFont="1" applyFill="1" applyBorder="1" applyAlignment="1" applyProtection="1">
      <alignment horizontal="center" vertical="center"/>
    </xf>
    <xf numFmtId="0" fontId="14" fillId="11" borderId="18" xfId="0" applyFont="1" applyFill="1" applyBorder="1" applyAlignment="1" applyProtection="1">
      <alignment horizontal="center" vertical="center"/>
    </xf>
    <xf numFmtId="0" fontId="0" fillId="0" borderId="0" xfId="0" applyFill="1"/>
    <xf numFmtId="1" fontId="0" fillId="0" borderId="0" xfId="0" applyNumberFormat="1" applyFill="1"/>
    <xf numFmtId="2" fontId="11" fillId="2" borderId="21" xfId="0" applyNumberFormat="1" applyFont="1" applyFill="1" applyBorder="1" applyAlignment="1" applyProtection="1">
      <alignment horizontal="center" vertical="center"/>
    </xf>
    <xf numFmtId="0" fontId="2" fillId="2" borderId="9" xfId="0" applyNumberFormat="1" applyFont="1" applyFill="1" applyBorder="1" applyAlignment="1" applyProtection="1">
      <alignment vertical="center"/>
    </xf>
    <xf numFmtId="0" fontId="2" fillId="2" borderId="9" xfId="0" applyFont="1" applyFill="1" applyBorder="1" applyAlignment="1" applyProtection="1">
      <alignment horizontal="center" vertical="center"/>
    </xf>
    <xf numFmtId="164" fontId="2" fillId="2" borderId="9" xfId="0" applyNumberFormat="1" applyFont="1" applyFill="1" applyBorder="1" applyAlignment="1" applyProtection="1">
      <alignment horizontal="left" vertical="center"/>
      <protection locked="0"/>
    </xf>
    <xf numFmtId="0" fontId="2" fillId="2" borderId="9" xfId="0" applyFont="1" applyFill="1" applyBorder="1" applyAlignment="1" applyProtection="1">
      <alignment vertical="center"/>
      <protection locked="0"/>
    </xf>
    <xf numFmtId="166" fontId="2" fillId="2" borderId="9" xfId="0" applyNumberFormat="1" applyFont="1" applyFill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 applyProtection="1">
      <alignment horizontal="center" vertical="center"/>
      <protection locked="0"/>
    </xf>
    <xf numFmtId="164" fontId="2" fillId="2" borderId="9" xfId="0" applyNumberFormat="1" applyFont="1" applyFill="1" applyBorder="1" applyAlignment="1" applyProtection="1">
      <alignment horizontal="center" vertical="center"/>
      <protection locked="0"/>
    </xf>
    <xf numFmtId="164" fontId="9" fillId="2" borderId="9" xfId="0" applyNumberFormat="1" applyFont="1" applyFill="1" applyBorder="1" applyAlignment="1" applyProtection="1">
      <alignment vertical="center"/>
      <protection locked="0"/>
    </xf>
    <xf numFmtId="1" fontId="10" fillId="2" borderId="9" xfId="0" applyNumberFormat="1" applyFont="1" applyFill="1" applyBorder="1" applyAlignment="1" applyProtection="1">
      <alignment horizontal="center" vertical="center"/>
      <protection locked="0"/>
    </xf>
    <xf numFmtId="1" fontId="10" fillId="2" borderId="9" xfId="0" applyNumberFormat="1" applyFont="1" applyFill="1" applyBorder="1" applyAlignment="1" applyProtection="1">
      <alignment horizontal="center" vertical="center"/>
    </xf>
    <xf numFmtId="165" fontId="2" fillId="2" borderId="9" xfId="0" applyNumberFormat="1" applyFont="1" applyFill="1" applyBorder="1" applyAlignment="1" applyProtection="1">
      <alignment horizontal="center" vertical="center"/>
    </xf>
    <xf numFmtId="0" fontId="17" fillId="0" borderId="0" xfId="0" applyFont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22" fillId="0" borderId="0" xfId="0" applyFont="1"/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5" borderId="0" xfId="0" applyFill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1" fontId="0" fillId="9" borderId="0" xfId="0" applyNumberFormat="1" applyFill="1" applyAlignment="1">
      <alignment horizontal="center" vertical="center"/>
    </xf>
    <xf numFmtId="0" fontId="0" fillId="8" borderId="0" xfId="0" applyFill="1" applyAlignment="1">
      <alignment horizontal="center"/>
    </xf>
    <xf numFmtId="1" fontId="0" fillId="8" borderId="0" xfId="0" applyNumberFormat="1" applyFill="1" applyAlignment="1">
      <alignment horizontal="center"/>
    </xf>
    <xf numFmtId="1" fontId="0" fillId="9" borderId="0" xfId="0" applyNumberFormat="1" applyFill="1" applyAlignment="1">
      <alignment horizontal="center"/>
    </xf>
    <xf numFmtId="0" fontId="0" fillId="9" borderId="0" xfId="0" applyFill="1" applyAlignment="1">
      <alignment horizontal="center"/>
    </xf>
    <xf numFmtId="1" fontId="0" fillId="4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/>
    </xf>
    <xf numFmtId="0" fontId="17" fillId="0" borderId="0" xfId="0" applyFont="1" applyAlignment="1" applyProtection="1">
      <alignment horizontal="center" vertical="center"/>
    </xf>
    <xf numFmtId="0" fontId="24" fillId="8" borderId="0" xfId="0" applyFont="1" applyFill="1" applyAlignment="1">
      <alignment horizontal="center"/>
    </xf>
    <xf numFmtId="0" fontId="14" fillId="11" borderId="9" xfId="0" applyFont="1" applyFill="1" applyBorder="1" applyAlignment="1" applyProtection="1">
      <alignment horizontal="center" vertical="center"/>
    </xf>
    <xf numFmtId="0" fontId="25" fillId="2" borderId="0" xfId="0" applyFont="1" applyFill="1" applyAlignment="1" applyProtection="1">
      <alignment vertical="center"/>
      <protection locked="0" hidden="1"/>
    </xf>
    <xf numFmtId="0" fontId="25" fillId="2" borderId="0" xfId="0" applyFont="1" applyFill="1" applyBorder="1" applyAlignment="1">
      <alignment vertical="center"/>
    </xf>
    <xf numFmtId="0" fontId="25" fillId="2" borderId="0" xfId="0" applyFont="1" applyFill="1" applyBorder="1" applyAlignment="1" applyProtection="1">
      <alignment horizontal="center" vertical="center" textRotation="90"/>
    </xf>
    <xf numFmtId="0" fontId="16" fillId="11" borderId="8" xfId="0" applyFont="1" applyFill="1" applyBorder="1" applyAlignment="1" applyProtection="1">
      <alignment horizontal="center" vertical="center"/>
    </xf>
    <xf numFmtId="0" fontId="25" fillId="2" borderId="9" xfId="0" applyFont="1" applyFill="1" applyBorder="1" applyAlignment="1" applyProtection="1">
      <alignment horizontal="center" vertical="center" textRotation="90"/>
    </xf>
    <xf numFmtId="0" fontId="30" fillId="0" borderId="22" xfId="0" applyFont="1" applyBorder="1" applyAlignment="1">
      <alignment horizontal="center"/>
    </xf>
    <xf numFmtId="0" fontId="30" fillId="0" borderId="26" xfId="0" applyFont="1" applyBorder="1" applyAlignment="1">
      <alignment horizontal="center"/>
    </xf>
    <xf numFmtId="0" fontId="31" fillId="0" borderId="26" xfId="0" applyFont="1" applyBorder="1" applyAlignment="1">
      <alignment vertical="center"/>
    </xf>
    <xf numFmtId="0" fontId="32" fillId="0" borderId="26" xfId="0" applyFont="1" applyBorder="1" applyAlignment="1">
      <alignment horizontal="center"/>
    </xf>
    <xf numFmtId="0" fontId="32" fillId="0" borderId="26" xfId="0" applyFont="1" applyBorder="1" applyAlignment="1">
      <alignment vertical="center"/>
    </xf>
    <xf numFmtId="2" fontId="33" fillId="0" borderId="26" xfId="0" applyNumberFormat="1" applyFont="1" applyBorder="1" applyAlignment="1">
      <alignment horizontal="center"/>
    </xf>
    <xf numFmtId="0" fontId="31" fillId="15" borderId="26" xfId="0" applyFont="1" applyFill="1" applyBorder="1" applyAlignment="1">
      <alignment horizontal="center"/>
    </xf>
    <xf numFmtId="164" fontId="35" fillId="2" borderId="26" xfId="1" applyNumberFormat="1" applyFont="1" applyFill="1" applyBorder="1" applyAlignment="1" applyProtection="1">
      <alignment horizontal="center" vertical="center"/>
      <protection locked="0"/>
    </xf>
    <xf numFmtId="164" fontId="36" fillId="2" borderId="26" xfId="1" applyNumberFormat="1" applyFont="1" applyFill="1" applyBorder="1" applyAlignment="1" applyProtection="1">
      <alignment horizontal="left" vertical="center"/>
      <protection locked="0"/>
    </xf>
    <xf numFmtId="0" fontId="34" fillId="2" borderId="26" xfId="1" applyFont="1" applyFill="1" applyBorder="1" applyAlignment="1" applyProtection="1">
      <alignment vertical="center"/>
      <protection locked="0"/>
    </xf>
    <xf numFmtId="1" fontId="36" fillId="2" borderId="26" xfId="1" applyNumberFormat="1" applyFont="1" applyFill="1" applyBorder="1" applyAlignment="1" applyProtection="1">
      <alignment horizontal="center" vertical="center"/>
      <protection locked="0"/>
    </xf>
    <xf numFmtId="2" fontId="37" fillId="2" borderId="26" xfId="1" applyNumberFormat="1" applyFont="1" applyFill="1" applyBorder="1" applyAlignment="1" applyProtection="1">
      <alignment horizontal="center" vertical="center"/>
      <protection locked="0"/>
    </xf>
    <xf numFmtId="1" fontId="38" fillId="15" borderId="26" xfId="1" applyNumberFormat="1" applyFont="1" applyFill="1" applyBorder="1" applyAlignment="1" applyProtection="1">
      <alignment horizontal="center" vertical="center"/>
      <protection locked="0"/>
    </xf>
    <xf numFmtId="0" fontId="39" fillId="0" borderId="26" xfId="0" applyFont="1" applyBorder="1" applyAlignment="1">
      <alignment vertical="center"/>
    </xf>
    <xf numFmtId="164" fontId="40" fillId="2" borderId="26" xfId="0" applyNumberFormat="1" applyFont="1" applyFill="1" applyBorder="1" applyAlignment="1" applyProtection="1">
      <alignment horizontal="center" vertical="center"/>
      <protection locked="0"/>
    </xf>
    <xf numFmtId="164" fontId="41" fillId="2" borderId="26" xfId="0" applyNumberFormat="1" applyFont="1" applyFill="1" applyBorder="1" applyAlignment="1" applyProtection="1">
      <alignment horizontal="left" vertical="center"/>
      <protection locked="0"/>
    </xf>
    <xf numFmtId="0" fontId="41" fillId="2" borderId="26" xfId="0" applyFont="1" applyFill="1" applyBorder="1" applyAlignment="1" applyProtection="1">
      <alignment vertical="center"/>
      <protection locked="0"/>
    </xf>
    <xf numFmtId="1" fontId="41" fillId="2" borderId="26" xfId="0" applyNumberFormat="1" applyFont="1" applyFill="1" applyBorder="1" applyAlignment="1" applyProtection="1">
      <alignment horizontal="center" vertical="center"/>
      <protection locked="0"/>
    </xf>
    <xf numFmtId="2" fontId="42" fillId="2" borderId="26" xfId="0" applyNumberFormat="1" applyFont="1" applyFill="1" applyBorder="1" applyAlignment="1" applyProtection="1">
      <alignment horizontal="center" vertical="center"/>
      <protection locked="0"/>
    </xf>
    <xf numFmtId="0" fontId="1" fillId="2" borderId="26" xfId="1" applyNumberFormat="1" applyFont="1" applyFill="1" applyBorder="1" applyAlignment="1" applyProtection="1">
      <alignment horizontal="center" vertical="center"/>
    </xf>
    <xf numFmtId="0" fontId="34" fillId="2" borderId="26" xfId="0" applyFont="1" applyFill="1" applyBorder="1" applyAlignment="1" applyProtection="1">
      <alignment vertical="center"/>
      <protection locked="0"/>
    </xf>
    <xf numFmtId="1" fontId="38" fillId="15" borderId="26" xfId="0" applyNumberFormat="1" applyFont="1" applyFill="1" applyBorder="1" applyAlignment="1" applyProtection="1">
      <alignment horizontal="center" vertical="center"/>
      <protection locked="0"/>
    </xf>
    <xf numFmtId="0" fontId="43" fillId="2" borderId="26" xfId="1" applyNumberFormat="1" applyFont="1" applyFill="1" applyBorder="1" applyAlignment="1" applyProtection="1">
      <alignment horizontal="center" vertical="center"/>
      <protection locked="0"/>
    </xf>
    <xf numFmtId="164" fontId="2" fillId="2" borderId="26" xfId="1" applyNumberFormat="1" applyFont="1" applyFill="1" applyBorder="1" applyAlignment="1" applyProtection="1">
      <alignment horizontal="center" vertical="center"/>
      <protection locked="0"/>
    </xf>
    <xf numFmtId="0" fontId="34" fillId="3" borderId="26" xfId="1" applyFont="1" applyFill="1" applyBorder="1" applyAlignment="1" applyProtection="1">
      <alignment horizontal="center" vertical="center"/>
      <protection locked="0"/>
    </xf>
    <xf numFmtId="0" fontId="23" fillId="2" borderId="26" xfId="1" applyNumberFormat="1" applyFont="1" applyFill="1" applyBorder="1" applyAlignment="1" applyProtection="1">
      <alignment horizontal="center" vertical="center"/>
      <protection locked="0"/>
    </xf>
    <xf numFmtId="1" fontId="44" fillId="15" borderId="26" xfId="1" applyNumberFormat="1" applyFont="1" applyFill="1" applyBorder="1" applyAlignment="1" applyProtection="1">
      <alignment horizontal="center" vertical="center"/>
      <protection locked="0"/>
    </xf>
    <xf numFmtId="164" fontId="35" fillId="2" borderId="26" xfId="1" applyNumberFormat="1" applyFont="1" applyFill="1" applyBorder="1" applyAlignment="1" applyProtection="1">
      <alignment horizontal="left" vertical="center"/>
      <protection locked="0"/>
    </xf>
    <xf numFmtId="0" fontId="2" fillId="2" borderId="26" xfId="1" applyFont="1" applyFill="1" applyBorder="1" applyAlignment="1" applyProtection="1">
      <alignment vertical="center"/>
      <protection locked="0"/>
    </xf>
    <xf numFmtId="2" fontId="35" fillId="2" borderId="26" xfId="1" applyNumberFormat="1" applyFont="1" applyFill="1" applyBorder="1" applyAlignment="1" applyProtection="1">
      <alignment horizontal="center" vertical="center"/>
      <protection locked="0"/>
    </xf>
    <xf numFmtId="0" fontId="2" fillId="3" borderId="26" xfId="1" applyFont="1" applyFill="1" applyBorder="1" applyAlignment="1" applyProtection="1">
      <alignment horizontal="center" vertical="center"/>
      <protection locked="0"/>
    </xf>
    <xf numFmtId="0" fontId="10" fillId="0" borderId="26" xfId="0" applyFont="1" applyBorder="1" applyAlignment="1">
      <alignment horizontal="center"/>
    </xf>
    <xf numFmtId="1" fontId="10" fillId="2" borderId="26" xfId="0" applyNumberFormat="1" applyFont="1" applyFill="1" applyBorder="1" applyAlignment="1" applyProtection="1">
      <alignment horizontal="center" vertical="center"/>
      <protection locked="0"/>
    </xf>
    <xf numFmtId="1" fontId="10" fillId="2" borderId="26" xfId="1" applyNumberFormat="1" applyFont="1" applyFill="1" applyBorder="1" applyAlignment="1" applyProtection="1">
      <alignment horizontal="center" vertical="center"/>
      <protection locked="0"/>
    </xf>
    <xf numFmtId="1" fontId="10" fillId="3" borderId="26" xfId="1" applyNumberFormat="1" applyFont="1" applyFill="1" applyBorder="1" applyAlignment="1" applyProtection="1">
      <alignment horizontal="center" vertical="center"/>
      <protection locked="0"/>
    </xf>
    <xf numFmtId="1" fontId="8" fillId="2" borderId="26" xfId="1" applyNumberFormat="1" applyFont="1" applyFill="1" applyBorder="1" applyAlignment="1" applyProtection="1">
      <alignment horizontal="center" vertical="center"/>
      <protection locked="0"/>
    </xf>
    <xf numFmtId="1" fontId="10" fillId="15" borderId="26" xfId="1" applyNumberFormat="1" applyFont="1" applyFill="1" applyBorder="1" applyAlignment="1" applyProtection="1">
      <alignment horizontal="center" vertical="center"/>
      <protection locked="0"/>
    </xf>
    <xf numFmtId="0" fontId="10" fillId="15" borderId="26" xfId="0" applyFont="1" applyFill="1" applyBorder="1" applyAlignment="1">
      <alignment horizontal="center"/>
    </xf>
    <xf numFmtId="1" fontId="10" fillId="15" borderId="26" xfId="0" applyNumberFormat="1" applyFont="1" applyFill="1" applyBorder="1" applyAlignment="1" applyProtection="1">
      <alignment horizontal="center" vertical="center"/>
      <protection locked="0"/>
    </xf>
    <xf numFmtId="0" fontId="2" fillId="0" borderId="26" xfId="2" applyFont="1" applyFill="1" applyBorder="1" applyAlignment="1" applyProtection="1">
      <alignment horizontal="center" vertical="center"/>
    </xf>
    <xf numFmtId="0" fontId="30" fillId="0" borderId="26" xfId="0" applyFont="1" applyBorder="1"/>
    <xf numFmtId="0" fontId="30" fillId="0" borderId="22" xfId="0" applyFont="1" applyBorder="1" applyAlignment="1">
      <alignment horizontal="center" vertical="center"/>
    </xf>
    <xf numFmtId="2" fontId="30" fillId="0" borderId="26" xfId="0" applyNumberFormat="1" applyFont="1" applyBorder="1" applyAlignment="1">
      <alignment horizontal="center"/>
    </xf>
    <xf numFmtId="0" fontId="30" fillId="0" borderId="26" xfId="0" applyFont="1" applyBorder="1" applyAlignment="1">
      <alignment horizontal="center" vertical="center"/>
    </xf>
    <xf numFmtId="0" fontId="32" fillId="0" borderId="26" xfId="0" applyFont="1" applyBorder="1" applyAlignment="1">
      <alignment horizontal="center" vertical="center"/>
    </xf>
    <xf numFmtId="2" fontId="30" fillId="0" borderId="26" xfId="0" applyNumberFormat="1" applyFont="1" applyBorder="1" applyAlignment="1">
      <alignment horizontal="center" vertical="center"/>
    </xf>
    <xf numFmtId="164" fontId="35" fillId="2" borderId="26" xfId="0" applyNumberFormat="1" applyFont="1" applyFill="1" applyBorder="1" applyAlignment="1" applyProtection="1">
      <alignment horizontal="left" vertical="center"/>
      <protection locked="0"/>
    </xf>
    <xf numFmtId="0" fontId="2" fillId="2" borderId="26" xfId="0" applyFont="1" applyFill="1" applyBorder="1" applyAlignment="1" applyProtection="1">
      <alignment vertical="center"/>
      <protection locked="0"/>
    </xf>
    <xf numFmtId="1" fontId="35" fillId="2" borderId="26" xfId="0" applyNumberFormat="1" applyFont="1" applyFill="1" applyBorder="1" applyAlignment="1" applyProtection="1">
      <alignment horizontal="center" vertical="center"/>
      <protection locked="0"/>
    </xf>
    <xf numFmtId="164" fontId="35" fillId="2" borderId="26" xfId="0" applyNumberFormat="1" applyFont="1" applyFill="1" applyBorder="1" applyAlignment="1" applyProtection="1">
      <alignment horizontal="center" vertical="center"/>
      <protection locked="0"/>
    </xf>
    <xf numFmtId="2" fontId="35" fillId="2" borderId="26" xfId="0" applyNumberFormat="1" applyFont="1" applyFill="1" applyBorder="1" applyAlignment="1" applyProtection="1">
      <alignment horizontal="center" vertical="center"/>
      <protection locked="0"/>
    </xf>
    <xf numFmtId="1" fontId="38" fillId="2" borderId="26" xfId="0" applyNumberFormat="1" applyFont="1" applyFill="1" applyBorder="1" applyAlignment="1" applyProtection="1">
      <alignment horizontal="center" vertical="center"/>
      <protection locked="0"/>
    </xf>
    <xf numFmtId="164" fontId="35" fillId="2" borderId="22" xfId="0" applyNumberFormat="1" applyFont="1" applyFill="1" applyBorder="1" applyAlignment="1" applyProtection="1">
      <alignment horizontal="left" vertical="center"/>
      <protection locked="0"/>
    </xf>
    <xf numFmtId="0" fontId="2" fillId="2" borderId="22" xfId="0" applyFont="1" applyFill="1" applyBorder="1" applyAlignment="1" applyProtection="1">
      <alignment vertical="center"/>
      <protection locked="0"/>
    </xf>
    <xf numFmtId="1" fontId="35" fillId="2" borderId="22" xfId="0" applyNumberFormat="1" applyFont="1" applyFill="1" applyBorder="1" applyAlignment="1" applyProtection="1">
      <alignment horizontal="center" vertical="center"/>
      <protection locked="0"/>
    </xf>
    <xf numFmtId="164" fontId="35" fillId="2" borderId="22" xfId="0" applyNumberFormat="1" applyFont="1" applyFill="1" applyBorder="1" applyAlignment="1" applyProtection="1">
      <alignment horizontal="center" vertical="center"/>
      <protection locked="0"/>
    </xf>
    <xf numFmtId="1" fontId="38" fillId="2" borderId="22" xfId="0" applyNumberFormat="1" applyFont="1" applyFill="1" applyBorder="1" applyAlignment="1" applyProtection="1">
      <alignment horizontal="center" vertical="center"/>
      <protection locked="0"/>
    </xf>
    <xf numFmtId="1" fontId="38" fillId="15" borderId="22" xfId="0" applyNumberFormat="1" applyFont="1" applyFill="1" applyBorder="1" applyAlignment="1" applyProtection="1">
      <alignment horizontal="center" vertical="center"/>
      <protection locked="0"/>
    </xf>
    <xf numFmtId="164" fontId="19" fillId="2" borderId="26" xfId="0" applyNumberFormat="1" applyFont="1" applyFill="1" applyBorder="1" applyAlignment="1" applyProtection="1">
      <alignment horizontal="center" vertical="center"/>
      <protection locked="0"/>
    </xf>
    <xf numFmtId="1" fontId="35" fillId="2" borderId="26" xfId="1" applyNumberFormat="1" applyFont="1" applyFill="1" applyBorder="1" applyAlignment="1" applyProtection="1">
      <alignment horizontal="center" vertical="center"/>
      <protection locked="0"/>
    </xf>
    <xf numFmtId="0" fontId="46" fillId="2" borderId="26" xfId="1" applyNumberFormat="1" applyFont="1" applyFill="1" applyBorder="1" applyAlignment="1" applyProtection="1">
      <alignment horizontal="center" vertical="center"/>
      <protection locked="0"/>
    </xf>
    <xf numFmtId="2" fontId="2" fillId="3" borderId="26" xfId="1" applyNumberFormat="1" applyFont="1" applyFill="1" applyBorder="1" applyAlignment="1" applyProtection="1">
      <alignment horizontal="center" vertical="center"/>
      <protection locked="0"/>
    </xf>
    <xf numFmtId="0" fontId="35" fillId="2" borderId="26" xfId="1" applyFont="1" applyFill="1" applyBorder="1" applyAlignment="1" applyProtection="1">
      <alignment horizontal="center" vertical="center"/>
      <protection locked="0"/>
    </xf>
    <xf numFmtId="1" fontId="38" fillId="2" borderId="26" xfId="1" applyNumberFormat="1" applyFont="1" applyFill="1" applyBorder="1" applyAlignment="1" applyProtection="1">
      <alignment horizontal="center" vertical="center"/>
      <protection locked="0"/>
    </xf>
    <xf numFmtId="1" fontId="38" fillId="10" borderId="26" xfId="1" applyNumberFormat="1" applyFont="1" applyFill="1" applyBorder="1" applyAlignment="1" applyProtection="1">
      <alignment horizontal="center" vertical="center"/>
      <protection locked="0"/>
    </xf>
    <xf numFmtId="0" fontId="25" fillId="2" borderId="26" xfId="1" applyFont="1" applyFill="1" applyBorder="1" applyAlignment="1" applyProtection="1">
      <alignment horizontal="center" vertical="center"/>
      <protection locked="0"/>
    </xf>
    <xf numFmtId="0" fontId="31" fillId="0" borderId="22" xfId="0" applyFont="1" applyBorder="1" applyAlignment="1">
      <alignment vertical="center"/>
    </xf>
    <xf numFmtId="2" fontId="30" fillId="0" borderId="22" xfId="0" applyNumberFormat="1" applyFont="1" applyBorder="1" applyAlignment="1">
      <alignment horizontal="center" vertical="center"/>
    </xf>
    <xf numFmtId="164" fontId="19" fillId="2" borderId="26" xfId="1" applyNumberFormat="1" applyFont="1" applyFill="1" applyBorder="1" applyAlignment="1" applyProtection="1">
      <alignment horizontal="center" vertical="center"/>
      <protection locked="0"/>
    </xf>
    <xf numFmtId="0" fontId="1" fillId="2" borderId="26" xfId="0" applyNumberFormat="1" applyFont="1" applyFill="1" applyBorder="1" applyAlignment="1" applyProtection="1">
      <alignment horizontal="center" vertical="center"/>
    </xf>
    <xf numFmtId="0" fontId="43" fillId="2" borderId="26" xfId="0" applyNumberFormat="1" applyFont="1" applyFill="1" applyBorder="1" applyAlignment="1" applyProtection="1">
      <alignment horizontal="center" vertical="center"/>
      <protection locked="0"/>
    </xf>
    <xf numFmtId="164" fontId="2" fillId="2" borderId="26" xfId="0" applyNumberFormat="1" applyFont="1" applyFill="1" applyBorder="1" applyAlignment="1" applyProtection="1">
      <alignment horizontal="center" vertical="center"/>
      <protection locked="0"/>
    </xf>
    <xf numFmtId="0" fontId="2" fillId="3" borderId="26" xfId="0" applyFont="1" applyFill="1" applyBorder="1" applyAlignment="1" applyProtection="1">
      <alignment horizontal="center" vertical="center"/>
      <protection locked="0"/>
    </xf>
    <xf numFmtId="2" fontId="2" fillId="3" borderId="26" xfId="0" applyNumberFormat="1" applyFont="1" applyFill="1" applyBorder="1" applyAlignment="1" applyProtection="1">
      <alignment horizontal="center" vertical="center"/>
      <protection locked="0"/>
    </xf>
    <xf numFmtId="0" fontId="23" fillId="2" borderId="26" xfId="0" applyNumberFormat="1" applyFont="1" applyFill="1" applyBorder="1" applyAlignment="1" applyProtection="1">
      <alignment horizontal="center" vertical="center"/>
      <protection locked="0"/>
    </xf>
    <xf numFmtId="0" fontId="2" fillId="2" borderId="26" xfId="0" applyFont="1" applyFill="1" applyBorder="1" applyAlignment="1" applyProtection="1">
      <alignment horizontal="center" vertical="center"/>
      <protection locked="0"/>
    </xf>
    <xf numFmtId="0" fontId="48" fillId="2" borderId="26" xfId="1" applyNumberFormat="1" applyFont="1" applyFill="1" applyBorder="1" applyAlignment="1" applyProtection="1">
      <alignment horizontal="center" vertical="center"/>
    </xf>
    <xf numFmtId="0" fontId="49" fillId="2" borderId="26" xfId="1" applyNumberFormat="1" applyFont="1" applyFill="1" applyBorder="1" applyAlignment="1" applyProtection="1">
      <alignment horizontal="center" vertical="center"/>
      <protection locked="0"/>
    </xf>
    <xf numFmtId="164" fontId="30" fillId="2" borderId="26" xfId="1" applyNumberFormat="1" applyFont="1" applyFill="1" applyBorder="1" applyAlignment="1" applyProtection="1">
      <alignment horizontal="center" vertical="center"/>
      <protection locked="0"/>
    </xf>
    <xf numFmtId="164" fontId="30" fillId="2" borderId="26" xfId="1" applyNumberFormat="1" applyFont="1" applyFill="1" applyBorder="1" applyAlignment="1" applyProtection="1">
      <alignment horizontal="left" vertical="center"/>
      <protection locked="0"/>
    </xf>
    <xf numFmtId="0" fontId="30" fillId="2" borderId="26" xfId="1" applyFont="1" applyFill="1" applyBorder="1" applyAlignment="1" applyProtection="1">
      <alignment vertical="center"/>
      <protection locked="0"/>
    </xf>
    <xf numFmtId="1" fontId="30" fillId="2" borderId="26" xfId="1" applyNumberFormat="1" applyFont="1" applyFill="1" applyBorder="1" applyAlignment="1" applyProtection="1">
      <alignment horizontal="center" vertical="center"/>
      <protection locked="0"/>
    </xf>
    <xf numFmtId="0" fontId="30" fillId="3" borderId="26" xfId="1" applyFont="1" applyFill="1" applyBorder="1" applyAlignment="1" applyProtection="1">
      <alignment horizontal="center" vertical="center"/>
      <protection locked="0"/>
    </xf>
    <xf numFmtId="2" fontId="30" fillId="2" borderId="26" xfId="1" applyNumberFormat="1" applyFont="1" applyFill="1" applyBorder="1" applyAlignment="1" applyProtection="1">
      <alignment horizontal="center" vertical="center"/>
      <protection locked="0"/>
    </xf>
    <xf numFmtId="2" fontId="30" fillId="3" borderId="26" xfId="1" applyNumberFormat="1" applyFont="1" applyFill="1" applyBorder="1" applyAlignment="1" applyProtection="1">
      <alignment horizontal="center" vertical="center"/>
      <protection locked="0"/>
    </xf>
    <xf numFmtId="2" fontId="2" fillId="2" borderId="26" xfId="1" applyNumberFormat="1" applyFont="1" applyFill="1" applyBorder="1" applyAlignment="1" applyProtection="1">
      <alignment horizontal="center" vertical="center"/>
      <protection locked="0"/>
    </xf>
    <xf numFmtId="0" fontId="9" fillId="2" borderId="27" xfId="0" applyFont="1" applyFill="1" applyBorder="1" applyAlignment="1" applyProtection="1">
      <alignment horizontal="center" vertical="center"/>
      <protection locked="0" hidden="1"/>
    </xf>
    <xf numFmtId="168" fontId="50" fillId="0" borderId="26" xfId="0" applyNumberFormat="1" applyFont="1" applyBorder="1" applyAlignment="1">
      <alignment horizontal="center" vertical="center"/>
    </xf>
    <xf numFmtId="168" fontId="50" fillId="0" borderId="30" xfId="0" applyNumberFormat="1" applyFont="1" applyBorder="1" applyAlignment="1">
      <alignment horizontal="center" vertical="center"/>
    </xf>
    <xf numFmtId="0" fontId="50" fillId="0" borderId="26" xfId="0" applyFont="1" applyBorder="1" applyAlignment="1">
      <alignment horizontal="center" vertical="center"/>
    </xf>
    <xf numFmtId="0" fontId="51" fillId="0" borderId="33" xfId="2" applyFont="1" applyFill="1" applyBorder="1" applyAlignment="1">
      <alignment horizontal="center" vertical="center"/>
    </xf>
    <xf numFmtId="2" fontId="11" fillId="2" borderId="34" xfId="0" applyNumberFormat="1" applyFont="1" applyFill="1" applyBorder="1" applyAlignment="1" applyProtection="1">
      <alignment horizontal="center" vertical="center"/>
    </xf>
    <xf numFmtId="0" fontId="51" fillId="0" borderId="26" xfId="2" applyFont="1" applyFill="1" applyBorder="1" applyAlignment="1">
      <alignment horizontal="center" vertical="center"/>
    </xf>
    <xf numFmtId="2" fontId="35" fillId="2" borderId="22" xfId="0" applyNumberFormat="1" applyFont="1" applyFill="1" applyBorder="1" applyAlignment="1" applyProtection="1">
      <alignment horizontal="center" vertical="center"/>
      <protection locked="0"/>
    </xf>
    <xf numFmtId="164" fontId="35" fillId="2" borderId="22" xfId="1" applyNumberFormat="1" applyFont="1" applyFill="1" applyBorder="1" applyAlignment="1" applyProtection="1">
      <alignment horizontal="center" vertical="center"/>
      <protection locked="0"/>
    </xf>
    <xf numFmtId="1" fontId="7" fillId="12" borderId="37" xfId="0" applyNumberFormat="1" applyFont="1" applyFill="1" applyBorder="1" applyAlignment="1" applyProtection="1">
      <alignment horizontal="center" vertical="center"/>
    </xf>
    <xf numFmtId="1" fontId="21" fillId="2" borderId="38" xfId="0" applyNumberFormat="1" applyFont="1" applyFill="1" applyBorder="1" applyAlignment="1" applyProtection="1">
      <alignment horizontal="center" vertical="center"/>
    </xf>
    <xf numFmtId="0" fontId="6" fillId="2" borderId="39" xfId="0" applyFont="1" applyFill="1" applyBorder="1" applyAlignment="1" applyProtection="1">
      <alignment horizontal="center" vertical="center"/>
    </xf>
    <xf numFmtId="2" fontId="11" fillId="2" borderId="40" xfId="0" applyNumberFormat="1" applyFont="1" applyFill="1" applyBorder="1" applyAlignment="1" applyProtection="1">
      <alignment horizontal="center" vertical="center"/>
    </xf>
    <xf numFmtId="0" fontId="2" fillId="2" borderId="26" xfId="0" applyFont="1" applyFill="1" applyBorder="1" applyAlignment="1" applyProtection="1">
      <alignment vertical="center"/>
      <protection locked="0" hidden="1"/>
    </xf>
    <xf numFmtId="0" fontId="2" fillId="3" borderId="26" xfId="0" applyFont="1" applyFill="1" applyBorder="1" applyAlignment="1" applyProtection="1">
      <alignment vertical="center"/>
      <protection locked="0" hidden="1"/>
    </xf>
    <xf numFmtId="0" fontId="2" fillId="2" borderId="26" xfId="1" applyFont="1" applyFill="1" applyBorder="1" applyAlignment="1" applyProtection="1">
      <alignment horizontal="center" vertical="center"/>
      <protection locked="0"/>
    </xf>
    <xf numFmtId="0" fontId="52" fillId="2" borderId="26" xfId="0" applyNumberFormat="1" applyFont="1" applyFill="1" applyBorder="1" applyAlignment="1" applyProtection="1">
      <alignment vertical="center"/>
      <protection locked="0"/>
    </xf>
    <xf numFmtId="2" fontId="19" fillId="2" borderId="26" xfId="0" applyNumberFormat="1" applyFont="1" applyFill="1" applyBorder="1" applyAlignment="1" applyProtection="1">
      <alignment horizontal="center" vertical="center"/>
      <protection locked="0"/>
    </xf>
    <xf numFmtId="1" fontId="10" fillId="15" borderId="22" xfId="1" applyNumberFormat="1" applyFont="1" applyFill="1" applyBorder="1" applyAlignment="1" applyProtection="1">
      <alignment horizontal="center" vertical="center"/>
      <protection locked="0"/>
    </xf>
    <xf numFmtId="1" fontId="7" fillId="12" borderId="26" xfId="0" applyNumberFormat="1" applyFont="1" applyFill="1" applyBorder="1" applyAlignment="1" applyProtection="1">
      <alignment horizontal="center" vertical="center"/>
    </xf>
    <xf numFmtId="1" fontId="21" fillId="2" borderId="26" xfId="0" applyNumberFormat="1" applyFont="1" applyFill="1" applyBorder="1" applyAlignment="1" applyProtection="1">
      <alignment horizontal="center" vertical="center"/>
    </xf>
    <xf numFmtId="0" fontId="6" fillId="2" borderId="26" xfId="0" applyFont="1" applyFill="1" applyBorder="1" applyAlignment="1" applyProtection="1">
      <alignment horizontal="center" vertical="center"/>
    </xf>
    <xf numFmtId="2" fontId="11" fillId="2" borderId="26" xfId="0" applyNumberFormat="1" applyFont="1" applyFill="1" applyBorder="1" applyAlignment="1" applyProtection="1">
      <alignment horizontal="center" vertical="center"/>
    </xf>
    <xf numFmtId="0" fontId="49" fillId="2" borderId="22" xfId="1" applyNumberFormat="1" applyFont="1" applyFill="1" applyBorder="1" applyAlignment="1" applyProtection="1">
      <alignment horizontal="center" vertical="center"/>
      <protection locked="0"/>
    </xf>
    <xf numFmtId="164" fontId="30" fillId="2" borderId="22" xfId="1" applyNumberFormat="1" applyFont="1" applyFill="1" applyBorder="1" applyAlignment="1" applyProtection="1">
      <alignment horizontal="center" vertical="center"/>
      <protection locked="0"/>
    </xf>
    <xf numFmtId="164" fontId="30" fillId="2" borderId="22" xfId="1" applyNumberFormat="1" applyFont="1" applyFill="1" applyBorder="1" applyAlignment="1" applyProtection="1">
      <alignment horizontal="left" vertical="center"/>
      <protection locked="0"/>
    </xf>
    <xf numFmtId="0" fontId="30" fillId="2" borderId="22" xfId="1" applyFont="1" applyFill="1" applyBorder="1" applyAlignment="1" applyProtection="1">
      <alignment vertical="center"/>
      <protection locked="0"/>
    </xf>
    <xf numFmtId="1" fontId="30" fillId="2" borderId="22" xfId="1" applyNumberFormat="1" applyFont="1" applyFill="1" applyBorder="1" applyAlignment="1" applyProtection="1">
      <alignment horizontal="center" vertical="center"/>
      <protection locked="0"/>
    </xf>
    <xf numFmtId="0" fontId="30" fillId="3" borderId="22" xfId="1" applyFont="1" applyFill="1" applyBorder="1" applyAlignment="1" applyProtection="1">
      <alignment horizontal="center" vertical="center"/>
      <protection locked="0"/>
    </xf>
    <xf numFmtId="2" fontId="30" fillId="2" borderId="22" xfId="1" applyNumberFormat="1" applyFont="1" applyFill="1" applyBorder="1" applyAlignment="1" applyProtection="1">
      <alignment horizontal="center" vertical="center"/>
      <protection locked="0"/>
    </xf>
    <xf numFmtId="1" fontId="10" fillId="3" borderId="22" xfId="1" applyNumberFormat="1" applyFont="1" applyFill="1" applyBorder="1" applyAlignment="1" applyProtection="1">
      <alignment horizontal="center" vertical="center"/>
      <protection locked="0"/>
    </xf>
    <xf numFmtId="0" fontId="30" fillId="0" borderId="26" xfId="0" applyFont="1" applyBorder="1" applyAlignment="1">
      <alignment horizontal="center" vertical="center" wrapText="1"/>
    </xf>
    <xf numFmtId="1" fontId="30" fillId="2" borderId="26" xfId="0" applyNumberFormat="1" applyFont="1" applyFill="1" applyBorder="1" applyAlignment="1" applyProtection="1">
      <alignment horizontal="center" vertical="center"/>
      <protection locked="0"/>
    </xf>
    <xf numFmtId="0" fontId="14" fillId="11" borderId="9" xfId="0" applyFont="1" applyFill="1" applyBorder="1" applyAlignment="1" applyProtection="1">
      <alignment horizontal="center" vertical="center"/>
    </xf>
    <xf numFmtId="164" fontId="2" fillId="2" borderId="26" xfId="0" applyNumberFormat="1" applyFont="1" applyFill="1" applyBorder="1" applyAlignment="1" applyProtection="1">
      <alignment horizontal="left" vertical="center"/>
      <protection locked="0"/>
    </xf>
    <xf numFmtId="1" fontId="2" fillId="2" borderId="26" xfId="0" applyNumberFormat="1" applyFont="1" applyFill="1" applyBorder="1" applyAlignment="1" applyProtection="1">
      <alignment horizontal="center" vertical="center"/>
      <protection locked="0"/>
    </xf>
    <xf numFmtId="0" fontId="27" fillId="2" borderId="26" xfId="0" applyNumberFormat="1" applyFont="1" applyFill="1" applyBorder="1" applyAlignment="1" applyProtection="1">
      <alignment vertical="center"/>
      <protection locked="0"/>
    </xf>
    <xf numFmtId="1" fontId="53" fillId="15" borderId="26" xfId="0" applyNumberFormat="1" applyFont="1" applyFill="1" applyBorder="1" applyAlignment="1" applyProtection="1">
      <alignment horizontal="center" vertical="center"/>
      <protection locked="0"/>
    </xf>
    <xf numFmtId="1" fontId="54" fillId="12" borderId="26" xfId="0" applyNumberFormat="1" applyFont="1" applyFill="1" applyBorder="1" applyAlignment="1" applyProtection="1">
      <alignment horizontal="center" vertical="center"/>
    </xf>
    <xf numFmtId="1" fontId="53" fillId="0" borderId="26" xfId="0" applyNumberFormat="1" applyFont="1" applyFill="1" applyBorder="1" applyAlignment="1" applyProtection="1">
      <alignment horizontal="center" vertical="center"/>
      <protection locked="0"/>
    </xf>
    <xf numFmtId="1" fontId="13" fillId="15" borderId="26" xfId="1" applyNumberFormat="1" applyFont="1" applyFill="1" applyBorder="1" applyAlignment="1" applyProtection="1">
      <alignment horizontal="center" vertical="center"/>
      <protection locked="0"/>
    </xf>
    <xf numFmtId="0" fontId="13" fillId="15" borderId="26" xfId="0" applyFont="1" applyFill="1" applyBorder="1" applyAlignment="1">
      <alignment horizontal="center"/>
    </xf>
    <xf numFmtId="0" fontId="13" fillId="0" borderId="26" xfId="0" applyFont="1" applyBorder="1" applyAlignment="1">
      <alignment horizontal="center"/>
    </xf>
    <xf numFmtId="0" fontId="13" fillId="15" borderId="26" xfId="0" applyFont="1" applyFill="1" applyBorder="1" applyAlignment="1" applyProtection="1">
      <alignment horizontal="center" vertical="center"/>
      <protection locked="0" hidden="1"/>
    </xf>
    <xf numFmtId="0" fontId="13" fillId="10" borderId="26" xfId="0" applyFont="1" applyFill="1" applyBorder="1" applyAlignment="1" applyProtection="1">
      <alignment horizontal="center" vertical="center"/>
      <protection locked="0" hidden="1"/>
    </xf>
    <xf numFmtId="0" fontId="2" fillId="2" borderId="26" xfId="0" applyFont="1" applyFill="1" applyBorder="1" applyAlignment="1" applyProtection="1">
      <alignment horizontal="center" vertical="center"/>
      <protection locked="0" hidden="1"/>
    </xf>
    <xf numFmtId="2" fontId="2" fillId="2" borderId="26" xfId="0" applyNumberFormat="1" applyFont="1" applyFill="1" applyBorder="1" applyAlignment="1" applyProtection="1">
      <alignment horizontal="center" vertical="center"/>
      <protection locked="0" hidden="1"/>
    </xf>
    <xf numFmtId="1" fontId="55" fillId="3" borderId="0" xfId="0" applyNumberFormat="1" applyFont="1" applyFill="1" applyAlignment="1" applyProtection="1">
      <alignment horizontal="center" vertical="center"/>
      <protection locked="0" hidden="1"/>
    </xf>
    <xf numFmtId="0" fontId="55" fillId="3" borderId="0" xfId="0" applyFont="1" applyFill="1" applyAlignment="1" applyProtection="1">
      <alignment horizontal="center" vertical="center"/>
      <protection locked="0" hidden="1"/>
    </xf>
    <xf numFmtId="0" fontId="55" fillId="3" borderId="0" xfId="0" applyFont="1" applyFill="1" applyAlignment="1" applyProtection="1">
      <alignment vertical="center"/>
      <protection locked="0" hidden="1"/>
    </xf>
    <xf numFmtId="0" fontId="55" fillId="3" borderId="0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55" fillId="3" borderId="0" xfId="0" applyFont="1" applyFill="1" applyBorder="1" applyAlignment="1">
      <alignment vertical="center"/>
    </xf>
    <xf numFmtId="0" fontId="2" fillId="3" borderId="0" xfId="0" applyFont="1" applyFill="1" applyBorder="1" applyAlignment="1" applyProtection="1">
      <alignment vertical="center"/>
      <protection locked="0" hidden="1"/>
    </xf>
    <xf numFmtId="0" fontId="2" fillId="2" borderId="42" xfId="0" applyFont="1" applyFill="1" applyBorder="1" applyAlignment="1" applyProtection="1">
      <alignment vertical="center"/>
      <protection locked="0" hidden="1"/>
    </xf>
    <xf numFmtId="0" fontId="30" fillId="0" borderId="26" xfId="0" applyFont="1" applyBorder="1" applyAlignment="1">
      <alignment vertical="center"/>
    </xf>
    <xf numFmtId="1" fontId="38" fillId="3" borderId="26" xfId="0" applyNumberFormat="1" applyFont="1" applyFill="1" applyBorder="1" applyAlignment="1" applyProtection="1">
      <alignment horizontal="center" vertical="center"/>
      <protection locked="0"/>
    </xf>
    <xf numFmtId="0" fontId="2" fillId="2" borderId="22" xfId="0" applyFont="1" applyFill="1" applyBorder="1" applyAlignment="1" applyProtection="1">
      <alignment horizontal="center" vertical="center"/>
      <protection locked="0"/>
    </xf>
    <xf numFmtId="1" fontId="7" fillId="12" borderId="42" xfId="0" applyNumberFormat="1" applyFont="1" applyFill="1" applyBorder="1" applyAlignment="1" applyProtection="1">
      <alignment horizontal="center" vertical="center"/>
    </xf>
    <xf numFmtId="0" fontId="43" fillId="2" borderId="22" xfId="0" applyNumberFormat="1" applyFont="1" applyFill="1" applyBorder="1" applyAlignment="1" applyProtection="1">
      <alignment horizontal="center" vertical="center"/>
      <protection locked="0"/>
    </xf>
    <xf numFmtId="164" fontId="2" fillId="2" borderId="22" xfId="0" applyNumberFormat="1" applyFont="1" applyFill="1" applyBorder="1" applyAlignment="1" applyProtection="1">
      <alignment horizontal="center" vertical="center"/>
      <protection locked="0"/>
    </xf>
    <xf numFmtId="164" fontId="2" fillId="2" borderId="22" xfId="0" applyNumberFormat="1" applyFont="1" applyFill="1" applyBorder="1" applyAlignment="1" applyProtection="1">
      <alignment horizontal="left" vertical="center"/>
      <protection locked="0"/>
    </xf>
    <xf numFmtId="1" fontId="2" fillId="2" borderId="22" xfId="0" applyNumberFormat="1" applyFont="1" applyFill="1" applyBorder="1" applyAlignment="1" applyProtection="1">
      <alignment horizontal="center" vertical="center"/>
      <protection locked="0"/>
    </xf>
    <xf numFmtId="0" fontId="2" fillId="3" borderId="22" xfId="0" applyFont="1" applyFill="1" applyBorder="1" applyAlignment="1" applyProtection="1">
      <alignment horizontal="center" vertical="center"/>
      <protection locked="0"/>
    </xf>
    <xf numFmtId="1" fontId="38" fillId="16" borderId="26" xfId="0" applyNumberFormat="1" applyFont="1" applyFill="1" applyBorder="1" applyAlignment="1" applyProtection="1">
      <alignment horizontal="center" vertical="center"/>
      <protection locked="0"/>
    </xf>
    <xf numFmtId="1" fontId="38" fillId="0" borderId="26" xfId="0" applyNumberFormat="1" applyFont="1" applyFill="1" applyBorder="1" applyAlignment="1" applyProtection="1">
      <alignment horizontal="center" vertical="center"/>
      <protection locked="0"/>
    </xf>
    <xf numFmtId="1" fontId="54" fillId="12" borderId="42" xfId="0" applyNumberFormat="1" applyFont="1" applyFill="1" applyBorder="1" applyAlignment="1" applyProtection="1">
      <alignment horizontal="center" vertical="center"/>
    </xf>
    <xf numFmtId="0" fontId="2" fillId="2" borderId="26" xfId="0" applyFont="1" applyFill="1" applyBorder="1" applyAlignment="1" applyProtection="1">
      <alignment horizontal="center" vertical="center"/>
    </xf>
    <xf numFmtId="2" fontId="35" fillId="2" borderId="26" xfId="0" applyNumberFormat="1" applyFont="1" applyFill="1" applyBorder="1" applyAlignment="1" applyProtection="1">
      <alignment horizontal="right" vertical="center"/>
      <protection locked="0"/>
    </xf>
    <xf numFmtId="168" fontId="1" fillId="2" borderId="0" xfId="0" applyNumberFormat="1" applyFont="1" applyFill="1" applyAlignment="1" applyProtection="1">
      <alignment horizontal="center" vertical="center"/>
      <protection locked="0" hidden="1"/>
    </xf>
    <xf numFmtId="168" fontId="3" fillId="2" borderId="0" xfId="0" applyNumberFormat="1" applyFont="1" applyFill="1" applyBorder="1" applyAlignment="1">
      <alignment horizontal="center" vertical="center"/>
    </xf>
    <xf numFmtId="168" fontId="5" fillId="2" borderId="0" xfId="0" applyNumberFormat="1" applyFont="1" applyFill="1" applyBorder="1" applyAlignment="1">
      <alignment horizontal="center" vertical="center"/>
    </xf>
    <xf numFmtId="168" fontId="5" fillId="2" borderId="26" xfId="0" applyNumberFormat="1" applyFont="1" applyFill="1" applyBorder="1" applyAlignment="1">
      <alignment horizontal="center" vertical="center"/>
    </xf>
    <xf numFmtId="168" fontId="9" fillId="2" borderId="26" xfId="0" applyNumberFormat="1" applyFont="1" applyFill="1" applyBorder="1" applyAlignment="1" applyProtection="1">
      <alignment horizontal="center" vertical="center"/>
      <protection locked="0" hidden="1"/>
    </xf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9" fillId="2" borderId="26" xfId="0" applyFont="1" applyFill="1" applyBorder="1" applyAlignment="1" applyProtection="1">
      <alignment horizontal="center" vertical="center"/>
      <protection locked="0" hidden="1"/>
    </xf>
    <xf numFmtId="168" fontId="51" fillId="0" borderId="32" xfId="2" applyNumberFormat="1" applyFont="1" applyFill="1" applyBorder="1" applyAlignment="1">
      <alignment horizontal="center" vertical="center"/>
    </xf>
    <xf numFmtId="168" fontId="2" fillId="0" borderId="26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13" fillId="2" borderId="26" xfId="1" applyNumberFormat="1" applyFont="1" applyFill="1" applyBorder="1" applyAlignment="1" applyProtection="1">
      <alignment horizontal="center" vertical="center"/>
      <protection locked="0"/>
    </xf>
    <xf numFmtId="164" fontId="2" fillId="2" borderId="26" xfId="1" applyNumberFormat="1" applyFont="1" applyFill="1" applyBorder="1" applyAlignment="1" applyProtection="1">
      <alignment horizontal="left" vertical="center"/>
      <protection locked="0"/>
    </xf>
    <xf numFmtId="1" fontId="2" fillId="2" borderId="26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vertical="center"/>
    </xf>
    <xf numFmtId="0" fontId="55" fillId="11" borderId="9" xfId="0" applyFont="1" applyFill="1" applyBorder="1" applyAlignment="1" applyProtection="1">
      <alignment horizontal="center" vertical="center"/>
    </xf>
    <xf numFmtId="168" fontId="2" fillId="2" borderId="0" xfId="0" applyNumberFormat="1" applyFont="1" applyFill="1" applyAlignment="1" applyProtection="1">
      <alignment horizontal="center" vertical="center"/>
      <protection locked="0" hidden="1"/>
    </xf>
    <xf numFmtId="0" fontId="2" fillId="2" borderId="0" xfId="0" applyFont="1" applyFill="1" applyAlignment="1" applyProtection="1">
      <alignment horizontal="center" vertical="center"/>
      <protection locked="0" hidden="1"/>
    </xf>
    <xf numFmtId="168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68" fontId="56" fillId="0" borderId="35" xfId="2" applyNumberFormat="1" applyFont="1" applyFill="1" applyBorder="1" applyAlignment="1">
      <alignment horizontal="center" vertical="center"/>
    </xf>
    <xf numFmtId="0" fontId="45" fillId="3" borderId="25" xfId="0" applyFont="1" applyFill="1" applyBorder="1" applyAlignment="1">
      <alignment horizontal="center" vertical="center"/>
    </xf>
    <xf numFmtId="0" fontId="56" fillId="0" borderId="36" xfId="2" applyFont="1" applyFill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2" fillId="2" borderId="22" xfId="1" applyFont="1" applyFill="1" applyBorder="1" applyAlignment="1" applyProtection="1">
      <alignment vertical="center"/>
      <protection locked="0"/>
    </xf>
    <xf numFmtId="1" fontId="38" fillId="3" borderId="26" xfId="1" applyNumberFormat="1" applyFont="1" applyFill="1" applyBorder="1" applyAlignment="1" applyProtection="1">
      <alignment horizontal="center" vertical="center"/>
      <protection locked="0"/>
    </xf>
    <xf numFmtId="0" fontId="2" fillId="3" borderId="22" xfId="1" applyFont="1" applyFill="1" applyBorder="1" applyAlignment="1" applyProtection="1">
      <alignment horizontal="center" vertical="center"/>
      <protection locked="0"/>
    </xf>
    <xf numFmtId="2" fontId="35" fillId="2" borderId="22" xfId="1" applyNumberFormat="1" applyFont="1" applyFill="1" applyBorder="1" applyAlignment="1" applyProtection="1">
      <alignment horizontal="center" vertical="center"/>
      <protection locked="0"/>
    </xf>
    <xf numFmtId="1" fontId="7" fillId="12" borderId="41" xfId="0" applyNumberFormat="1" applyFont="1" applyFill="1" applyBorder="1" applyAlignment="1" applyProtection="1">
      <alignment horizontal="center" vertical="center"/>
    </xf>
    <xf numFmtId="0" fontId="9" fillId="0" borderId="26" xfId="0" applyFont="1" applyBorder="1" applyAlignment="1">
      <alignment horizontal="center"/>
    </xf>
    <xf numFmtId="168" fontId="50" fillId="0" borderId="41" xfId="0" applyNumberFormat="1" applyFont="1" applyBorder="1" applyAlignment="1">
      <alignment horizontal="center" vertical="center"/>
    </xf>
    <xf numFmtId="0" fontId="9" fillId="0" borderId="26" xfId="0" applyFont="1" applyFill="1" applyBorder="1" applyAlignment="1">
      <alignment horizontal="center"/>
    </xf>
    <xf numFmtId="164" fontId="35" fillId="2" borderId="44" xfId="0" applyNumberFormat="1" applyFont="1" applyFill="1" applyBorder="1" applyAlignment="1" applyProtection="1">
      <alignment horizontal="center" vertical="center"/>
      <protection locked="0"/>
    </xf>
    <xf numFmtId="164" fontId="35" fillId="2" borderId="45" xfId="0" applyNumberFormat="1" applyFont="1" applyFill="1" applyBorder="1" applyAlignment="1" applyProtection="1">
      <alignment horizontal="left" vertical="center"/>
      <protection locked="0"/>
    </xf>
    <xf numFmtId="1" fontId="35" fillId="2" borderId="44" xfId="0" applyNumberFormat="1" applyFont="1" applyFill="1" applyBorder="1" applyAlignment="1" applyProtection="1">
      <alignment horizontal="center" vertical="center"/>
      <protection locked="0"/>
    </xf>
    <xf numFmtId="164" fontId="35" fillId="2" borderId="12" xfId="0" applyNumberFormat="1" applyFont="1" applyFill="1" applyBorder="1" applyAlignment="1" applyProtection="1">
      <alignment horizontal="center" vertical="center"/>
      <protection locked="0"/>
    </xf>
    <xf numFmtId="0" fontId="2" fillId="2" borderId="51" xfId="0" applyFont="1" applyFill="1" applyBorder="1" applyAlignment="1" applyProtection="1">
      <alignment vertical="center"/>
      <protection locked="0"/>
    </xf>
    <xf numFmtId="1" fontId="35" fillId="2" borderId="12" xfId="0" applyNumberFormat="1" applyFont="1" applyFill="1" applyBorder="1" applyAlignment="1" applyProtection="1">
      <alignment horizontal="center" vertical="center"/>
      <protection locked="0"/>
    </xf>
    <xf numFmtId="2" fontId="19" fillId="2" borderId="52" xfId="0" applyNumberFormat="1" applyFont="1" applyFill="1" applyBorder="1" applyAlignment="1" applyProtection="1">
      <alignment horizontal="center" vertical="center"/>
      <protection locked="0"/>
    </xf>
    <xf numFmtId="2" fontId="35" fillId="2" borderId="47" xfId="0" applyNumberFormat="1" applyFont="1" applyFill="1" applyBorder="1" applyAlignment="1" applyProtection="1">
      <alignment horizontal="center" vertical="center"/>
      <protection locked="0"/>
    </xf>
    <xf numFmtId="1" fontId="38" fillId="15" borderId="48" xfId="0" applyNumberFormat="1" applyFont="1" applyFill="1" applyBorder="1" applyAlignment="1" applyProtection="1">
      <alignment horizontal="center" vertical="center"/>
      <protection locked="0"/>
    </xf>
    <xf numFmtId="1" fontId="38" fillId="15" borderId="49" xfId="0" applyNumberFormat="1" applyFont="1" applyFill="1" applyBorder="1" applyAlignment="1" applyProtection="1">
      <alignment horizontal="center" vertical="center"/>
      <protection locked="0"/>
    </xf>
    <xf numFmtId="2" fontId="35" fillId="2" borderId="52" xfId="0" applyNumberFormat="1" applyFont="1" applyFill="1" applyBorder="1" applyAlignment="1" applyProtection="1">
      <alignment horizontal="center" vertical="center"/>
      <protection locked="0"/>
    </xf>
    <xf numFmtId="1" fontId="38" fillId="10" borderId="53" xfId="0" applyNumberFormat="1" applyFont="1" applyFill="1" applyBorder="1" applyAlignment="1" applyProtection="1">
      <alignment horizontal="center" vertical="center"/>
      <protection locked="0"/>
    </xf>
    <xf numFmtId="1" fontId="38" fillId="10" borderId="54" xfId="0" applyNumberFormat="1" applyFont="1" applyFill="1" applyBorder="1" applyAlignment="1" applyProtection="1">
      <alignment horizontal="center" vertical="center"/>
      <protection locked="0"/>
    </xf>
    <xf numFmtId="1" fontId="38" fillId="15" borderId="53" xfId="0" applyNumberFormat="1" applyFont="1" applyFill="1" applyBorder="1" applyAlignment="1" applyProtection="1">
      <alignment horizontal="center" vertical="center"/>
      <protection locked="0"/>
    </xf>
    <xf numFmtId="1" fontId="38" fillId="15" borderId="54" xfId="0" applyNumberFormat="1" applyFont="1" applyFill="1" applyBorder="1" applyAlignment="1" applyProtection="1">
      <alignment horizontal="center" vertical="center"/>
      <protection locked="0"/>
    </xf>
    <xf numFmtId="164" fontId="35" fillId="2" borderId="56" xfId="0" applyNumberFormat="1" applyFont="1" applyFill="1" applyBorder="1" applyAlignment="1" applyProtection="1">
      <alignment horizontal="left" vertical="center"/>
      <protection locked="0"/>
    </xf>
    <xf numFmtId="0" fontId="2" fillId="2" borderId="57" xfId="0" applyFont="1" applyFill="1" applyBorder="1" applyAlignment="1" applyProtection="1">
      <alignment vertical="center"/>
      <protection locked="0"/>
    </xf>
    <xf numFmtId="164" fontId="19" fillId="2" borderId="12" xfId="0" applyNumberFormat="1" applyFont="1" applyFill="1" applyBorder="1" applyAlignment="1" applyProtection="1">
      <alignment horizontal="center" vertical="center"/>
      <protection locked="0"/>
    </xf>
    <xf numFmtId="1" fontId="30" fillId="2" borderId="58" xfId="0" applyNumberFormat="1" applyFont="1" applyFill="1" applyBorder="1" applyAlignment="1" applyProtection="1">
      <alignment horizontal="center" vertical="center"/>
      <protection locked="0"/>
    </xf>
    <xf numFmtId="1" fontId="30" fillId="2" borderId="12" xfId="0" applyNumberFormat="1" applyFont="1" applyFill="1" applyBorder="1" applyAlignment="1" applyProtection="1">
      <alignment horizontal="center" vertical="center"/>
      <protection locked="0"/>
    </xf>
    <xf numFmtId="164" fontId="35" fillId="2" borderId="43" xfId="0" applyNumberFormat="1" applyFont="1" applyFill="1" applyBorder="1" applyAlignment="1" applyProtection="1">
      <alignment horizontal="center" vertical="center"/>
      <protection locked="0"/>
    </xf>
    <xf numFmtId="0" fontId="2" fillId="2" borderId="66" xfId="0" applyFont="1" applyFill="1" applyBorder="1" applyAlignment="1" applyProtection="1">
      <alignment vertical="center"/>
      <protection locked="0"/>
    </xf>
    <xf numFmtId="0" fontId="6" fillId="2" borderId="73" xfId="0" applyFont="1" applyFill="1" applyBorder="1" applyAlignment="1" applyProtection="1">
      <alignment horizontal="center" vertical="center"/>
    </xf>
    <xf numFmtId="0" fontId="6" fillId="2" borderId="74" xfId="0" applyFont="1" applyFill="1" applyBorder="1" applyAlignment="1" applyProtection="1">
      <alignment horizontal="center" vertical="center"/>
    </xf>
    <xf numFmtId="2" fontId="11" fillId="2" borderId="64" xfId="0" applyNumberFormat="1" applyFont="1" applyFill="1" applyBorder="1" applyAlignment="1" applyProtection="1">
      <alignment horizontal="center" vertical="center"/>
    </xf>
    <xf numFmtId="0" fontId="25" fillId="2" borderId="11" xfId="0" applyFont="1" applyFill="1" applyBorder="1" applyAlignment="1" applyProtection="1">
      <alignment horizontal="center" vertical="center"/>
    </xf>
    <xf numFmtId="0" fontId="23" fillId="2" borderId="12" xfId="0" applyNumberFormat="1" applyFont="1" applyFill="1" applyBorder="1" applyAlignment="1" applyProtection="1">
      <alignment horizontal="center" vertical="center"/>
      <protection locked="0"/>
    </xf>
    <xf numFmtId="0" fontId="2" fillId="2" borderId="75" xfId="0" applyFont="1" applyFill="1" applyBorder="1" applyAlignment="1" applyProtection="1">
      <alignment horizontal="center" vertical="center"/>
      <protection locked="0"/>
    </xf>
    <xf numFmtId="164" fontId="30" fillId="2" borderId="44" xfId="0" applyNumberFormat="1" applyFont="1" applyFill="1" applyBorder="1" applyAlignment="1" applyProtection="1">
      <alignment horizontal="center" vertical="center"/>
      <protection locked="0"/>
    </xf>
    <xf numFmtId="0" fontId="48" fillId="2" borderId="11" xfId="0" applyFont="1" applyFill="1" applyBorder="1" applyAlignment="1" applyProtection="1">
      <alignment horizontal="center" vertical="center"/>
    </xf>
    <xf numFmtId="0" fontId="48" fillId="2" borderId="12" xfId="0" applyNumberFormat="1" applyFont="1" applyFill="1" applyBorder="1" applyAlignment="1" applyProtection="1">
      <alignment horizontal="center" vertical="center"/>
    </xf>
    <xf numFmtId="0" fontId="49" fillId="2" borderId="12" xfId="0" applyNumberFormat="1" applyFont="1" applyFill="1" applyBorder="1" applyAlignment="1" applyProtection="1">
      <alignment horizontal="center" vertical="center"/>
      <protection locked="0"/>
    </xf>
    <xf numFmtId="164" fontId="30" fillId="2" borderId="50" xfId="0" applyNumberFormat="1" applyFont="1" applyFill="1" applyBorder="1" applyAlignment="1" applyProtection="1">
      <alignment horizontal="left" vertical="center"/>
      <protection locked="0"/>
    </xf>
    <xf numFmtId="0" fontId="30" fillId="2" borderId="51" xfId="0" applyFont="1" applyFill="1" applyBorder="1" applyAlignment="1" applyProtection="1">
      <alignment vertical="center"/>
      <protection locked="0"/>
    </xf>
    <xf numFmtId="2" fontId="30" fillId="3" borderId="12" xfId="0" applyNumberFormat="1" applyFont="1" applyFill="1" applyBorder="1" applyAlignment="1" applyProtection="1">
      <alignment horizontal="center" vertical="center"/>
      <protection locked="0"/>
    </xf>
    <xf numFmtId="164" fontId="50" fillId="2" borderId="77" xfId="0" applyNumberFormat="1" applyFont="1" applyFill="1" applyBorder="1" applyAlignment="1" applyProtection="1">
      <alignment horizontal="center" vertical="center"/>
      <protection locked="0"/>
    </xf>
    <xf numFmtId="164" fontId="30" fillId="2" borderId="12" xfId="0" applyNumberFormat="1" applyFont="1" applyFill="1" applyBorder="1" applyAlignment="1" applyProtection="1">
      <alignment horizontal="center" vertical="center"/>
      <protection locked="0"/>
    </xf>
    <xf numFmtId="0" fontId="30" fillId="3" borderId="12" xfId="0" applyFont="1" applyFill="1" applyBorder="1" applyAlignment="1" applyProtection="1">
      <alignment horizontal="center" vertical="center"/>
      <protection locked="0"/>
    </xf>
    <xf numFmtId="164" fontId="30" fillId="2" borderId="77" xfId="0" applyNumberFormat="1" applyFont="1" applyFill="1" applyBorder="1" applyAlignment="1" applyProtection="1">
      <alignment horizontal="center" vertical="center"/>
      <protection locked="0"/>
    </xf>
    <xf numFmtId="2" fontId="50" fillId="2" borderId="52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</xf>
    <xf numFmtId="164" fontId="2" fillId="2" borderId="50" xfId="0" applyNumberFormat="1" applyFont="1" applyFill="1" applyBorder="1" applyAlignment="1" applyProtection="1">
      <alignment horizontal="left" vertical="center"/>
      <protection locked="0"/>
    </xf>
    <xf numFmtId="1" fontId="2" fillId="2" borderId="58" xfId="0" applyNumberFormat="1" applyFont="1" applyFill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 applyProtection="1">
      <alignment horizontal="center" vertical="center"/>
      <protection locked="0"/>
    </xf>
    <xf numFmtId="164" fontId="2" fillId="2" borderId="77" xfId="0" applyNumberFormat="1" applyFont="1" applyFill="1" applyBorder="1" applyAlignment="1" applyProtection="1">
      <alignment horizontal="center" vertical="center"/>
      <protection locked="0"/>
    </xf>
    <xf numFmtId="2" fontId="2" fillId="3" borderId="12" xfId="0" applyNumberFormat="1" applyFont="1" applyFill="1" applyBorder="1" applyAlignment="1" applyProtection="1">
      <alignment horizontal="center" vertical="center"/>
      <protection locked="0"/>
    </xf>
    <xf numFmtId="1" fontId="38" fillId="15" borderId="68" xfId="0" applyNumberFormat="1" applyFont="1" applyFill="1" applyBorder="1" applyAlignment="1" applyProtection="1">
      <alignment horizontal="center" vertical="center"/>
      <protection locked="0"/>
    </xf>
    <xf numFmtId="1" fontId="38" fillId="15" borderId="69" xfId="0" applyNumberFormat="1" applyFont="1" applyFill="1" applyBorder="1" applyAlignment="1" applyProtection="1">
      <alignment horizontal="center" vertical="center"/>
      <protection locked="0"/>
    </xf>
    <xf numFmtId="1" fontId="38" fillId="3" borderId="54" xfId="0" applyNumberFormat="1" applyFont="1" applyFill="1" applyBorder="1" applyAlignment="1" applyProtection="1">
      <alignment horizontal="center" vertical="center"/>
      <protection locked="0"/>
    </xf>
    <xf numFmtId="1" fontId="38" fillId="15" borderId="71" xfId="0" applyNumberFormat="1" applyFont="1" applyFill="1" applyBorder="1" applyAlignment="1" applyProtection="1">
      <alignment horizontal="center" vertical="center"/>
      <protection locked="0"/>
    </xf>
    <xf numFmtId="0" fontId="2" fillId="2" borderId="80" xfId="0" applyFont="1" applyFill="1" applyBorder="1" applyAlignment="1" applyProtection="1">
      <alignment horizontal="center" vertical="center"/>
      <protection locked="0"/>
    </xf>
    <xf numFmtId="1" fontId="7" fillId="0" borderId="13" xfId="0" applyNumberFormat="1" applyFont="1" applyFill="1" applyBorder="1" applyAlignment="1" applyProtection="1">
      <alignment horizontal="center" vertical="center"/>
    </xf>
    <xf numFmtId="2" fontId="30" fillId="2" borderId="52" xfId="0" applyNumberFormat="1" applyFont="1" applyFill="1" applyBorder="1" applyAlignment="1" applyProtection="1">
      <alignment horizontal="center" vertical="center"/>
      <protection locked="0"/>
    </xf>
    <xf numFmtId="0" fontId="6" fillId="2" borderId="12" xfId="0" quotePrefix="1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  <xf numFmtId="2" fontId="35" fillId="2" borderId="67" xfId="0" applyNumberFormat="1" applyFont="1" applyFill="1" applyBorder="1" applyAlignment="1" applyProtection="1">
      <alignment horizontal="center" vertical="center"/>
      <protection locked="0"/>
    </xf>
    <xf numFmtId="0" fontId="57" fillId="2" borderId="12" xfId="0" applyFont="1" applyFill="1" applyBorder="1" applyAlignment="1" applyProtection="1">
      <alignment horizontal="center" vertical="center"/>
    </xf>
    <xf numFmtId="0" fontId="60" fillId="2" borderId="26" xfId="0" applyNumberFormat="1" applyFont="1" applyFill="1" applyBorder="1" applyAlignment="1" applyProtection="1">
      <alignment horizontal="center" vertical="center"/>
      <protection locked="0"/>
    </xf>
    <xf numFmtId="164" fontId="34" fillId="2" borderId="26" xfId="0" applyNumberFormat="1" applyFont="1" applyFill="1" applyBorder="1" applyAlignment="1" applyProtection="1">
      <alignment horizontal="center" vertical="center"/>
      <protection locked="0"/>
    </xf>
    <xf numFmtId="164" fontId="34" fillId="2" borderId="26" xfId="0" applyNumberFormat="1" applyFont="1" applyFill="1" applyBorder="1" applyAlignment="1" applyProtection="1">
      <alignment horizontal="left" vertical="center"/>
      <protection locked="0"/>
    </xf>
    <xf numFmtId="1" fontId="34" fillId="2" borderId="26" xfId="0" applyNumberFormat="1" applyFont="1" applyFill="1" applyBorder="1" applyAlignment="1" applyProtection="1">
      <alignment horizontal="center" vertical="center"/>
      <protection locked="0"/>
    </xf>
    <xf numFmtId="0" fontId="34" fillId="3" borderId="26" xfId="0" applyFont="1" applyFill="1" applyBorder="1" applyAlignment="1" applyProtection="1">
      <alignment horizontal="center" vertical="center"/>
      <protection locked="0"/>
    </xf>
    <xf numFmtId="2" fontId="36" fillId="2" borderId="26" xfId="0" applyNumberFormat="1" applyFont="1" applyFill="1" applyBorder="1" applyAlignment="1" applyProtection="1">
      <alignment horizontal="center" vertical="center"/>
      <protection locked="0"/>
    </xf>
    <xf numFmtId="1" fontId="57" fillId="12" borderId="13" xfId="0" applyNumberFormat="1" applyFont="1" applyFill="1" applyBorder="1" applyAlignment="1" applyProtection="1">
      <alignment horizontal="center" vertical="center"/>
    </xf>
    <xf numFmtId="1" fontId="58" fillId="2" borderId="11" xfId="0" applyNumberFormat="1" applyFont="1" applyFill="1" applyBorder="1" applyAlignment="1" applyProtection="1">
      <alignment horizontal="center" vertical="center"/>
    </xf>
    <xf numFmtId="2" fontId="59" fillId="2" borderId="14" xfId="0" applyNumberFormat="1" applyFont="1" applyFill="1" applyBorder="1" applyAlignment="1" applyProtection="1">
      <alignment horizontal="center" vertical="center"/>
    </xf>
    <xf numFmtId="2" fontId="34" fillId="3" borderId="26" xfId="0" applyNumberFormat="1" applyFont="1" applyFill="1" applyBorder="1" applyAlignment="1" applyProtection="1">
      <alignment horizontal="center" vertical="center"/>
      <protection locked="0"/>
    </xf>
    <xf numFmtId="1" fontId="38" fillId="3" borderId="53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3" fillId="2" borderId="12" xfId="0" applyFont="1" applyFill="1" applyBorder="1" applyAlignment="1" applyProtection="1">
      <alignment horizontal="center" vertical="center"/>
      <protection locked="0"/>
    </xf>
    <xf numFmtId="1" fontId="7" fillId="12" borderId="13" xfId="0" applyNumberFormat="1" applyFont="1" applyFill="1" applyBorder="1" applyAlignment="1">
      <alignment horizontal="center" vertical="center"/>
    </xf>
    <xf numFmtId="1" fontId="21" fillId="2" borderId="11" xfId="0" applyNumberFormat="1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2" fontId="11" fillId="2" borderId="14" xfId="0" applyNumberFormat="1" applyFont="1" applyFill="1" applyBorder="1" applyAlignment="1">
      <alignment horizontal="center" vertical="center"/>
    </xf>
    <xf numFmtId="0" fontId="1" fillId="2" borderId="55" xfId="0" applyNumberFormat="1" applyFont="1" applyFill="1" applyBorder="1" applyAlignment="1" applyProtection="1">
      <alignment horizontal="center" vertical="center"/>
    </xf>
    <xf numFmtId="1" fontId="7" fillId="12" borderId="20" xfId="0" applyNumberFormat="1" applyFont="1" applyFill="1" applyBorder="1" applyAlignment="1">
      <alignment horizontal="center" vertical="center"/>
    </xf>
    <xf numFmtId="1" fontId="21" fillId="2" borderId="19" xfId="0" applyNumberFormat="1" applyFont="1" applyFill="1" applyBorder="1" applyAlignment="1">
      <alignment horizontal="center" vertical="center"/>
    </xf>
    <xf numFmtId="0" fontId="6" fillId="2" borderId="12" xfId="0" quotePrefix="1" applyFont="1" applyFill="1" applyBorder="1" applyAlignment="1">
      <alignment horizontal="center" vertical="center"/>
    </xf>
    <xf numFmtId="2" fontId="11" fillId="2" borderId="21" xfId="0" applyNumberFormat="1" applyFont="1" applyFill="1" applyBorder="1" applyAlignment="1">
      <alignment horizontal="center" vertical="center"/>
    </xf>
    <xf numFmtId="0" fontId="43" fillId="2" borderId="55" xfId="0" applyNumberFormat="1" applyFont="1" applyFill="1" applyBorder="1" applyAlignment="1" applyProtection="1">
      <alignment horizontal="center" vertical="center"/>
      <protection locked="0"/>
    </xf>
    <xf numFmtId="164" fontId="2" fillId="2" borderId="45" xfId="0" applyNumberFormat="1" applyFont="1" applyFill="1" applyBorder="1" applyAlignment="1" applyProtection="1">
      <alignment horizontal="left" vertical="center"/>
      <protection locked="0"/>
    </xf>
    <xf numFmtId="164" fontId="2" fillId="4" borderId="50" xfId="0" applyNumberFormat="1" applyFont="1" applyFill="1" applyBorder="1" applyAlignment="1" applyProtection="1">
      <alignment horizontal="left" vertical="center"/>
      <protection locked="0"/>
    </xf>
    <xf numFmtId="0" fontId="2" fillId="4" borderId="51" xfId="0" applyFont="1" applyFill="1" applyBorder="1" applyAlignment="1" applyProtection="1">
      <alignment vertical="center"/>
      <protection locked="0"/>
    </xf>
    <xf numFmtId="1" fontId="2" fillId="4" borderId="58" xfId="0" applyNumberFormat="1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center" vertical="center"/>
      <protection locked="0"/>
    </xf>
    <xf numFmtId="164" fontId="2" fillId="4" borderId="77" xfId="0" applyNumberFormat="1" applyFont="1" applyFill="1" applyBorder="1" applyAlignment="1" applyProtection="1">
      <alignment horizontal="center" vertical="center"/>
      <protection locked="0"/>
    </xf>
    <xf numFmtId="2" fontId="19" fillId="4" borderId="52" xfId="0" applyNumberFormat="1" applyFont="1" applyFill="1" applyBorder="1" applyAlignment="1" applyProtection="1">
      <alignment horizontal="center" vertical="center"/>
      <protection locked="0"/>
    </xf>
    <xf numFmtId="2" fontId="2" fillId="4" borderId="12" xfId="0" applyNumberFormat="1" applyFont="1" applyFill="1" applyBorder="1" applyAlignment="1" applyProtection="1">
      <alignment horizontal="center" vertical="center"/>
      <protection locked="0"/>
    </xf>
    <xf numFmtId="0" fontId="30" fillId="2" borderId="0" xfId="1" applyFont="1" applyFill="1" applyAlignment="1" applyProtection="1">
      <alignment vertical="center"/>
      <protection locked="0" hidden="1"/>
    </xf>
    <xf numFmtId="0" fontId="30" fillId="3" borderId="0" xfId="1" applyFont="1" applyFill="1" applyAlignment="1" applyProtection="1">
      <alignment vertical="center"/>
      <protection locked="0" hidden="1"/>
    </xf>
    <xf numFmtId="2" fontId="30" fillId="2" borderId="14" xfId="1" applyNumberFormat="1" applyFont="1" applyFill="1" applyBorder="1" applyAlignment="1">
      <alignment horizontal="center" vertical="center"/>
    </xf>
    <xf numFmtId="164" fontId="35" fillId="2" borderId="77" xfId="1" applyNumberFormat="1" applyFont="1" applyFill="1" applyBorder="1" applyAlignment="1" applyProtection="1">
      <alignment horizontal="center" vertical="center"/>
      <protection locked="0"/>
    </xf>
    <xf numFmtId="1" fontId="2" fillId="2" borderId="58" xfId="1" applyNumberFormat="1" applyFont="1" applyFill="1" applyBorder="1" applyAlignment="1" applyProtection="1">
      <alignment horizontal="center" vertical="center"/>
      <protection locked="0"/>
    </xf>
    <xf numFmtId="164" fontId="2" fillId="2" borderId="77" xfId="1" applyNumberFormat="1" applyFont="1" applyFill="1" applyBorder="1" applyAlignment="1" applyProtection="1">
      <alignment horizontal="center" vertical="center"/>
      <protection locked="0"/>
    </xf>
    <xf numFmtId="2" fontId="9" fillId="2" borderId="52" xfId="1" applyNumberFormat="1" applyFont="1" applyFill="1" applyBorder="1" applyAlignment="1" applyProtection="1">
      <alignment horizontal="center" vertical="center"/>
      <protection locked="0"/>
    </xf>
    <xf numFmtId="1" fontId="10" fillId="12" borderId="13" xfId="1" applyNumberFormat="1" applyFont="1" applyFill="1" applyBorder="1" applyAlignment="1">
      <alignment horizontal="center" vertical="center"/>
    </xf>
    <xf numFmtId="1" fontId="10" fillId="2" borderId="11" xfId="1" applyNumberFormat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2" fontId="2" fillId="2" borderId="14" xfId="1" applyNumberFormat="1" applyFont="1" applyFill="1" applyBorder="1" applyAlignment="1">
      <alignment horizontal="center" vertical="center"/>
    </xf>
    <xf numFmtId="0" fontId="2" fillId="2" borderId="0" xfId="1" applyFont="1" applyFill="1" applyAlignment="1" applyProtection="1">
      <alignment vertical="center"/>
      <protection locked="0" hidden="1"/>
    </xf>
    <xf numFmtId="0" fontId="2" fillId="3" borderId="0" xfId="1" applyFont="1" applyFill="1" applyAlignment="1" applyProtection="1">
      <alignment vertical="center"/>
      <protection locked="0" hidden="1"/>
    </xf>
    <xf numFmtId="0" fontId="6" fillId="2" borderId="12" xfId="1" applyFont="1" applyFill="1" applyBorder="1" applyAlignment="1">
      <alignment horizontal="center" vertical="center"/>
    </xf>
    <xf numFmtId="2" fontId="11" fillId="2" borderId="14" xfId="1" applyNumberFormat="1" applyFont="1" applyFill="1" applyBorder="1" applyAlignment="1">
      <alignment horizontal="center" vertical="center"/>
    </xf>
    <xf numFmtId="1" fontId="21" fillId="2" borderId="11" xfId="1" applyNumberFormat="1" applyFont="1" applyFill="1" applyBorder="1" applyAlignment="1">
      <alignment horizontal="center" vertical="center"/>
    </xf>
    <xf numFmtId="1" fontId="7" fillId="12" borderId="13" xfId="1" applyNumberFormat="1" applyFont="1" applyFill="1" applyBorder="1" applyAlignment="1">
      <alignment horizontal="center" vertical="center"/>
    </xf>
    <xf numFmtId="1" fontId="7" fillId="12" borderId="20" xfId="1" applyNumberFormat="1" applyFont="1" applyFill="1" applyBorder="1" applyAlignment="1">
      <alignment horizontal="center" vertical="center"/>
    </xf>
    <xf numFmtId="1" fontId="21" fillId="2" borderId="19" xfId="1" applyNumberFormat="1" applyFont="1" applyFill="1" applyBorder="1" applyAlignment="1">
      <alignment horizontal="center" vertical="center"/>
    </xf>
    <xf numFmtId="2" fontId="11" fillId="2" borderId="21" xfId="1" applyNumberFormat="1" applyFont="1" applyFill="1" applyBorder="1" applyAlignment="1">
      <alignment horizontal="center" vertical="center"/>
    </xf>
    <xf numFmtId="0" fontId="48" fillId="2" borderId="79" xfId="1" applyFont="1" applyFill="1" applyBorder="1" applyAlignment="1">
      <alignment horizontal="center" vertical="center"/>
    </xf>
    <xf numFmtId="0" fontId="48" fillId="2" borderId="55" xfId="1" applyFont="1" applyFill="1" applyBorder="1" applyAlignment="1">
      <alignment horizontal="center" vertical="center"/>
    </xf>
    <xf numFmtId="0" fontId="49" fillId="2" borderId="55" xfId="1" applyFont="1" applyFill="1" applyBorder="1" applyAlignment="1" applyProtection="1">
      <alignment horizontal="center" vertical="center"/>
      <protection locked="0"/>
    </xf>
    <xf numFmtId="164" fontId="30" fillId="2" borderId="44" xfId="1" applyNumberFormat="1" applyFont="1" applyFill="1" applyBorder="1" applyAlignment="1" applyProtection="1">
      <alignment horizontal="center" vertical="center"/>
      <protection locked="0"/>
    </xf>
    <xf numFmtId="164" fontId="30" fillId="2" borderId="45" xfId="1" applyNumberFormat="1" applyFont="1" applyFill="1" applyBorder="1" applyAlignment="1" applyProtection="1">
      <alignment horizontal="left" vertical="center"/>
      <protection locked="0"/>
    </xf>
    <xf numFmtId="0" fontId="30" fillId="2" borderId="46" xfId="1" applyFont="1" applyFill="1" applyBorder="1" applyAlignment="1" applyProtection="1">
      <alignment vertical="center"/>
      <protection locked="0"/>
    </xf>
    <xf numFmtId="1" fontId="30" fillId="2" borderId="34" xfId="1" applyNumberFormat="1" applyFont="1" applyFill="1" applyBorder="1" applyAlignment="1" applyProtection="1">
      <alignment horizontal="center" vertical="center"/>
      <protection locked="0"/>
    </xf>
    <xf numFmtId="0" fontId="48" fillId="2" borderId="11" xfId="1" applyFont="1" applyFill="1" applyBorder="1" applyAlignment="1">
      <alignment horizontal="center" vertical="center"/>
    </xf>
    <xf numFmtId="0" fontId="48" fillId="2" borderId="12" xfId="1" applyFont="1" applyFill="1" applyBorder="1" applyAlignment="1">
      <alignment horizontal="center" vertical="center"/>
    </xf>
    <xf numFmtId="0" fontId="49" fillId="2" borderId="12" xfId="1" applyFont="1" applyFill="1" applyBorder="1" applyAlignment="1" applyProtection="1">
      <alignment horizontal="center" vertical="center"/>
      <protection locked="0"/>
    </xf>
    <xf numFmtId="164" fontId="30" fillId="2" borderId="12" xfId="1" applyNumberFormat="1" applyFont="1" applyFill="1" applyBorder="1" applyAlignment="1" applyProtection="1">
      <alignment horizontal="center" vertical="center"/>
      <protection locked="0"/>
    </xf>
    <xf numFmtId="164" fontId="30" fillId="2" borderId="50" xfId="1" applyNumberFormat="1" applyFont="1" applyFill="1" applyBorder="1" applyAlignment="1" applyProtection="1">
      <alignment horizontal="left" vertical="center"/>
      <protection locked="0"/>
    </xf>
    <xf numFmtId="0" fontId="30" fillId="2" borderId="51" xfId="1" applyFont="1" applyFill="1" applyBorder="1" applyAlignment="1" applyProtection="1">
      <alignment vertical="center"/>
      <protection locked="0"/>
    </xf>
    <xf numFmtId="1" fontId="30" fillId="2" borderId="58" xfId="1" applyNumberFormat="1" applyFont="1" applyFill="1" applyBorder="1" applyAlignment="1" applyProtection="1">
      <alignment horizontal="center" vertical="center"/>
      <protection locked="0"/>
    </xf>
    <xf numFmtId="0" fontId="30" fillId="3" borderId="12" xfId="1" applyFont="1" applyFill="1" applyBorder="1" applyAlignment="1" applyProtection="1">
      <alignment horizontal="center" vertical="center"/>
      <protection locked="0"/>
    </xf>
    <xf numFmtId="164" fontId="30" fillId="2" borderId="77" xfId="1" applyNumberFormat="1" applyFont="1" applyFill="1" applyBorder="1" applyAlignment="1" applyProtection="1">
      <alignment horizontal="center" vertical="center"/>
      <protection locked="0"/>
    </xf>
    <xf numFmtId="2" fontId="50" fillId="2" borderId="52" xfId="1" applyNumberFormat="1" applyFont="1" applyFill="1" applyBorder="1" applyAlignment="1" applyProtection="1">
      <alignment horizontal="center" vertical="center"/>
      <protection locked="0"/>
    </xf>
    <xf numFmtId="1" fontId="30" fillId="2" borderId="12" xfId="1" applyNumberFormat="1" applyFont="1" applyFill="1" applyBorder="1" applyAlignment="1" applyProtection="1">
      <alignment horizontal="center" vertical="center"/>
      <protection locked="0"/>
    </xf>
    <xf numFmtId="164" fontId="35" fillId="2" borderId="50" xfId="1" applyNumberFormat="1" applyFont="1" applyFill="1" applyBorder="1" applyAlignment="1" applyProtection="1">
      <alignment horizontal="left" vertical="center"/>
      <protection locked="0"/>
    </xf>
    <xf numFmtId="0" fontId="2" fillId="2" borderId="51" xfId="1" applyFont="1" applyFill="1" applyBorder="1" applyAlignment="1" applyProtection="1">
      <alignment vertical="center"/>
      <protection locked="0"/>
    </xf>
    <xf numFmtId="1" fontId="35" fillId="2" borderId="12" xfId="1" applyNumberFormat="1" applyFont="1" applyFill="1" applyBorder="1" applyAlignment="1" applyProtection="1">
      <alignment horizontal="center" vertical="center"/>
      <protection locked="0"/>
    </xf>
    <xf numFmtId="1" fontId="35" fillId="2" borderId="58" xfId="1" applyNumberFormat="1" applyFont="1" applyFill="1" applyBorder="1" applyAlignment="1" applyProtection="1">
      <alignment horizontal="center" vertical="center"/>
      <protection locked="0"/>
    </xf>
    <xf numFmtId="0" fontId="30" fillId="3" borderId="55" xfId="1" applyFont="1" applyFill="1" applyBorder="1" applyAlignment="1" applyProtection="1">
      <alignment horizontal="center" vertical="center"/>
      <protection locked="0"/>
    </xf>
    <xf numFmtId="164" fontId="30" fillId="2" borderId="76" xfId="1" applyNumberFormat="1" applyFont="1" applyFill="1" applyBorder="1" applyAlignment="1" applyProtection="1">
      <alignment horizontal="center" vertical="center"/>
      <protection locked="0"/>
    </xf>
    <xf numFmtId="0" fontId="1" fillId="2" borderId="11" xfId="1" applyFont="1" applyFill="1" applyBorder="1" applyAlignment="1">
      <alignment horizontal="center" vertical="center"/>
    </xf>
    <xf numFmtId="0" fontId="1" fillId="2" borderId="12" xfId="1" applyFont="1" applyFill="1" applyBorder="1" applyAlignment="1">
      <alignment horizontal="center" vertical="center"/>
    </xf>
    <xf numFmtId="0" fontId="13" fillId="2" borderId="12" xfId="1" applyFont="1" applyFill="1" applyBorder="1" applyAlignment="1" applyProtection="1">
      <alignment horizontal="center" vertical="center"/>
      <protection locked="0"/>
    </xf>
    <xf numFmtId="164" fontId="2" fillId="2" borderId="50" xfId="1" applyNumberFormat="1" applyFont="1" applyFill="1" applyBorder="1" applyAlignment="1" applyProtection="1">
      <alignment horizontal="left" vertical="center"/>
      <protection locked="0"/>
    </xf>
    <xf numFmtId="1" fontId="2" fillId="2" borderId="12" xfId="1" applyNumberFormat="1" applyFont="1" applyFill="1" applyBorder="1" applyAlignment="1" applyProtection="1">
      <alignment horizontal="center" vertical="center"/>
      <protection locked="0"/>
    </xf>
    <xf numFmtId="0" fontId="2" fillId="3" borderId="12" xfId="1" applyFont="1" applyFill="1" applyBorder="1" applyAlignment="1" applyProtection="1">
      <alignment horizontal="center" vertical="center"/>
      <protection locked="0"/>
    </xf>
    <xf numFmtId="0" fontId="6" fillId="4" borderId="12" xfId="1" applyFont="1" applyFill="1" applyBorder="1" applyAlignment="1">
      <alignment horizontal="center" vertical="center"/>
    </xf>
    <xf numFmtId="0" fontId="6" fillId="12" borderId="12" xfId="1" applyFont="1" applyFill="1" applyBorder="1" applyAlignment="1">
      <alignment horizontal="center" vertical="center"/>
    </xf>
    <xf numFmtId="164" fontId="35" fillId="2" borderId="76" xfId="0" applyNumberFormat="1" applyFont="1" applyFill="1" applyBorder="1" applyAlignment="1" applyProtection="1">
      <alignment horizontal="center" vertical="center"/>
      <protection locked="0"/>
    </xf>
    <xf numFmtId="0" fontId="48" fillId="2" borderId="12" xfId="0" applyFont="1" applyFill="1" applyBorder="1" applyAlignment="1">
      <alignment horizontal="center" vertical="center"/>
    </xf>
    <xf numFmtId="0" fontId="49" fillId="2" borderId="12" xfId="0" applyFont="1" applyFill="1" applyBorder="1" applyAlignment="1" applyProtection="1">
      <alignment horizontal="center" vertical="center"/>
      <protection locked="0"/>
    </xf>
    <xf numFmtId="164" fontId="35" fillId="2" borderId="77" xfId="0" applyNumberFormat="1" applyFont="1" applyFill="1" applyBorder="1" applyAlignment="1" applyProtection="1">
      <alignment horizontal="center" vertical="center"/>
      <protection locked="0"/>
    </xf>
    <xf numFmtId="2" fontId="2" fillId="2" borderId="52" xfId="0" applyNumberFormat="1" applyFont="1" applyFill="1" applyBorder="1" applyAlignment="1" applyProtection="1">
      <alignment horizontal="center" vertical="center"/>
      <protection locked="0"/>
    </xf>
    <xf numFmtId="0" fontId="48" fillId="2" borderId="11" xfId="0" applyFont="1" applyFill="1" applyBorder="1" applyAlignment="1">
      <alignment horizontal="center" vertical="center"/>
    </xf>
    <xf numFmtId="0" fontId="31" fillId="15" borderId="26" xfId="0" applyFont="1" applyFill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15" borderId="26" xfId="0" applyFont="1" applyFill="1" applyBorder="1" applyAlignment="1">
      <alignment horizontal="center" vertical="center"/>
    </xf>
    <xf numFmtId="1" fontId="35" fillId="2" borderId="87" xfId="0" applyNumberFormat="1" applyFont="1" applyFill="1" applyBorder="1" applyAlignment="1" applyProtection="1">
      <alignment horizontal="center" vertical="center"/>
      <protection locked="0"/>
    </xf>
    <xf numFmtId="164" fontId="35" fillId="2" borderId="88" xfId="0" applyNumberFormat="1" applyFont="1" applyFill="1" applyBorder="1" applyAlignment="1" applyProtection="1">
      <alignment horizontal="center" vertical="center"/>
      <protection locked="0"/>
    </xf>
    <xf numFmtId="164" fontId="30" fillId="3" borderId="50" xfId="0" applyNumberFormat="1" applyFont="1" applyFill="1" applyBorder="1" applyAlignment="1" applyProtection="1">
      <alignment horizontal="left" vertical="center"/>
      <protection locked="0"/>
    </xf>
    <xf numFmtId="0" fontId="30" fillId="3" borderId="51" xfId="0" applyFont="1" applyFill="1" applyBorder="1" applyAlignment="1" applyProtection="1">
      <alignment vertical="center"/>
      <protection locked="0"/>
    </xf>
    <xf numFmtId="0" fontId="2" fillId="2" borderId="0" xfId="0" applyFont="1" applyFill="1" applyBorder="1" applyAlignment="1" applyProtection="1">
      <alignment vertical="center"/>
      <protection locked="0" hidden="1"/>
    </xf>
    <xf numFmtId="0" fontId="1" fillId="3" borderId="0" xfId="0" applyFont="1" applyFill="1" applyBorder="1" applyAlignment="1" applyProtection="1">
      <alignment vertical="center"/>
      <protection locked="0" hidden="1"/>
    </xf>
    <xf numFmtId="164" fontId="30" fillId="4" borderId="50" xfId="0" applyNumberFormat="1" applyFont="1" applyFill="1" applyBorder="1" applyAlignment="1" applyProtection="1">
      <alignment horizontal="left" vertical="center"/>
      <protection locked="0"/>
    </xf>
    <xf numFmtId="0" fontId="30" fillId="4" borderId="51" xfId="0" applyFont="1" applyFill="1" applyBorder="1" applyAlignment="1" applyProtection="1">
      <alignment vertical="center"/>
      <protection locked="0"/>
    </xf>
    <xf numFmtId="0" fontId="30" fillId="4" borderId="26" xfId="0" applyFont="1" applyFill="1" applyBorder="1" applyAlignment="1">
      <alignment vertical="center"/>
    </xf>
    <xf numFmtId="0" fontId="14" fillId="11" borderId="9" xfId="0" applyFont="1" applyFill="1" applyBorder="1" applyAlignment="1" applyProtection="1">
      <alignment horizontal="center" vertical="center"/>
    </xf>
    <xf numFmtId="0" fontId="48" fillId="0" borderId="26" xfId="0" applyFont="1" applyBorder="1" applyAlignment="1">
      <alignment horizontal="center"/>
    </xf>
    <xf numFmtId="1" fontId="38" fillId="2" borderId="53" xfId="0" applyNumberFormat="1" applyFont="1" applyFill="1" applyBorder="1" applyAlignment="1" applyProtection="1">
      <alignment horizontal="center" vertical="center"/>
      <protection locked="0"/>
    </xf>
    <xf numFmtId="1" fontId="38" fillId="2" borderId="54" xfId="0" applyNumberFormat="1" applyFont="1" applyFill="1" applyBorder="1" applyAlignment="1" applyProtection="1">
      <alignment horizontal="center" vertical="center"/>
      <protection locked="0"/>
    </xf>
    <xf numFmtId="1" fontId="38" fillId="2" borderId="48" xfId="0" applyNumberFormat="1" applyFont="1" applyFill="1" applyBorder="1" applyAlignment="1" applyProtection="1">
      <alignment horizontal="center" vertical="center"/>
      <protection locked="0"/>
    </xf>
    <xf numFmtId="1" fontId="38" fillId="2" borderId="49" xfId="0" applyNumberFormat="1" applyFont="1" applyFill="1" applyBorder="1" applyAlignment="1" applyProtection="1">
      <alignment horizontal="center" vertical="center"/>
      <protection locked="0"/>
    </xf>
    <xf numFmtId="1" fontId="10" fillId="15" borderId="53" xfId="1" applyNumberFormat="1" applyFont="1" applyFill="1" applyBorder="1" applyAlignment="1" applyProtection="1">
      <alignment horizontal="center" vertical="center"/>
      <protection locked="0"/>
    </xf>
    <xf numFmtId="1" fontId="10" fillId="15" borderId="54" xfId="1" applyNumberFormat="1" applyFont="1" applyFill="1" applyBorder="1" applyAlignment="1" applyProtection="1">
      <alignment horizontal="center" vertical="center"/>
      <protection locked="0"/>
    </xf>
    <xf numFmtId="1" fontId="38" fillId="15" borderId="48" xfId="1" applyNumberFormat="1" applyFont="1" applyFill="1" applyBorder="1" applyAlignment="1" applyProtection="1">
      <alignment horizontal="center" vertical="center"/>
      <protection locked="0"/>
    </xf>
    <xf numFmtId="1" fontId="38" fillId="15" borderId="49" xfId="1" applyNumberFormat="1" applyFont="1" applyFill="1" applyBorder="1" applyAlignment="1" applyProtection="1">
      <alignment horizontal="center" vertical="center"/>
      <protection locked="0"/>
    </xf>
    <xf numFmtId="1" fontId="38" fillId="15" borderId="53" xfId="1" applyNumberFormat="1" applyFont="1" applyFill="1" applyBorder="1" applyAlignment="1" applyProtection="1">
      <alignment horizontal="center" vertical="center"/>
      <protection locked="0"/>
    </xf>
    <xf numFmtId="1" fontId="38" fillId="15" borderId="54" xfId="1" applyNumberFormat="1" applyFont="1" applyFill="1" applyBorder="1" applyAlignment="1" applyProtection="1">
      <alignment horizontal="center" vertical="center"/>
      <protection locked="0"/>
    </xf>
    <xf numFmtId="1" fontId="10" fillId="15" borderId="54" xfId="0" applyNumberFormat="1" applyFont="1" applyFill="1" applyBorder="1" applyAlignment="1" applyProtection="1">
      <alignment horizontal="center" vertical="center"/>
      <protection locked="0"/>
    </xf>
    <xf numFmtId="1" fontId="38" fillId="3" borderId="48" xfId="0" applyNumberFormat="1" applyFont="1" applyFill="1" applyBorder="1" applyAlignment="1" applyProtection="1">
      <alignment horizontal="center" vertical="center"/>
      <protection locked="0"/>
    </xf>
    <xf numFmtId="1" fontId="38" fillId="10" borderId="26" xfId="0" applyNumberFormat="1" applyFont="1" applyFill="1" applyBorder="1" applyAlignment="1" applyProtection="1">
      <alignment horizontal="center" vertical="center"/>
      <protection locked="0"/>
    </xf>
    <xf numFmtId="1" fontId="38" fillId="0" borderId="54" xfId="0" applyNumberFormat="1" applyFont="1" applyFill="1" applyBorder="1" applyAlignment="1" applyProtection="1">
      <alignment horizontal="center" vertical="center"/>
      <protection locked="0"/>
    </xf>
    <xf numFmtId="0" fontId="55" fillId="2" borderId="0" xfId="0" applyFont="1" applyFill="1" applyAlignment="1" applyProtection="1">
      <alignment vertical="center"/>
      <protection locked="0" hidden="1"/>
    </xf>
    <xf numFmtId="0" fontId="14" fillId="3" borderId="0" xfId="0" applyFont="1" applyFill="1" applyAlignment="1" applyProtection="1">
      <alignment vertical="center"/>
      <protection locked="0" hidden="1"/>
    </xf>
    <xf numFmtId="0" fontId="55" fillId="3" borderId="0" xfId="1" applyFont="1" applyFill="1" applyAlignment="1" applyProtection="1">
      <alignment vertical="center"/>
      <protection locked="0" hidden="1"/>
    </xf>
    <xf numFmtId="1" fontId="55" fillId="3" borderId="0" xfId="1" applyNumberFormat="1" applyFont="1" applyFill="1" applyAlignment="1" applyProtection="1">
      <alignment horizontal="center" vertical="center"/>
      <protection locked="0" hidden="1"/>
    </xf>
    <xf numFmtId="0" fontId="55" fillId="3" borderId="0" xfId="1" applyFont="1" applyFill="1" applyAlignment="1" applyProtection="1">
      <alignment horizontal="center" vertical="center"/>
      <protection locked="0" hidden="1"/>
    </xf>
    <xf numFmtId="0" fontId="55" fillId="3" borderId="0" xfId="0" applyFont="1" applyFill="1" applyBorder="1" applyAlignment="1" applyProtection="1">
      <alignment vertical="center"/>
      <protection locked="0" hidden="1"/>
    </xf>
    <xf numFmtId="0" fontId="1" fillId="2" borderId="44" xfId="0" applyNumberFormat="1" applyFont="1" applyFill="1" applyBorder="1" applyAlignment="1" applyProtection="1">
      <alignment horizontal="center" vertical="center"/>
    </xf>
    <xf numFmtId="0" fontId="66" fillId="2" borderId="26" xfId="0" applyNumberFormat="1" applyFont="1" applyFill="1" applyBorder="1" applyAlignment="1" applyProtection="1">
      <alignment horizontal="center" vertical="center"/>
    </xf>
    <xf numFmtId="0" fontId="1" fillId="2" borderId="22" xfId="0" applyNumberFormat="1" applyFont="1" applyFill="1" applyBorder="1" applyAlignment="1" applyProtection="1">
      <alignment horizontal="center" vertical="center"/>
    </xf>
    <xf numFmtId="0" fontId="1" fillId="2" borderId="43" xfId="0" applyNumberFormat="1" applyFont="1" applyFill="1" applyBorder="1" applyAlignment="1" applyProtection="1">
      <alignment horizontal="center" vertical="center"/>
    </xf>
    <xf numFmtId="0" fontId="1" fillId="2" borderId="26" xfId="0" applyFont="1" applyFill="1" applyBorder="1" applyAlignment="1" applyProtection="1">
      <alignment horizontal="center" vertical="center"/>
      <protection locked="0" hidden="1"/>
    </xf>
    <xf numFmtId="0" fontId="1" fillId="2" borderId="43" xfId="1" applyNumberFormat="1" applyFont="1" applyFill="1" applyBorder="1" applyAlignment="1" applyProtection="1">
      <alignment horizontal="center" vertical="center"/>
    </xf>
    <xf numFmtId="0" fontId="1" fillId="2" borderId="44" xfId="0" applyFont="1" applyFill="1" applyBorder="1" applyAlignment="1">
      <alignment horizontal="center" vertical="center"/>
    </xf>
    <xf numFmtId="0" fontId="48" fillId="0" borderId="26" xfId="0" applyFont="1" applyBorder="1" applyAlignment="1">
      <alignment horizontal="center" vertical="center"/>
    </xf>
    <xf numFmtId="164" fontId="30" fillId="2" borderId="26" xfId="0" applyNumberFormat="1" applyFont="1" applyFill="1" applyBorder="1" applyAlignment="1" applyProtection="1">
      <alignment horizontal="center" vertical="center"/>
      <protection locked="0"/>
    </xf>
    <xf numFmtId="164" fontId="32" fillId="2" borderId="26" xfId="1" applyNumberFormat="1" applyFont="1" applyFill="1" applyBorder="1" applyAlignment="1" applyProtection="1">
      <alignment horizontal="center" vertical="center"/>
      <protection locked="0"/>
    </xf>
    <xf numFmtId="164" fontId="30" fillId="2" borderId="22" xfId="0" applyNumberFormat="1" applyFont="1" applyFill="1" applyBorder="1" applyAlignment="1" applyProtection="1">
      <alignment horizontal="center" vertical="center"/>
      <protection locked="0"/>
    </xf>
    <xf numFmtId="164" fontId="30" fillId="2" borderId="64" xfId="0" applyNumberFormat="1" applyFont="1" applyFill="1" applyBorder="1" applyAlignment="1" applyProtection="1">
      <alignment horizontal="center" vertical="center"/>
      <protection locked="0"/>
    </xf>
    <xf numFmtId="164" fontId="32" fillId="2" borderId="26" xfId="0" applyNumberFormat="1" applyFont="1" applyFill="1" applyBorder="1" applyAlignment="1" applyProtection="1">
      <alignment horizontal="center" vertical="center"/>
      <protection locked="0"/>
    </xf>
    <xf numFmtId="164" fontId="30" fillId="4" borderId="12" xfId="0" applyNumberFormat="1" applyFont="1" applyFill="1" applyBorder="1" applyAlignment="1" applyProtection="1">
      <alignment horizontal="center" vertical="center"/>
      <protection locked="0"/>
    </xf>
    <xf numFmtId="164" fontId="30" fillId="2" borderId="84" xfId="0" applyNumberFormat="1" applyFont="1" applyFill="1" applyBorder="1" applyAlignment="1" applyProtection="1">
      <alignment horizontal="center" vertical="center"/>
      <protection locked="0"/>
    </xf>
    <xf numFmtId="164" fontId="33" fillId="2" borderId="26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vertical="center"/>
      <protection locked="0" hidden="1"/>
    </xf>
    <xf numFmtId="0" fontId="2" fillId="3" borderId="0" xfId="0" applyFont="1" applyFill="1" applyAlignment="1" applyProtection="1">
      <alignment vertical="center"/>
      <protection locked="0" hidden="1"/>
    </xf>
    <xf numFmtId="164" fontId="35" fillId="2" borderId="50" xfId="0" applyNumberFormat="1" applyFont="1" applyFill="1" applyBorder="1" applyAlignment="1" applyProtection="1">
      <alignment horizontal="left" vertical="center"/>
      <protection locked="0"/>
    </xf>
    <xf numFmtId="0" fontId="2" fillId="2" borderId="51" xfId="0" applyFont="1" applyFill="1" applyBorder="1" applyAlignment="1" applyProtection="1">
      <alignment vertical="center"/>
      <protection locked="0"/>
    </xf>
    <xf numFmtId="2" fontId="19" fillId="2" borderId="52" xfId="0" applyNumberFormat="1" applyFont="1" applyFill="1" applyBorder="1" applyAlignment="1" applyProtection="1">
      <alignment horizontal="center" vertical="center"/>
      <protection locked="0"/>
    </xf>
    <xf numFmtId="1" fontId="21" fillId="2" borderId="11" xfId="0" applyNumberFormat="1" applyFont="1" applyFill="1" applyBorder="1" applyAlignment="1" applyProtection="1">
      <alignment horizontal="center" vertical="center"/>
    </xf>
    <xf numFmtId="1" fontId="7" fillId="12" borderId="13" xfId="0" applyNumberFormat="1" applyFont="1" applyFill="1" applyBorder="1" applyAlignment="1" applyProtection="1">
      <alignment horizontal="center" vertical="center"/>
    </xf>
    <xf numFmtId="0" fontId="2" fillId="2" borderId="46" xfId="0" applyFont="1" applyFill="1" applyBorder="1" applyAlignment="1" applyProtection="1">
      <alignment vertical="center"/>
      <protection locked="0"/>
    </xf>
    <xf numFmtId="1" fontId="35" fillId="2" borderId="58" xfId="0" applyNumberFormat="1" applyFont="1" applyFill="1" applyBorder="1" applyAlignment="1" applyProtection="1">
      <alignment horizontal="center" vertical="center"/>
      <protection locked="0"/>
    </xf>
    <xf numFmtId="164" fontId="35" fillId="2" borderId="77" xfId="0" applyNumberFormat="1" applyFont="1" applyFill="1" applyBorder="1" applyAlignment="1" applyProtection="1">
      <alignment horizontal="center" vertical="center"/>
      <protection locked="0"/>
    </xf>
    <xf numFmtId="164" fontId="19" fillId="2" borderId="77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</xf>
    <xf numFmtId="0" fontId="43" fillId="2" borderId="12" xfId="0" applyNumberFormat="1" applyFont="1" applyFill="1" applyBorder="1" applyAlignment="1" applyProtection="1">
      <alignment horizontal="center" vertical="center"/>
      <protection locked="0"/>
    </xf>
    <xf numFmtId="164" fontId="2" fillId="2" borderId="44" xfId="0" applyNumberFormat="1" applyFont="1" applyFill="1" applyBorder="1" applyAlignment="1" applyProtection="1">
      <alignment horizontal="center" vertical="center"/>
      <protection locked="0"/>
    </xf>
    <xf numFmtId="164" fontId="2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2" borderId="12" xfId="0" applyNumberFormat="1" applyFont="1" applyFill="1" applyBorder="1" applyAlignment="1" applyProtection="1">
      <alignment horizontal="center" vertical="center"/>
    </xf>
    <xf numFmtId="2" fontId="19" fillId="3" borderId="52" xfId="0" applyNumberFormat="1" applyFont="1" applyFill="1" applyBorder="1" applyAlignment="1" applyProtection="1">
      <alignment horizontal="center" vertical="center"/>
      <protection locked="0"/>
    </xf>
    <xf numFmtId="1" fontId="7" fillId="12" borderId="20" xfId="0" applyNumberFormat="1" applyFont="1" applyFill="1" applyBorder="1" applyAlignment="1" applyProtection="1">
      <alignment horizontal="center" vertical="center"/>
    </xf>
    <xf numFmtId="1" fontId="21" fillId="2" borderId="19" xfId="0" applyNumberFormat="1" applyFont="1" applyFill="1" applyBorder="1" applyAlignment="1" applyProtection="1">
      <alignment horizontal="center" vertical="center"/>
    </xf>
    <xf numFmtId="2" fontId="19" fillId="2" borderId="47" xfId="0" applyNumberFormat="1" applyFont="1" applyFill="1" applyBorder="1" applyAlignment="1" applyProtection="1">
      <alignment horizontal="center" vertical="center"/>
      <protection locked="0"/>
    </xf>
    <xf numFmtId="0" fontId="43" fillId="2" borderId="12" xfId="0" applyFont="1" applyFill="1" applyBorder="1" applyAlignment="1" applyProtection="1">
      <alignment horizontal="center" vertical="center"/>
      <protection locked="0"/>
    </xf>
    <xf numFmtId="0" fontId="48" fillId="3" borderId="11" xfId="0" applyFont="1" applyFill="1" applyBorder="1" applyAlignment="1">
      <alignment horizontal="center" vertical="center"/>
    </xf>
    <xf numFmtId="0" fontId="48" fillId="3" borderId="12" xfId="0" applyFont="1" applyFill="1" applyBorder="1" applyAlignment="1">
      <alignment horizontal="center" vertical="center"/>
    </xf>
    <xf numFmtId="0" fontId="49" fillId="3" borderId="12" xfId="0" applyFont="1" applyFill="1" applyBorder="1" applyAlignment="1" applyProtection="1">
      <alignment horizontal="center" vertical="center"/>
      <protection locked="0"/>
    </xf>
    <xf numFmtId="164" fontId="30" fillId="3" borderId="12" xfId="0" applyNumberFormat="1" applyFont="1" applyFill="1" applyBorder="1" applyAlignment="1" applyProtection="1">
      <alignment horizontal="center" vertical="center"/>
      <protection locked="0"/>
    </xf>
    <xf numFmtId="1" fontId="30" fillId="3" borderId="58" xfId="0" applyNumberFormat="1" applyFont="1" applyFill="1" applyBorder="1" applyAlignment="1" applyProtection="1">
      <alignment horizontal="center" vertical="center"/>
      <protection locked="0"/>
    </xf>
    <xf numFmtId="164" fontId="30" fillId="3" borderId="77" xfId="0" applyNumberFormat="1" applyFont="1" applyFill="1" applyBorder="1" applyAlignment="1" applyProtection="1">
      <alignment horizontal="center" vertical="center"/>
      <protection locked="0"/>
    </xf>
    <xf numFmtId="2" fontId="50" fillId="3" borderId="52" xfId="0" applyNumberFormat="1" applyFont="1" applyFill="1" applyBorder="1" applyAlignment="1" applyProtection="1">
      <alignment horizontal="center" vertical="center"/>
      <protection locked="0"/>
    </xf>
    <xf numFmtId="164" fontId="35" fillId="2" borderId="85" xfId="0" applyNumberFormat="1" applyFont="1" applyFill="1" applyBorder="1" applyAlignment="1" applyProtection="1">
      <alignment horizontal="left" vertical="center"/>
      <protection locked="0"/>
    </xf>
    <xf numFmtId="0" fontId="2" fillId="2" borderId="86" xfId="0" applyFont="1" applyFill="1" applyBorder="1" applyAlignment="1" applyProtection="1">
      <alignment vertical="center"/>
      <protection locked="0"/>
    </xf>
    <xf numFmtId="0" fontId="1" fillId="2" borderId="22" xfId="0" applyFont="1" applyFill="1" applyBorder="1" applyAlignment="1">
      <alignment horizontal="center" vertical="center"/>
    </xf>
    <xf numFmtId="0" fontId="2" fillId="0" borderId="11" xfId="2" applyFont="1" applyFill="1" applyBorder="1" applyAlignment="1" applyProtection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30" fillId="0" borderId="11" xfId="0" applyFont="1" applyBorder="1" applyAlignment="1">
      <alignment horizontal="center"/>
    </xf>
    <xf numFmtId="0" fontId="1" fillId="2" borderId="22" xfId="0" applyFont="1" applyFill="1" applyBorder="1" applyAlignment="1" applyProtection="1">
      <alignment horizontal="center" vertical="center"/>
    </xf>
    <xf numFmtId="0" fontId="25" fillId="2" borderId="22" xfId="0" applyFont="1" applyFill="1" applyBorder="1" applyAlignment="1" applyProtection="1">
      <alignment horizontal="center" vertical="center"/>
    </xf>
    <xf numFmtId="0" fontId="2" fillId="2" borderId="22" xfId="0" applyFont="1" applyFill="1" applyBorder="1" applyAlignment="1" applyProtection="1">
      <alignment horizontal="center" vertical="center"/>
    </xf>
    <xf numFmtId="0" fontId="2" fillId="0" borderId="22" xfId="2" applyFont="1" applyFill="1" applyBorder="1" applyAlignment="1" applyProtection="1">
      <alignment horizontal="center" vertical="center"/>
    </xf>
    <xf numFmtId="0" fontId="48" fillId="2" borderId="22" xfId="0" applyFont="1" applyFill="1" applyBorder="1" applyAlignment="1" applyProtection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48" fillId="2" borderId="26" xfId="0" applyFont="1" applyFill="1" applyBorder="1" applyAlignment="1">
      <alignment horizontal="center" vertical="center"/>
    </xf>
    <xf numFmtId="0" fontId="1" fillId="2" borderId="12" xfId="1" applyNumberFormat="1" applyFont="1" applyFill="1" applyBorder="1" applyAlignment="1" applyProtection="1">
      <alignment horizontal="center" vertical="center"/>
    </xf>
    <xf numFmtId="0" fontId="1" fillId="2" borderId="82" xfId="0" applyNumberFormat="1" applyFont="1" applyFill="1" applyBorder="1" applyAlignment="1" applyProtection="1">
      <alignment horizontal="center" vertical="center"/>
    </xf>
    <xf numFmtId="0" fontId="48" fillId="0" borderId="12" xfId="0" applyFont="1" applyBorder="1" applyAlignment="1">
      <alignment horizont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1" fillId="2" borderId="82" xfId="1" applyNumberFormat="1" applyFont="1" applyFill="1" applyBorder="1" applyAlignment="1" applyProtection="1">
      <alignment horizontal="center" vertical="center"/>
    </xf>
    <xf numFmtId="0" fontId="49" fillId="2" borderId="26" xfId="0" applyFont="1" applyFill="1" applyBorder="1" applyAlignment="1" applyProtection="1">
      <alignment horizontal="center" vertical="center"/>
      <protection locked="0"/>
    </xf>
    <xf numFmtId="0" fontId="13" fillId="2" borderId="26" xfId="0" applyFont="1" applyFill="1" applyBorder="1" applyAlignment="1" applyProtection="1">
      <alignment horizontal="center" vertical="center"/>
      <protection locked="0"/>
    </xf>
    <xf numFmtId="0" fontId="43" fillId="2" borderId="12" xfId="1" applyNumberFormat="1" applyFont="1" applyFill="1" applyBorder="1" applyAlignment="1" applyProtection="1">
      <alignment horizontal="center" vertical="center"/>
      <protection locked="0"/>
    </xf>
    <xf numFmtId="0" fontId="23" fillId="2" borderId="12" xfId="1" applyNumberFormat="1" applyFont="1" applyFill="1" applyBorder="1" applyAlignment="1" applyProtection="1">
      <alignment horizontal="center" vertical="center"/>
      <protection locked="0"/>
    </xf>
    <xf numFmtId="0" fontId="30" fillId="0" borderId="12" xfId="0" applyFont="1" applyBorder="1" applyAlignment="1">
      <alignment horizontal="center"/>
    </xf>
    <xf numFmtId="0" fontId="31" fillId="0" borderId="12" xfId="0" applyFont="1" applyBorder="1" applyAlignment="1">
      <alignment vertical="center"/>
    </xf>
    <xf numFmtId="0" fontId="39" fillId="0" borderId="12" xfId="0" applyFont="1" applyBorder="1" applyAlignment="1">
      <alignment vertical="center"/>
    </xf>
    <xf numFmtId="0" fontId="49" fillId="2" borderId="26" xfId="0" applyNumberFormat="1" applyFont="1" applyFill="1" applyBorder="1" applyAlignment="1" applyProtection="1">
      <alignment horizontal="center" vertical="center"/>
      <protection locked="0"/>
    </xf>
    <xf numFmtId="0" fontId="52" fillId="2" borderId="12" xfId="0" applyNumberFormat="1" applyFont="1" applyFill="1" applyBorder="1" applyAlignment="1" applyProtection="1">
      <alignment vertical="center"/>
      <protection locked="0"/>
    </xf>
    <xf numFmtId="0" fontId="13" fillId="2" borderId="12" xfId="1" applyNumberFormat="1" applyFont="1" applyFill="1" applyBorder="1" applyAlignment="1" applyProtection="1">
      <alignment horizontal="center" vertical="center"/>
      <protection locked="0"/>
    </xf>
    <xf numFmtId="0" fontId="43" fillId="2" borderId="26" xfId="0" applyFont="1" applyFill="1" applyBorder="1" applyAlignment="1" applyProtection="1">
      <alignment horizontal="center" vertical="center"/>
      <protection locked="0"/>
    </xf>
    <xf numFmtId="0" fontId="43" fillId="2" borderId="83" xfId="0" applyNumberFormat="1" applyFont="1" applyFill="1" applyBorder="1" applyAlignment="1" applyProtection="1">
      <alignment horizontal="center" vertical="center"/>
      <protection locked="0"/>
    </xf>
    <xf numFmtId="0" fontId="13" fillId="2" borderId="44" xfId="0" applyFont="1" applyFill="1" applyBorder="1" applyAlignment="1" applyProtection="1">
      <alignment horizontal="center" vertical="center"/>
      <protection locked="0"/>
    </xf>
    <xf numFmtId="164" fontId="30" fillId="2" borderId="84" xfId="1" applyNumberFormat="1" applyFont="1" applyFill="1" applyBorder="1" applyAlignment="1" applyProtection="1">
      <alignment horizontal="center" vertical="center"/>
      <protection locked="0"/>
    </xf>
    <xf numFmtId="164" fontId="30" fillId="2" borderId="26" xfId="0" applyNumberFormat="1" applyFont="1" applyFill="1" applyBorder="1" applyAlignment="1" applyProtection="1">
      <alignment horizontal="left" vertical="center"/>
      <protection locked="0"/>
    </xf>
    <xf numFmtId="164" fontId="36" fillId="2" borderId="50" xfId="1" applyNumberFormat="1" applyFont="1" applyFill="1" applyBorder="1" applyAlignment="1" applyProtection="1">
      <alignment horizontal="left" vertical="center"/>
      <protection locked="0"/>
    </xf>
    <xf numFmtId="164" fontId="35" fillId="3" borderId="26" xfId="0" applyNumberFormat="1" applyFont="1" applyFill="1" applyBorder="1" applyAlignment="1" applyProtection="1">
      <alignment horizontal="left" vertical="center"/>
      <protection locked="0"/>
    </xf>
    <xf numFmtId="0" fontId="32" fillId="0" borderId="50" xfId="0" applyFont="1" applyBorder="1" applyAlignment="1">
      <alignment vertical="center"/>
    </xf>
    <xf numFmtId="0" fontId="30" fillId="0" borderId="50" xfId="0" applyFont="1" applyBorder="1" applyAlignment="1">
      <alignment vertical="center"/>
    </xf>
    <xf numFmtId="164" fontId="36" fillId="2" borderId="50" xfId="0" applyNumberFormat="1" applyFont="1" applyFill="1" applyBorder="1" applyAlignment="1" applyProtection="1">
      <alignment horizontal="left" vertical="center"/>
      <protection locked="0"/>
    </xf>
    <xf numFmtId="164" fontId="2" fillId="3" borderId="26" xfId="0" applyNumberFormat="1" applyFont="1" applyFill="1" applyBorder="1" applyAlignment="1" applyProtection="1">
      <alignment horizontal="left" vertical="center"/>
      <protection locked="0"/>
    </xf>
    <xf numFmtId="0" fontId="30" fillId="2" borderId="26" xfId="0" applyFont="1" applyFill="1" applyBorder="1" applyAlignment="1" applyProtection="1">
      <alignment vertical="center"/>
      <protection locked="0"/>
    </xf>
    <xf numFmtId="0" fontId="34" fillId="2" borderId="51" xfId="1" applyFont="1" applyFill="1" applyBorder="1" applyAlignment="1" applyProtection="1">
      <alignment vertical="center"/>
      <protection locked="0"/>
    </xf>
    <xf numFmtId="0" fontId="2" fillId="3" borderId="26" xfId="0" applyFont="1" applyFill="1" applyBorder="1" applyAlignment="1" applyProtection="1">
      <alignment vertical="center"/>
      <protection locked="0"/>
    </xf>
    <xf numFmtId="0" fontId="32" fillId="0" borderId="51" xfId="0" applyFont="1" applyBorder="1" applyAlignment="1">
      <alignment vertical="center"/>
    </xf>
    <xf numFmtId="0" fontId="30" fillId="0" borderId="51" xfId="0" applyFont="1" applyBorder="1" applyAlignment="1">
      <alignment vertical="center"/>
    </xf>
    <xf numFmtId="0" fontId="34" fillId="2" borderId="51" xfId="0" applyFont="1" applyFill="1" applyBorder="1" applyAlignment="1" applyProtection="1">
      <alignment vertical="center"/>
      <protection locked="0"/>
    </xf>
    <xf numFmtId="1" fontId="36" fillId="2" borderId="58" xfId="1" applyNumberFormat="1" applyFont="1" applyFill="1" applyBorder="1" applyAlignment="1" applyProtection="1">
      <alignment horizontal="center" vertical="center"/>
      <protection locked="0"/>
    </xf>
    <xf numFmtId="0" fontId="32" fillId="0" borderId="58" xfId="0" applyFont="1" applyBorder="1" applyAlignment="1">
      <alignment horizontal="center"/>
    </xf>
    <xf numFmtId="1" fontId="2" fillId="2" borderId="44" xfId="0" applyNumberFormat="1" applyFont="1" applyFill="1" applyBorder="1" applyAlignment="1" applyProtection="1">
      <alignment horizontal="center" vertical="center"/>
      <protection locked="0"/>
    </xf>
    <xf numFmtId="1" fontId="36" fillId="2" borderId="58" xfId="0" applyNumberFormat="1" applyFont="1" applyFill="1" applyBorder="1" applyAlignment="1" applyProtection="1">
      <alignment horizontal="center" vertical="center"/>
      <protection locked="0"/>
    </xf>
    <xf numFmtId="1" fontId="36" fillId="2" borderId="12" xfId="1" applyNumberFormat="1" applyFont="1" applyFill="1" applyBorder="1" applyAlignment="1" applyProtection="1">
      <alignment horizontal="center" vertical="center"/>
      <protection locked="0"/>
    </xf>
    <xf numFmtId="1" fontId="30" fillId="2" borderId="44" xfId="0" applyNumberFormat="1" applyFont="1" applyFill="1" applyBorder="1" applyAlignment="1" applyProtection="1">
      <alignment horizontal="center" vertical="center"/>
      <protection locked="0"/>
    </xf>
    <xf numFmtId="1" fontId="2" fillId="2" borderId="12" xfId="0" applyNumberFormat="1" applyFont="1" applyFill="1" applyBorder="1" applyAlignment="1" applyProtection="1">
      <alignment horizontal="center" vertical="center"/>
      <protection locked="0"/>
    </xf>
    <xf numFmtId="2" fontId="30" fillId="3" borderId="26" xfId="0" applyNumberFormat="1" applyFont="1" applyFill="1" applyBorder="1" applyAlignment="1" applyProtection="1">
      <alignment horizontal="center" vertical="center"/>
      <protection locked="0"/>
    </xf>
    <xf numFmtId="0" fontId="34" fillId="3" borderId="12" xfId="1" applyFont="1" applyFill="1" applyBorder="1" applyAlignment="1" applyProtection="1">
      <alignment horizontal="center" vertical="center"/>
      <protection locked="0"/>
    </xf>
    <xf numFmtId="2" fontId="30" fillId="3" borderId="75" xfId="0" applyNumberFormat="1" applyFont="1" applyFill="1" applyBorder="1" applyAlignment="1" applyProtection="1">
      <alignment horizontal="center" vertical="center"/>
      <protection locked="0"/>
    </xf>
    <xf numFmtId="0" fontId="34" fillId="2" borderId="12" xfId="1" applyFont="1" applyFill="1" applyBorder="1" applyAlignment="1" applyProtection="1">
      <alignment horizontal="center" vertical="center"/>
      <protection locked="0"/>
    </xf>
    <xf numFmtId="0" fontId="2" fillId="3" borderId="80" xfId="1" applyFont="1" applyFill="1" applyBorder="1" applyAlignment="1" applyProtection="1">
      <alignment horizontal="center" vertical="center"/>
      <protection locked="0"/>
    </xf>
    <xf numFmtId="0" fontId="30" fillId="3" borderId="26" xfId="0" applyFont="1" applyFill="1" applyBorder="1" applyAlignment="1" applyProtection="1">
      <alignment horizontal="center" vertical="center"/>
      <protection locked="0"/>
    </xf>
    <xf numFmtId="0" fontId="32" fillId="0" borderId="12" xfId="0" applyFont="1" applyBorder="1" applyAlignment="1">
      <alignment horizontal="center" vertical="center"/>
    </xf>
    <xf numFmtId="0" fontId="2" fillId="3" borderId="80" xfId="0" applyFont="1" applyFill="1" applyBorder="1" applyAlignment="1" applyProtection="1">
      <alignment horizontal="center" vertical="center"/>
      <protection locked="0"/>
    </xf>
    <xf numFmtId="0" fontId="34" fillId="2" borderId="12" xfId="0" applyFont="1" applyFill="1" applyBorder="1" applyAlignment="1" applyProtection="1">
      <alignment horizontal="center" vertical="center"/>
      <protection locked="0"/>
    </xf>
    <xf numFmtId="2" fontId="2" fillId="3" borderId="12" xfId="1" applyNumberFormat="1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80" xfId="1" applyFont="1" applyFill="1" applyBorder="1" applyAlignment="1" applyProtection="1">
      <alignment horizontal="center" vertical="center"/>
      <protection locked="0"/>
    </xf>
    <xf numFmtId="164" fontId="2" fillId="2" borderId="12" xfId="1" applyNumberFormat="1" applyFont="1" applyFill="1" applyBorder="1" applyAlignment="1" applyProtection="1">
      <alignment horizontal="center" vertical="center"/>
      <protection locked="0"/>
    </xf>
    <xf numFmtId="0" fontId="30" fillId="0" borderId="77" xfId="0" applyFont="1" applyBorder="1" applyAlignment="1">
      <alignment horizontal="center"/>
    </xf>
    <xf numFmtId="164" fontId="35" fillId="2" borderId="12" xfId="1" applyNumberFormat="1" applyFont="1" applyFill="1" applyBorder="1" applyAlignment="1" applyProtection="1">
      <alignment horizontal="center" vertical="center"/>
      <protection locked="0"/>
    </xf>
    <xf numFmtId="2" fontId="2" fillId="2" borderId="26" xfId="0" applyNumberFormat="1" applyFont="1" applyFill="1" applyBorder="1" applyAlignment="1" applyProtection="1">
      <alignment horizontal="center" vertical="center"/>
      <protection locked="0"/>
    </xf>
    <xf numFmtId="2" fontId="37" fillId="2" borderId="52" xfId="1" applyNumberFormat="1" applyFont="1" applyFill="1" applyBorder="1" applyAlignment="1" applyProtection="1">
      <alignment horizontal="center" vertical="center"/>
      <protection locked="0"/>
    </xf>
    <xf numFmtId="2" fontId="35" fillId="2" borderId="52" xfId="1" applyNumberFormat="1" applyFont="1" applyFill="1" applyBorder="1" applyAlignment="1" applyProtection="1">
      <alignment horizontal="center" vertical="center"/>
      <protection locked="0"/>
    </xf>
    <xf numFmtId="2" fontId="33" fillId="0" borderId="52" xfId="0" applyNumberFormat="1" applyFont="1" applyBorder="1" applyAlignment="1">
      <alignment horizontal="center"/>
    </xf>
    <xf numFmtId="2" fontId="19" fillId="2" borderId="22" xfId="0" applyNumberFormat="1" applyFont="1" applyFill="1" applyBorder="1" applyAlignment="1" applyProtection="1">
      <alignment horizontal="center" vertical="center"/>
      <protection locked="0"/>
    </xf>
    <xf numFmtId="2" fontId="37" fillId="2" borderId="52" xfId="0" applyNumberFormat="1" applyFont="1" applyFill="1" applyBorder="1" applyAlignment="1" applyProtection="1">
      <alignment horizontal="center" vertical="center"/>
      <protection locked="0"/>
    </xf>
    <xf numFmtId="2" fontId="2" fillId="2" borderId="52" xfId="1" applyNumberFormat="1" applyFont="1" applyFill="1" applyBorder="1" applyAlignment="1" applyProtection="1">
      <alignment horizontal="center" vertical="center"/>
      <protection locked="0"/>
    </xf>
    <xf numFmtId="2" fontId="19" fillId="2" borderId="52" xfId="0" applyNumberFormat="1" applyFont="1" applyFill="1" applyBorder="1" applyAlignment="1" applyProtection="1">
      <alignment horizontal="right" vertical="center"/>
      <protection locked="0"/>
    </xf>
    <xf numFmtId="2" fontId="19" fillId="3" borderId="26" xfId="0" applyNumberFormat="1" applyFont="1" applyFill="1" applyBorder="1" applyAlignment="1" applyProtection="1">
      <alignment horizontal="center" vertical="center"/>
      <protection locked="0"/>
    </xf>
    <xf numFmtId="2" fontId="19" fillId="2" borderId="67" xfId="0" applyNumberFormat="1" applyFont="1" applyFill="1" applyBorder="1" applyAlignment="1" applyProtection="1">
      <alignment horizontal="center" vertical="center"/>
      <protection locked="0"/>
    </xf>
    <xf numFmtId="2" fontId="30" fillId="0" borderId="52" xfId="0" applyNumberFormat="1" applyFont="1" applyBorder="1" applyAlignment="1">
      <alignment horizontal="center"/>
    </xf>
    <xf numFmtId="1" fontId="10" fillId="2" borderId="53" xfId="1" applyNumberFormat="1" applyFont="1" applyFill="1" applyBorder="1" applyAlignment="1" applyProtection="1">
      <alignment horizontal="center" vertical="center"/>
      <protection locked="0"/>
    </xf>
    <xf numFmtId="0" fontId="31" fillId="15" borderId="53" xfId="0" applyFont="1" applyFill="1" applyBorder="1" applyAlignment="1">
      <alignment horizontal="center"/>
    </xf>
    <xf numFmtId="1" fontId="31" fillId="0" borderId="26" xfId="0" applyNumberFormat="1" applyFont="1" applyBorder="1" applyAlignment="1" applyProtection="1">
      <alignment horizontal="center" vertical="center"/>
      <protection locked="0"/>
    </xf>
    <xf numFmtId="0" fontId="10" fillId="0" borderId="53" xfId="0" applyFont="1" applyBorder="1" applyAlignment="1">
      <alignment horizontal="center"/>
    </xf>
    <xf numFmtId="1" fontId="39" fillId="15" borderId="53" xfId="0" applyNumberFormat="1" applyFont="1" applyFill="1" applyBorder="1" applyAlignment="1" applyProtection="1">
      <alignment horizontal="center" vertical="center"/>
      <protection locked="0"/>
    </xf>
    <xf numFmtId="0" fontId="31" fillId="15" borderId="54" xfId="0" applyFont="1" applyFill="1" applyBorder="1" applyAlignment="1">
      <alignment horizontal="center"/>
    </xf>
    <xf numFmtId="1" fontId="38" fillId="2" borderId="54" xfId="1" applyNumberFormat="1" applyFont="1" applyFill="1" applyBorder="1" applyAlignment="1" applyProtection="1">
      <alignment horizontal="center" vertical="center"/>
      <protection locked="0"/>
    </xf>
    <xf numFmtId="1" fontId="10" fillId="2" borderId="54" xfId="1" applyNumberFormat="1" applyFont="1" applyFill="1" applyBorder="1" applyAlignment="1" applyProtection="1">
      <alignment horizontal="center" vertical="center"/>
      <protection locked="0"/>
    </xf>
    <xf numFmtId="0" fontId="10" fillId="0" borderId="54" xfId="0" applyFont="1" applyBorder="1" applyAlignment="1">
      <alignment horizontal="center"/>
    </xf>
    <xf numFmtId="1" fontId="10" fillId="2" borderId="54" xfId="0" applyNumberFormat="1" applyFont="1" applyFill="1" applyBorder="1" applyAlignment="1" applyProtection="1">
      <alignment horizontal="center" vertical="center"/>
      <protection locked="0"/>
    </xf>
    <xf numFmtId="1" fontId="39" fillId="15" borderId="54" xfId="0" applyNumberFormat="1" applyFont="1" applyFill="1" applyBorder="1" applyAlignment="1" applyProtection="1">
      <alignment horizontal="center" vertical="center"/>
      <protection locked="0"/>
    </xf>
    <xf numFmtId="1" fontId="7" fillId="12" borderId="26" xfId="0" applyNumberFormat="1" applyFont="1" applyFill="1" applyBorder="1" applyAlignment="1">
      <alignment horizontal="center" vertical="center"/>
    </xf>
    <xf numFmtId="1" fontId="57" fillId="12" borderId="26" xfId="0" applyNumberFormat="1" applyFont="1" applyFill="1" applyBorder="1" applyAlignment="1" applyProtection="1">
      <alignment horizontal="center" vertical="center"/>
    </xf>
    <xf numFmtId="1" fontId="7" fillId="17" borderId="42" xfId="0" applyNumberFormat="1" applyFont="1" applyFill="1" applyBorder="1" applyAlignment="1">
      <alignment horizontal="center" vertical="center"/>
    </xf>
    <xf numFmtId="1" fontId="7" fillId="12" borderId="42" xfId="0" applyNumberFormat="1" applyFont="1" applyFill="1" applyBorder="1" applyAlignment="1">
      <alignment horizontal="center" vertical="center"/>
    </xf>
    <xf numFmtId="1" fontId="38" fillId="16" borderId="54" xfId="1" applyNumberFormat="1" applyFont="1" applyFill="1" applyBorder="1" applyAlignment="1" applyProtection="1">
      <alignment horizontal="center" vertical="center"/>
      <protection locked="0"/>
    </xf>
    <xf numFmtId="1" fontId="7" fillId="17" borderId="26" xfId="0" applyNumberFormat="1" applyFont="1" applyFill="1" applyBorder="1" applyAlignment="1">
      <alignment horizontal="center" vertical="center"/>
    </xf>
    <xf numFmtId="1" fontId="7" fillId="2" borderId="13" xfId="0" applyNumberFormat="1" applyFont="1" applyFill="1" applyBorder="1" applyAlignment="1" applyProtection="1">
      <alignment horizontal="center" vertical="center"/>
    </xf>
    <xf numFmtId="1" fontId="21" fillId="2" borderId="26" xfId="0" applyNumberFormat="1" applyFont="1" applyFill="1" applyBorder="1" applyAlignment="1">
      <alignment horizontal="center" vertical="center"/>
    </xf>
    <xf numFmtId="1" fontId="58" fillId="2" borderId="26" xfId="0" applyNumberFormat="1" applyFont="1" applyFill="1" applyBorder="1" applyAlignment="1" applyProtection="1">
      <alignment horizontal="center" vertical="center"/>
    </xf>
    <xf numFmtId="1" fontId="65" fillId="2" borderId="26" xfId="0" applyNumberFormat="1" applyFont="1" applyFill="1" applyBorder="1" applyAlignment="1">
      <alignment horizontal="center" vertical="center"/>
    </xf>
    <xf numFmtId="1" fontId="10" fillId="2" borderId="11" xfId="0" applyNumberFormat="1" applyFont="1" applyFill="1" applyBorder="1" applyAlignment="1" applyProtection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57" fillId="2" borderId="26" xfId="0" applyFont="1" applyFill="1" applyBorder="1" applyAlignment="1" applyProtection="1">
      <alignment horizontal="center" vertical="center"/>
    </xf>
    <xf numFmtId="2" fontId="11" fillId="2" borderId="26" xfId="0" applyNumberFormat="1" applyFont="1" applyFill="1" applyBorder="1" applyAlignment="1">
      <alignment horizontal="center" vertical="center"/>
    </xf>
    <xf numFmtId="2" fontId="59" fillId="2" borderId="26" xfId="0" applyNumberFormat="1" applyFont="1" applyFill="1" applyBorder="1" applyAlignment="1" applyProtection="1">
      <alignment horizontal="center" vertical="center"/>
    </xf>
    <xf numFmtId="168" fontId="9" fillId="2" borderId="30" xfId="0" applyNumberFormat="1" applyFont="1" applyFill="1" applyBorder="1" applyAlignment="1" applyProtection="1">
      <alignment horizontal="center" vertical="center"/>
      <protection locked="0" hidden="1"/>
    </xf>
    <xf numFmtId="0" fontId="2" fillId="2" borderId="31" xfId="0" applyFont="1" applyFill="1" applyBorder="1" applyAlignment="1" applyProtection="1">
      <alignment vertical="center"/>
      <protection locked="0" hidden="1"/>
    </xf>
    <xf numFmtId="0" fontId="9" fillId="2" borderId="0" xfId="0" applyFont="1" applyFill="1" applyBorder="1" applyAlignment="1" applyProtection="1">
      <alignment horizontal="center" vertical="center"/>
      <protection locked="0" hidden="1"/>
    </xf>
    <xf numFmtId="0" fontId="9" fillId="2" borderId="31" xfId="0" applyFont="1" applyFill="1" applyBorder="1" applyAlignment="1" applyProtection="1">
      <alignment horizontal="center" vertical="center"/>
      <protection locked="0" hidden="1"/>
    </xf>
    <xf numFmtId="0" fontId="1" fillId="2" borderId="23" xfId="0" applyNumberFormat="1" applyFont="1" applyFill="1" applyBorder="1" applyAlignment="1" applyProtection="1">
      <alignment horizontal="center" vertical="center"/>
    </xf>
    <xf numFmtId="0" fontId="23" fillId="2" borderId="23" xfId="0" applyNumberFormat="1" applyFont="1" applyFill="1" applyBorder="1" applyAlignment="1" applyProtection="1">
      <alignment horizontal="center" vertical="center"/>
      <protection locked="0"/>
    </xf>
    <xf numFmtId="164" fontId="30" fillId="2" borderId="23" xfId="0" applyNumberFormat="1" applyFont="1" applyFill="1" applyBorder="1" applyAlignment="1" applyProtection="1">
      <alignment horizontal="center" vertical="center"/>
      <protection locked="0"/>
    </xf>
    <xf numFmtId="164" fontId="35" fillId="2" borderId="23" xfId="0" applyNumberFormat="1" applyFont="1" applyFill="1" applyBorder="1" applyAlignment="1" applyProtection="1">
      <alignment horizontal="left" vertical="center"/>
      <protection locked="0"/>
    </xf>
    <xf numFmtId="0" fontId="2" fillId="2" borderId="23" xfId="0" applyFont="1" applyFill="1" applyBorder="1" applyAlignment="1" applyProtection="1">
      <alignment vertical="center"/>
      <protection locked="0"/>
    </xf>
    <xf numFmtId="1" fontId="35" fillId="2" borderId="23" xfId="0" applyNumberFormat="1" applyFont="1" applyFill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164" fontId="35" fillId="2" borderId="24" xfId="0" applyNumberFormat="1" applyFont="1" applyFill="1" applyBorder="1" applyAlignment="1" applyProtection="1">
      <alignment horizontal="center" vertical="center"/>
      <protection locked="0"/>
    </xf>
    <xf numFmtId="2" fontId="19" fillId="2" borderId="23" xfId="0" applyNumberFormat="1" applyFont="1" applyFill="1" applyBorder="1" applyAlignment="1" applyProtection="1">
      <alignment horizontal="center" vertical="center"/>
      <protection locked="0"/>
    </xf>
    <xf numFmtId="1" fontId="38" fillId="15" borderId="25" xfId="0" applyNumberFormat="1" applyFont="1" applyFill="1" applyBorder="1" applyAlignment="1" applyProtection="1">
      <alignment horizontal="center" vertical="center"/>
      <protection locked="0"/>
    </xf>
    <xf numFmtId="168" fontId="9" fillId="2" borderId="28" xfId="0" applyNumberFormat="1" applyFont="1" applyFill="1" applyBorder="1" applyAlignment="1" applyProtection="1">
      <alignment horizontal="center" vertical="center"/>
      <protection locked="0" hidden="1"/>
    </xf>
    <xf numFmtId="0" fontId="1" fillId="2" borderId="42" xfId="0" applyFont="1" applyFill="1" applyBorder="1" applyAlignment="1" applyProtection="1">
      <alignment vertical="center"/>
      <protection locked="0" hidden="1"/>
    </xf>
    <xf numFmtId="0" fontId="1" fillId="2" borderId="22" xfId="1" applyFont="1" applyFill="1" applyBorder="1" applyAlignment="1">
      <alignment horizontal="center" vertical="center"/>
    </xf>
    <xf numFmtId="0" fontId="1" fillId="2" borderId="26" xfId="1" applyFont="1" applyFill="1" applyBorder="1" applyAlignment="1">
      <alignment horizontal="center" vertical="center"/>
    </xf>
    <xf numFmtId="0" fontId="43" fillId="2" borderId="26" xfId="1" applyFont="1" applyFill="1" applyBorder="1" applyAlignment="1" applyProtection="1">
      <alignment horizontal="center" vertical="center"/>
      <protection locked="0"/>
    </xf>
    <xf numFmtId="0" fontId="13" fillId="2" borderId="83" xfId="1" applyNumberFormat="1" applyFont="1" applyFill="1" applyBorder="1" applyAlignment="1" applyProtection="1">
      <alignment horizontal="center" vertical="center"/>
      <protection locked="0"/>
    </xf>
    <xf numFmtId="164" fontId="30" fillId="4" borderId="84" xfId="0" applyNumberFormat="1" applyFont="1" applyFill="1" applyBorder="1" applyAlignment="1" applyProtection="1">
      <alignment horizontal="center" vertical="center"/>
      <protection locked="0"/>
    </xf>
    <xf numFmtId="164" fontId="2" fillId="2" borderId="85" xfId="1" applyNumberFormat="1" applyFont="1" applyFill="1" applyBorder="1" applyAlignment="1" applyProtection="1">
      <alignment horizontal="left" vertical="center"/>
      <protection locked="0"/>
    </xf>
    <xf numFmtId="164" fontId="2" fillId="4" borderId="85" xfId="0" applyNumberFormat="1" applyFont="1" applyFill="1" applyBorder="1" applyAlignment="1" applyProtection="1">
      <alignment horizontal="left" vertical="center"/>
      <protection locked="0"/>
    </xf>
    <xf numFmtId="0" fontId="2" fillId="2" borderId="86" xfId="1" applyFont="1" applyFill="1" applyBorder="1" applyAlignment="1" applyProtection="1">
      <alignment vertical="center"/>
      <protection locked="0"/>
    </xf>
    <xf numFmtId="0" fontId="2" fillId="4" borderId="86" xfId="0" applyFont="1" applyFill="1" applyBorder="1" applyAlignment="1" applyProtection="1">
      <alignment vertical="center"/>
      <protection locked="0"/>
    </xf>
    <xf numFmtId="0" fontId="30" fillId="0" borderId="58" xfId="0" applyFont="1" applyBorder="1" applyAlignment="1">
      <alignment horizontal="center"/>
    </xf>
    <xf numFmtId="1" fontId="2" fillId="2" borderId="87" xfId="1" applyNumberFormat="1" applyFont="1" applyFill="1" applyBorder="1" applyAlignment="1" applyProtection="1">
      <alignment horizontal="center" vertical="center"/>
      <protection locked="0"/>
    </xf>
    <xf numFmtId="1" fontId="2" fillId="4" borderId="87" xfId="0" applyNumberFormat="1" applyFont="1" applyFill="1" applyBorder="1" applyAlignment="1" applyProtection="1">
      <alignment horizontal="center" vertical="center"/>
      <protection locked="0"/>
    </xf>
    <xf numFmtId="2" fontId="34" fillId="3" borderId="12" xfId="1" applyNumberFormat="1" applyFont="1" applyFill="1" applyBorder="1" applyAlignment="1" applyProtection="1">
      <alignment horizontal="center" vertical="center"/>
      <protection locked="0"/>
    </xf>
    <xf numFmtId="2" fontId="2" fillId="3" borderId="83" xfId="1" applyNumberFormat="1" applyFont="1" applyFill="1" applyBorder="1" applyAlignment="1" applyProtection="1">
      <alignment horizontal="center" vertical="center"/>
      <protection locked="0"/>
    </xf>
    <xf numFmtId="0" fontId="34" fillId="3" borderId="80" xfId="1" applyFont="1" applyFill="1" applyBorder="1" applyAlignment="1" applyProtection="1">
      <alignment horizontal="center" vertical="center"/>
      <protection locked="0"/>
    </xf>
    <xf numFmtId="0" fontId="30" fillId="0" borderId="80" xfId="0" applyFont="1" applyBorder="1" applyAlignment="1">
      <alignment horizontal="center" vertical="center"/>
    </xf>
    <xf numFmtId="2" fontId="2" fillId="3" borderId="80" xfId="0" applyNumberFormat="1" applyFont="1" applyFill="1" applyBorder="1" applyAlignment="1" applyProtection="1">
      <alignment horizontal="center" vertical="center"/>
      <protection locked="0"/>
    </xf>
    <xf numFmtId="0" fontId="2" fillId="4" borderId="83" xfId="0" applyFont="1" applyFill="1" applyBorder="1" applyAlignment="1" applyProtection="1">
      <alignment horizontal="center" vertical="center"/>
      <protection locked="0"/>
    </xf>
    <xf numFmtId="164" fontId="2" fillId="2" borderId="88" xfId="1" applyNumberFormat="1" applyFont="1" applyFill="1" applyBorder="1" applyAlignment="1" applyProtection="1">
      <alignment horizontal="center" vertical="center"/>
      <protection locked="0"/>
    </xf>
    <xf numFmtId="164" fontId="2" fillId="4" borderId="88" xfId="0" applyNumberFormat="1" applyFont="1" applyFill="1" applyBorder="1" applyAlignment="1" applyProtection="1">
      <alignment horizontal="center" vertical="center"/>
      <protection locked="0"/>
    </xf>
    <xf numFmtId="2" fontId="19" fillId="3" borderId="26" xfId="1" applyNumberFormat="1" applyFont="1" applyFill="1" applyBorder="1" applyAlignment="1" applyProtection="1">
      <alignment horizontal="center" vertical="center"/>
      <protection locked="0"/>
    </xf>
    <xf numFmtId="2" fontId="2" fillId="2" borderId="89" xfId="1" applyNumberFormat="1" applyFont="1" applyFill="1" applyBorder="1" applyAlignment="1" applyProtection="1">
      <alignment horizontal="center" vertical="center"/>
      <protection locked="0"/>
    </xf>
    <xf numFmtId="2" fontId="19" fillId="4" borderId="89" xfId="0" applyNumberFormat="1" applyFont="1" applyFill="1" applyBorder="1" applyAlignment="1" applyProtection="1">
      <alignment horizontal="center" vertical="center"/>
      <protection locked="0"/>
    </xf>
    <xf numFmtId="1" fontId="7" fillId="12" borderId="42" xfId="1" applyNumberFormat="1" applyFont="1" applyFill="1" applyBorder="1" applyAlignment="1">
      <alignment horizontal="center" vertical="center"/>
    </xf>
    <xf numFmtId="1" fontId="7" fillId="12" borderId="26" xfId="1" applyNumberFormat="1" applyFont="1" applyFill="1" applyBorder="1" applyAlignment="1">
      <alignment horizontal="center" vertical="center"/>
    </xf>
    <xf numFmtId="1" fontId="21" fillId="2" borderId="26" xfId="1" applyNumberFormat="1" applyFont="1" applyFill="1" applyBorder="1" applyAlignment="1">
      <alignment horizontal="center" vertical="center"/>
    </xf>
    <xf numFmtId="0" fontId="6" fillId="2" borderId="26" xfId="1" applyFont="1" applyFill="1" applyBorder="1" applyAlignment="1">
      <alignment horizontal="center" vertical="center"/>
    </xf>
    <xf numFmtId="2" fontId="2" fillId="2" borderId="26" xfId="1" applyNumberFormat="1" applyFont="1" applyFill="1" applyBorder="1" applyAlignment="1">
      <alignment horizontal="center" vertical="center"/>
    </xf>
    <xf numFmtId="0" fontId="23" fillId="2" borderId="22" xfId="0" applyNumberFormat="1" applyFont="1" applyFill="1" applyBorder="1" applyAlignment="1" applyProtection="1">
      <alignment horizontal="center" vertical="center"/>
      <protection locked="0"/>
    </xf>
    <xf numFmtId="1" fontId="38" fillId="10" borderId="22" xfId="0" applyNumberFormat="1" applyFont="1" applyFill="1" applyBorder="1" applyAlignment="1" applyProtection="1">
      <alignment horizontal="center" vertical="center"/>
      <protection locked="0"/>
    </xf>
    <xf numFmtId="168" fontId="9" fillId="2" borderId="22" xfId="0" applyNumberFormat="1" applyFont="1" applyFill="1" applyBorder="1" applyAlignment="1" applyProtection="1">
      <alignment horizontal="center" vertical="center"/>
      <protection locked="0" hidden="1"/>
    </xf>
    <xf numFmtId="0" fontId="9" fillId="2" borderId="22" xfId="0" applyFont="1" applyFill="1" applyBorder="1" applyAlignment="1" applyProtection="1">
      <alignment horizontal="center" vertical="center"/>
      <protection locked="0" hidden="1"/>
    </xf>
    <xf numFmtId="1" fontId="31" fillId="15" borderId="26" xfId="0" applyNumberFormat="1" applyFont="1" applyFill="1" applyBorder="1" applyAlignment="1" applyProtection="1">
      <alignment horizontal="center" vertical="center"/>
      <protection locked="0"/>
    </xf>
    <xf numFmtId="0" fontId="48" fillId="2" borderId="22" xfId="0" applyFont="1" applyFill="1" applyBorder="1" applyAlignment="1">
      <alignment horizontal="center" vertical="center"/>
    </xf>
    <xf numFmtId="0" fontId="49" fillId="2" borderId="22" xfId="0" applyFont="1" applyFill="1" applyBorder="1" applyAlignment="1" applyProtection="1">
      <alignment horizontal="center" vertical="center"/>
      <protection locked="0"/>
    </xf>
    <xf numFmtId="164" fontId="30" fillId="2" borderId="22" xfId="0" applyNumberFormat="1" applyFont="1" applyFill="1" applyBorder="1" applyAlignment="1" applyProtection="1">
      <alignment horizontal="left" vertical="center"/>
      <protection locked="0"/>
    </xf>
    <xf numFmtId="0" fontId="30" fillId="2" borderId="22" xfId="0" applyFont="1" applyFill="1" applyBorder="1" applyAlignment="1" applyProtection="1">
      <alignment vertical="center"/>
      <protection locked="0"/>
    </xf>
    <xf numFmtId="1" fontId="30" fillId="2" borderId="22" xfId="0" applyNumberFormat="1" applyFont="1" applyFill="1" applyBorder="1" applyAlignment="1" applyProtection="1">
      <alignment horizontal="center" vertical="center"/>
      <protection locked="0"/>
    </xf>
    <xf numFmtId="0" fontId="2" fillId="3" borderId="75" xfId="0" applyFont="1" applyFill="1" applyBorder="1" applyAlignment="1" applyProtection="1">
      <alignment horizontal="center" vertical="center"/>
      <protection locked="0"/>
    </xf>
    <xf numFmtId="2" fontId="30" fillId="3" borderId="22" xfId="0" applyNumberFormat="1" applyFont="1" applyFill="1" applyBorder="1" applyAlignment="1" applyProtection="1">
      <alignment horizontal="center" vertical="center"/>
      <protection locked="0"/>
    </xf>
    <xf numFmtId="164" fontId="50" fillId="2" borderId="12" xfId="0" applyNumberFormat="1" applyFont="1" applyFill="1" applyBorder="1" applyAlignment="1" applyProtection="1">
      <alignment horizontal="center" vertical="center"/>
      <protection locked="0"/>
    </xf>
    <xf numFmtId="2" fontId="2" fillId="2" borderId="47" xfId="0" applyNumberFormat="1" applyFont="1" applyFill="1" applyBorder="1" applyAlignment="1" applyProtection="1">
      <alignment horizontal="center" vertical="center"/>
      <protection locked="0"/>
    </xf>
    <xf numFmtId="1" fontId="7" fillId="0" borderId="26" xfId="0" applyNumberFormat="1" applyFont="1" applyFill="1" applyBorder="1" applyAlignment="1" applyProtection="1">
      <alignment horizontal="center" vertical="center"/>
    </xf>
    <xf numFmtId="0" fontId="48" fillId="2" borderId="79" xfId="0" applyFont="1" applyFill="1" applyBorder="1" applyAlignment="1">
      <alignment horizontal="center" vertical="center"/>
    </xf>
    <xf numFmtId="0" fontId="48" fillId="2" borderId="43" xfId="0" applyFont="1" applyFill="1" applyBorder="1" applyAlignment="1">
      <alignment horizontal="center" vertical="center"/>
    </xf>
    <xf numFmtId="0" fontId="49" fillId="2" borderId="43" xfId="0" applyFont="1" applyFill="1" applyBorder="1" applyAlignment="1" applyProtection="1">
      <alignment horizontal="center" vertical="center"/>
      <protection locked="0"/>
    </xf>
    <xf numFmtId="164" fontId="30" fillId="4" borderId="45" xfId="0" applyNumberFormat="1" applyFont="1" applyFill="1" applyBorder="1" applyAlignment="1" applyProtection="1">
      <alignment horizontal="left" vertical="center"/>
      <protection locked="0"/>
    </xf>
    <xf numFmtId="164" fontId="30" fillId="2" borderId="65" xfId="0" applyNumberFormat="1" applyFont="1" applyFill="1" applyBorder="1" applyAlignment="1" applyProtection="1">
      <alignment horizontal="left" vertical="center"/>
      <protection locked="0"/>
    </xf>
    <xf numFmtId="0" fontId="30" fillId="4" borderId="46" xfId="0" applyFont="1" applyFill="1" applyBorder="1" applyAlignment="1" applyProtection="1">
      <alignment vertical="center"/>
      <protection locked="0"/>
    </xf>
    <xf numFmtId="0" fontId="30" fillId="2" borderId="66" xfId="0" applyFont="1" applyFill="1" applyBorder="1" applyAlignment="1" applyProtection="1">
      <alignment vertical="center"/>
      <protection locked="0"/>
    </xf>
    <xf numFmtId="1" fontId="30" fillId="2" borderId="43" xfId="0" applyNumberFormat="1" applyFont="1" applyFill="1" applyBorder="1" applyAlignment="1" applyProtection="1">
      <alignment horizontal="center" vertical="center"/>
      <protection locked="0"/>
    </xf>
    <xf numFmtId="0" fontId="30" fillId="3" borderId="80" xfId="0" applyFont="1" applyFill="1" applyBorder="1" applyAlignment="1" applyProtection="1">
      <alignment horizontal="center" vertical="center"/>
      <protection locked="0"/>
    </xf>
    <xf numFmtId="2" fontId="30" fillId="3" borderId="43" xfId="0" applyNumberFormat="1" applyFont="1" applyFill="1" applyBorder="1" applyAlignment="1" applyProtection="1">
      <alignment horizontal="center" vertical="center"/>
      <protection locked="0"/>
    </xf>
    <xf numFmtId="0" fontId="1" fillId="2" borderId="26" xfId="0" applyFont="1" applyFill="1" applyBorder="1" applyAlignment="1" applyProtection="1">
      <alignment horizontal="center" vertical="center"/>
    </xf>
    <xf numFmtId="0" fontId="48" fillId="2" borderId="26" xfId="0" applyFont="1" applyFill="1" applyBorder="1" applyAlignment="1" applyProtection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0" borderId="79" xfId="2" applyFont="1" applyFill="1" applyBorder="1" applyAlignment="1" applyProtection="1">
      <alignment horizontal="center" vertical="center"/>
    </xf>
    <xf numFmtId="0" fontId="25" fillId="2" borderId="26" xfId="0" applyFont="1" applyFill="1" applyBorder="1" applyAlignment="1" applyProtection="1">
      <alignment horizontal="center" vertical="center"/>
    </xf>
    <xf numFmtId="0" fontId="48" fillId="2" borderId="26" xfId="1" applyFont="1" applyFill="1" applyBorder="1" applyAlignment="1">
      <alignment horizontal="center" vertical="center"/>
    </xf>
    <xf numFmtId="0" fontId="61" fillId="2" borderId="26" xfId="1" applyFont="1" applyFill="1" applyBorder="1" applyAlignment="1">
      <alignment horizontal="center" vertical="center"/>
    </xf>
    <xf numFmtId="0" fontId="2" fillId="0" borderId="19" xfId="2" applyFont="1" applyFill="1" applyBorder="1" applyAlignment="1" applyProtection="1">
      <alignment horizontal="center" vertical="center"/>
    </xf>
    <xf numFmtId="0" fontId="48" fillId="3" borderId="26" xfId="0" applyFont="1" applyFill="1" applyBorder="1" applyAlignment="1">
      <alignment horizontal="center" vertical="center"/>
    </xf>
    <xf numFmtId="0" fontId="1" fillId="2" borderId="63" xfId="0" applyFont="1" applyFill="1" applyBorder="1" applyAlignment="1">
      <alignment horizontal="center" vertical="center"/>
    </xf>
    <xf numFmtId="0" fontId="1" fillId="2" borderId="63" xfId="0" applyFont="1" applyFill="1" applyBorder="1" applyAlignment="1" applyProtection="1">
      <alignment horizontal="center" vertical="center"/>
    </xf>
    <xf numFmtId="0" fontId="2" fillId="0" borderId="78" xfId="2" applyFont="1" applyFill="1" applyBorder="1" applyAlignment="1" applyProtection="1">
      <alignment horizontal="center" vertical="center"/>
    </xf>
    <xf numFmtId="0" fontId="48" fillId="0" borderId="12" xfId="0" applyFont="1" applyBorder="1" applyAlignment="1">
      <alignment horizontal="center" vertical="center"/>
    </xf>
    <xf numFmtId="0" fontId="48" fillId="2" borderId="26" xfId="0" applyNumberFormat="1" applyFont="1" applyFill="1" applyBorder="1" applyAlignment="1" applyProtection="1">
      <alignment horizontal="center" vertical="center"/>
    </xf>
    <xf numFmtId="0" fontId="1" fillId="2" borderId="12" xfId="0" applyFont="1" applyFill="1" applyBorder="1" applyAlignment="1" applyProtection="1">
      <alignment horizontal="center" vertical="center"/>
      <protection locked="0" hidden="1"/>
    </xf>
    <xf numFmtId="0" fontId="1" fillId="2" borderId="26" xfId="0" applyFont="1" applyFill="1" applyBorder="1" applyAlignment="1" applyProtection="1">
      <alignment horizontal="center" vertical="center"/>
      <protection locked="0"/>
    </xf>
    <xf numFmtId="0" fontId="48" fillId="2" borderId="12" xfId="1" applyNumberFormat="1" applyFont="1" applyFill="1" applyBorder="1" applyAlignment="1" applyProtection="1">
      <alignment horizontal="center" vertical="center"/>
    </xf>
    <xf numFmtId="0" fontId="1" fillId="2" borderId="59" xfId="1" applyNumberFormat="1" applyFont="1" applyFill="1" applyBorder="1" applyAlignment="1" applyProtection="1">
      <alignment horizontal="center" vertical="center"/>
    </xf>
    <xf numFmtId="0" fontId="1" fillId="3" borderId="26" xfId="0" applyNumberFormat="1" applyFont="1" applyFill="1" applyBorder="1" applyAlignment="1" applyProtection="1">
      <alignment horizontal="center" vertical="center"/>
    </xf>
    <xf numFmtId="0" fontId="1" fillId="2" borderId="22" xfId="1" applyNumberFormat="1" applyFont="1" applyFill="1" applyBorder="1" applyAlignment="1" applyProtection="1">
      <alignment horizontal="center" vertical="center"/>
    </xf>
    <xf numFmtId="0" fontId="48" fillId="2" borderId="43" xfId="1" applyNumberFormat="1" applyFont="1" applyFill="1" applyBorder="1" applyAlignment="1" applyProtection="1">
      <alignment horizontal="center" vertical="center"/>
    </xf>
    <xf numFmtId="0" fontId="13" fillId="2" borderId="26" xfId="1" applyFont="1" applyFill="1" applyBorder="1" applyAlignment="1" applyProtection="1">
      <alignment horizontal="center" vertical="center"/>
      <protection locked="0"/>
    </xf>
    <xf numFmtId="0" fontId="64" fillId="2" borderId="26" xfId="0" applyFont="1" applyFill="1" applyBorder="1" applyAlignment="1" applyProtection="1">
      <alignment horizontal="center" vertical="center"/>
      <protection locked="0"/>
    </xf>
    <xf numFmtId="0" fontId="27" fillId="2" borderId="12" xfId="0" applyNumberFormat="1" applyFont="1" applyFill="1" applyBorder="1" applyAlignment="1" applyProtection="1">
      <alignment vertical="center"/>
      <protection locked="0"/>
    </xf>
    <xf numFmtId="0" fontId="23" fillId="2" borderId="26" xfId="0" applyFont="1" applyFill="1" applyBorder="1" applyAlignment="1" applyProtection="1">
      <alignment horizontal="center" vertical="center"/>
      <protection locked="0"/>
    </xf>
    <xf numFmtId="0" fontId="49" fillId="3" borderId="26" xfId="0" applyFont="1" applyFill="1" applyBorder="1" applyAlignment="1" applyProtection="1">
      <alignment horizontal="center" vertical="center"/>
      <protection locked="0"/>
    </xf>
    <xf numFmtId="0" fontId="49" fillId="2" borderId="26" xfId="1" applyFont="1" applyFill="1" applyBorder="1" applyAlignment="1" applyProtection="1">
      <alignment horizontal="center" vertical="center"/>
      <protection locked="0"/>
    </xf>
    <xf numFmtId="0" fontId="30" fillId="0" borderId="12" xfId="0" applyFont="1" applyBorder="1"/>
    <xf numFmtId="0" fontId="64" fillId="3" borderId="26" xfId="0" applyFont="1" applyFill="1" applyBorder="1" applyAlignment="1" applyProtection="1">
      <alignment horizontal="center" vertical="center"/>
      <protection locked="0"/>
    </xf>
    <xf numFmtId="0" fontId="49" fillId="2" borderId="12" xfId="1" applyNumberFormat="1" applyFont="1" applyFill="1" applyBorder="1" applyAlignment="1" applyProtection="1">
      <alignment horizontal="center" vertical="center"/>
      <protection locked="0"/>
    </xf>
    <xf numFmtId="0" fontId="46" fillId="2" borderId="26" xfId="1" applyFont="1" applyFill="1" applyBorder="1" applyAlignment="1" applyProtection="1">
      <alignment horizontal="center" vertical="center"/>
      <protection locked="0"/>
    </xf>
    <xf numFmtId="0" fontId="43" fillId="3" borderId="26" xfId="0" applyNumberFormat="1" applyFont="1" applyFill="1" applyBorder="1" applyAlignment="1" applyProtection="1">
      <alignment horizontal="center" vertical="center"/>
      <protection locked="0"/>
    </xf>
    <xf numFmtId="0" fontId="43" fillId="2" borderId="43" xfId="0" applyNumberFormat="1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vertical="center"/>
      <protection locked="0" hidden="1"/>
    </xf>
    <xf numFmtId="0" fontId="30" fillId="0" borderId="12" xfId="0" applyFont="1" applyBorder="1" applyAlignment="1">
      <alignment horizontal="center" vertical="center"/>
    </xf>
    <xf numFmtId="164" fontId="33" fillId="2" borderId="12" xfId="0" applyNumberFormat="1" applyFont="1" applyFill="1" applyBorder="1" applyAlignment="1" applyProtection="1">
      <alignment horizontal="center" vertical="center"/>
      <protection locked="0"/>
    </xf>
    <xf numFmtId="0" fontId="30" fillId="0" borderId="44" xfId="0" applyFont="1" applyBorder="1" applyAlignment="1">
      <alignment horizontal="center" vertical="center"/>
    </xf>
    <xf numFmtId="0" fontId="30" fillId="0" borderId="44" xfId="0" applyFont="1" applyBorder="1" applyAlignment="1">
      <alignment horizontal="center"/>
    </xf>
    <xf numFmtId="164" fontId="30" fillId="2" borderId="64" xfId="1" applyNumberFormat="1" applyFont="1" applyFill="1" applyBorder="1" applyAlignment="1" applyProtection="1">
      <alignment horizontal="center" vertical="center"/>
      <protection locked="0"/>
    </xf>
    <xf numFmtId="0" fontId="30" fillId="0" borderId="55" xfId="0" applyFont="1" applyBorder="1" applyAlignment="1">
      <alignment horizontal="center"/>
    </xf>
    <xf numFmtId="164" fontId="30" fillId="3" borderId="26" xfId="0" applyNumberFormat="1" applyFont="1" applyFill="1" applyBorder="1" applyAlignment="1" applyProtection="1">
      <alignment horizontal="center" vertical="center"/>
      <protection locked="0"/>
    </xf>
    <xf numFmtId="164" fontId="2" fillId="2" borderId="85" xfId="0" applyNumberFormat="1" applyFont="1" applyFill="1" applyBorder="1" applyAlignment="1" applyProtection="1">
      <alignment horizontal="left" vertical="center"/>
      <protection locked="0"/>
    </xf>
    <xf numFmtId="0" fontId="30" fillId="4" borderId="50" xfId="0" applyFont="1" applyFill="1" applyBorder="1" applyAlignment="1">
      <alignment vertical="center"/>
    </xf>
    <xf numFmtId="164" fontId="30" fillId="3" borderId="26" xfId="0" applyNumberFormat="1" applyFont="1" applyFill="1" applyBorder="1" applyAlignment="1" applyProtection="1">
      <alignment horizontal="left" vertical="center"/>
      <protection locked="0"/>
    </xf>
    <xf numFmtId="0" fontId="30" fillId="0" borderId="50" xfId="0" applyFont="1" applyBorder="1"/>
    <xf numFmtId="0" fontId="62" fillId="2" borderId="26" xfId="1" applyFont="1" applyFill="1" applyBorder="1" applyAlignment="1" applyProtection="1">
      <alignment vertical="center"/>
      <protection locked="0"/>
    </xf>
    <xf numFmtId="164" fontId="2" fillId="2" borderId="65" xfId="0" applyNumberFormat="1" applyFont="1" applyFill="1" applyBorder="1" applyAlignment="1" applyProtection="1">
      <alignment horizontal="left" vertical="center"/>
      <protection locked="0"/>
    </xf>
    <xf numFmtId="164" fontId="35" fillId="2" borderId="22" xfId="1" applyNumberFormat="1" applyFont="1" applyFill="1" applyBorder="1" applyAlignment="1" applyProtection="1">
      <alignment horizontal="left" vertical="center"/>
      <protection locked="0"/>
    </xf>
    <xf numFmtId="164" fontId="35" fillId="2" borderId="85" xfId="1" applyNumberFormat="1" applyFont="1" applyFill="1" applyBorder="1" applyAlignment="1" applyProtection="1">
      <alignment horizontal="left" vertical="center"/>
      <protection locked="0"/>
    </xf>
    <xf numFmtId="0" fontId="30" fillId="4" borderId="51" xfId="0" applyFont="1" applyFill="1" applyBorder="1" applyAlignment="1">
      <alignment vertical="center"/>
    </xf>
    <xf numFmtId="0" fontId="30" fillId="3" borderId="26" xfId="0" applyFont="1" applyFill="1" applyBorder="1" applyAlignment="1" applyProtection="1">
      <alignment vertical="center"/>
      <protection locked="0"/>
    </xf>
    <xf numFmtId="0" fontId="30" fillId="0" borderId="51" xfId="0" applyFont="1" applyBorder="1"/>
    <xf numFmtId="1" fontId="2" fillId="2" borderId="87" xfId="0" applyNumberFormat="1" applyFont="1" applyFill="1" applyBorder="1" applyAlignment="1" applyProtection="1">
      <alignment horizontal="center" vertical="center"/>
      <protection locked="0"/>
    </xf>
    <xf numFmtId="0" fontId="30" fillId="0" borderId="58" xfId="0" applyFont="1" applyBorder="1" applyAlignment="1">
      <alignment horizontal="center" vertical="center"/>
    </xf>
    <xf numFmtId="1" fontId="35" fillId="2" borderId="34" xfId="0" applyNumberFormat="1" applyFont="1" applyFill="1" applyBorder="1" applyAlignment="1" applyProtection="1">
      <alignment horizontal="center" vertical="center"/>
      <protection locked="0"/>
    </xf>
    <xf numFmtId="1" fontId="62" fillId="2" borderId="26" xfId="1" applyNumberFormat="1" applyFont="1" applyFill="1" applyBorder="1" applyAlignment="1" applyProtection="1">
      <alignment horizontal="center" vertical="center"/>
      <protection locked="0"/>
    </xf>
    <xf numFmtId="1" fontId="35" fillId="2" borderId="44" xfId="1" applyNumberFormat="1" applyFont="1" applyFill="1" applyBorder="1" applyAlignment="1" applyProtection="1">
      <alignment horizontal="center" vertical="center"/>
      <protection locked="0"/>
    </xf>
    <xf numFmtId="1" fontId="2" fillId="2" borderId="43" xfId="0" applyNumberFormat="1" applyFont="1" applyFill="1" applyBorder="1" applyAlignment="1" applyProtection="1">
      <alignment horizontal="center" vertical="center"/>
      <protection locked="0"/>
    </xf>
    <xf numFmtId="1" fontId="35" fillId="2" borderId="22" xfId="1" applyNumberFormat="1" applyFont="1" applyFill="1" applyBorder="1" applyAlignment="1" applyProtection="1">
      <alignment horizontal="center" vertical="center"/>
      <protection locked="0"/>
    </xf>
    <xf numFmtId="1" fontId="30" fillId="3" borderId="26" xfId="0" applyNumberFormat="1" applyFont="1" applyFill="1" applyBorder="1" applyAlignment="1" applyProtection="1">
      <alignment horizontal="center" vertical="center"/>
      <protection locked="0"/>
    </xf>
    <xf numFmtId="1" fontId="35" fillId="2" borderId="87" xfId="1" applyNumberFormat="1" applyFont="1" applyFill="1" applyBorder="1" applyAlignment="1" applyProtection="1">
      <alignment horizontal="center" vertical="center"/>
      <protection locked="0"/>
    </xf>
    <xf numFmtId="0" fontId="47" fillId="2" borderId="12" xfId="1" applyFont="1" applyFill="1" applyBorder="1" applyAlignment="1" applyProtection="1">
      <alignment horizontal="center" vertical="center"/>
      <protection locked="0"/>
    </xf>
    <xf numFmtId="0" fontId="35" fillId="2" borderId="12" xfId="1" applyFont="1" applyFill="1" applyBorder="1" applyAlignment="1" applyProtection="1">
      <alignment horizontal="center" vertical="center"/>
      <protection locked="0"/>
    </xf>
    <xf numFmtId="0" fontId="35" fillId="2" borderId="22" xfId="0" applyFont="1" applyFill="1" applyBorder="1" applyAlignment="1" applyProtection="1">
      <alignment horizontal="center" vertical="center"/>
      <protection locked="0"/>
    </xf>
    <xf numFmtId="0" fontId="2" fillId="2" borderId="55" xfId="0" applyFont="1" applyFill="1" applyBorder="1" applyAlignment="1" applyProtection="1">
      <alignment horizontal="center" vertical="center"/>
      <protection locked="0"/>
    </xf>
    <xf numFmtId="0" fontId="2" fillId="3" borderId="75" xfId="1" applyFont="1" applyFill="1" applyBorder="1" applyAlignment="1" applyProtection="1">
      <alignment horizontal="center" vertical="center"/>
      <protection locked="0"/>
    </xf>
    <xf numFmtId="0" fontId="62" fillId="3" borderId="22" xfId="1" applyFont="1" applyFill="1" applyBorder="1" applyAlignment="1" applyProtection="1">
      <alignment horizontal="center" vertical="center"/>
      <protection locked="0"/>
    </xf>
    <xf numFmtId="0" fontId="30" fillId="3" borderId="80" xfId="1" applyFont="1" applyFill="1" applyBorder="1" applyAlignment="1" applyProtection="1">
      <alignment horizontal="center" vertical="center"/>
      <protection locked="0"/>
    </xf>
    <xf numFmtId="0" fontId="35" fillId="2" borderId="80" xfId="1" applyFont="1" applyFill="1" applyBorder="1" applyAlignment="1" applyProtection="1">
      <alignment horizontal="center" vertical="center"/>
      <protection locked="0"/>
    </xf>
    <xf numFmtId="0" fontId="2" fillId="3" borderId="43" xfId="0" applyFont="1" applyFill="1" applyBorder="1" applyAlignment="1" applyProtection="1">
      <alignment horizontal="center" vertical="center"/>
      <protection locked="0"/>
    </xf>
    <xf numFmtId="0" fontId="35" fillId="2" borderId="26" xfId="0" applyFont="1" applyFill="1" applyBorder="1" applyAlignment="1" applyProtection="1">
      <alignment horizontal="center" vertical="center"/>
      <protection locked="0"/>
    </xf>
    <xf numFmtId="0" fontId="45" fillId="2" borderId="22" xfId="1" applyFont="1" applyFill="1" applyBorder="1" applyAlignment="1" applyProtection="1">
      <alignment horizontal="center" vertical="center"/>
      <protection locked="0"/>
    </xf>
    <xf numFmtId="2" fontId="2" fillId="3" borderId="75" xfId="1" applyNumberFormat="1" applyFont="1" applyFill="1" applyBorder="1" applyAlignment="1" applyProtection="1">
      <alignment horizontal="center" vertical="center"/>
      <protection locked="0"/>
    </xf>
    <xf numFmtId="2" fontId="30" fillId="3" borderId="80" xfId="0" applyNumberFormat="1" applyFont="1" applyFill="1" applyBorder="1" applyAlignment="1" applyProtection="1">
      <alignment horizontal="center" vertical="center"/>
      <protection locked="0"/>
    </xf>
    <xf numFmtId="0" fontId="19" fillId="2" borderId="26" xfId="0" applyFont="1" applyFill="1" applyBorder="1" applyAlignment="1" applyProtection="1">
      <alignment horizontal="center" vertical="center"/>
      <protection locked="0"/>
    </xf>
    <xf numFmtId="0" fontId="30" fillId="3" borderId="75" xfId="0" applyFont="1" applyFill="1" applyBorder="1" applyAlignment="1" applyProtection="1">
      <alignment horizontal="center" vertical="center"/>
      <protection locked="0"/>
    </xf>
    <xf numFmtId="164" fontId="2" fillId="2" borderId="88" xfId="0" applyNumberFormat="1" applyFont="1" applyFill="1" applyBorder="1" applyAlignment="1" applyProtection="1">
      <alignment horizontal="center" vertical="center"/>
      <protection locked="0"/>
    </xf>
    <xf numFmtId="0" fontId="32" fillId="0" borderId="77" xfId="0" applyFont="1" applyBorder="1" applyAlignment="1">
      <alignment horizontal="center" vertical="center"/>
    </xf>
    <xf numFmtId="164" fontId="62" fillId="2" borderId="26" xfId="1" applyNumberFormat="1" applyFont="1" applyFill="1" applyBorder="1" applyAlignment="1" applyProtection="1">
      <alignment horizontal="center" vertical="center"/>
      <protection locked="0"/>
    </xf>
    <xf numFmtId="164" fontId="50" fillId="2" borderId="26" xfId="1" applyNumberFormat="1" applyFont="1" applyFill="1" applyBorder="1" applyAlignment="1" applyProtection="1">
      <alignment horizontal="center" vertical="center"/>
      <protection locked="0"/>
    </xf>
    <xf numFmtId="164" fontId="2" fillId="2" borderId="43" xfId="0" applyNumberFormat="1" applyFont="1" applyFill="1" applyBorder="1" applyAlignment="1" applyProtection="1">
      <alignment horizontal="center" vertical="center"/>
      <protection locked="0"/>
    </xf>
    <xf numFmtId="0" fontId="32" fillId="0" borderId="12" xfId="0" applyFont="1" applyBorder="1" applyAlignment="1">
      <alignment horizontal="center"/>
    </xf>
    <xf numFmtId="164" fontId="9" fillId="2" borderId="26" xfId="1" applyNumberFormat="1" applyFont="1" applyFill="1" applyBorder="1" applyAlignment="1" applyProtection="1">
      <alignment horizontal="center" vertical="center"/>
      <protection locked="0"/>
    </xf>
    <xf numFmtId="2" fontId="50" fillId="3" borderId="26" xfId="1" applyNumberFormat="1" applyFont="1" applyFill="1" applyBorder="1" applyAlignment="1" applyProtection="1">
      <alignment horizontal="center" vertical="center"/>
      <protection locked="0"/>
    </xf>
    <xf numFmtId="2" fontId="35" fillId="2" borderId="89" xfId="0" applyNumberFormat="1" applyFont="1" applyFill="1" applyBorder="1" applyAlignment="1" applyProtection="1">
      <alignment horizontal="center" vertical="center"/>
      <protection locked="0"/>
    </xf>
    <xf numFmtId="2" fontId="30" fillId="0" borderId="52" xfId="0" applyNumberFormat="1" applyFont="1" applyBorder="1" applyAlignment="1">
      <alignment horizontal="center" vertical="center"/>
    </xf>
    <xf numFmtId="2" fontId="30" fillId="2" borderId="26" xfId="0" applyNumberFormat="1" applyFont="1" applyFill="1" applyBorder="1" applyAlignment="1" applyProtection="1">
      <alignment horizontal="center" vertical="center"/>
      <protection locked="0"/>
    </xf>
    <xf numFmtId="2" fontId="50" fillId="3" borderId="26" xfId="0" applyNumberFormat="1" applyFont="1" applyFill="1" applyBorder="1" applyAlignment="1" applyProtection="1">
      <alignment horizontal="center" vertical="center"/>
      <protection locked="0"/>
    </xf>
    <xf numFmtId="2" fontId="50" fillId="2" borderId="26" xfId="1" applyNumberFormat="1" applyFont="1" applyFill="1" applyBorder="1" applyAlignment="1" applyProtection="1">
      <alignment horizontal="center" vertical="center"/>
      <protection locked="0"/>
    </xf>
    <xf numFmtId="2" fontId="30" fillId="2" borderId="52" xfId="1" applyNumberFormat="1" applyFont="1" applyFill="1" applyBorder="1" applyAlignment="1" applyProtection="1">
      <alignment horizontal="center" vertical="center"/>
      <protection locked="0"/>
    </xf>
    <xf numFmtId="2" fontId="63" fillId="3" borderId="26" xfId="1" applyNumberFormat="1" applyFont="1" applyFill="1" applyBorder="1" applyAlignment="1" applyProtection="1">
      <alignment horizontal="center" vertical="center"/>
      <protection locked="0"/>
    </xf>
    <xf numFmtId="2" fontId="35" fillId="2" borderId="47" xfId="1" applyNumberFormat="1" applyFont="1" applyFill="1" applyBorder="1" applyAlignment="1" applyProtection="1">
      <alignment horizontal="center" vertical="center"/>
      <protection locked="0"/>
    </xf>
    <xf numFmtId="2" fontId="30" fillId="3" borderId="52" xfId="1" applyNumberFormat="1" applyFont="1" applyFill="1" applyBorder="1" applyAlignment="1" applyProtection="1">
      <alignment horizontal="center" vertical="center"/>
      <protection locked="0"/>
    </xf>
    <xf numFmtId="2" fontId="9" fillId="3" borderId="26" xfId="1" applyNumberFormat="1" applyFont="1" applyFill="1" applyBorder="1" applyAlignment="1" applyProtection="1">
      <alignment horizontal="center" vertical="center"/>
      <protection locked="0"/>
    </xf>
    <xf numFmtId="0" fontId="2" fillId="2" borderId="52" xfId="0" applyFont="1" applyFill="1" applyBorder="1" applyAlignment="1" applyProtection="1">
      <alignment horizontal="center" vertical="center"/>
      <protection locked="0" hidden="1"/>
    </xf>
    <xf numFmtId="1" fontId="31" fillId="15" borderId="26" xfId="1" applyNumberFormat="1" applyFont="1" applyFill="1" applyBorder="1" applyAlignment="1" applyProtection="1">
      <alignment horizontal="center" vertical="center"/>
      <protection locked="0"/>
    </xf>
    <xf numFmtId="0" fontId="31" fillId="15" borderId="53" xfId="0" applyFont="1" applyFill="1" applyBorder="1" applyAlignment="1">
      <alignment horizontal="center" vertical="center"/>
    </xf>
    <xf numFmtId="1" fontId="53" fillId="15" borderId="53" xfId="0" applyNumberFormat="1" applyFont="1" applyFill="1" applyBorder="1" applyAlignment="1" applyProtection="1">
      <alignment horizontal="center" vertical="center"/>
      <protection locked="0"/>
    </xf>
    <xf numFmtId="1" fontId="10" fillId="15" borderId="53" xfId="0" applyNumberFormat="1" applyFont="1" applyFill="1" applyBorder="1" applyAlignment="1" applyProtection="1">
      <alignment horizontal="center" vertical="center"/>
      <protection locked="0"/>
    </xf>
    <xf numFmtId="0" fontId="13" fillId="15" borderId="53" xfId="0" applyFont="1" applyFill="1" applyBorder="1" applyAlignment="1" applyProtection="1">
      <alignment horizontal="center" vertical="center"/>
      <protection locked="0" hidden="1"/>
    </xf>
    <xf numFmtId="1" fontId="38" fillId="0" borderId="26" xfId="0" applyNumberFormat="1" applyFont="1" applyBorder="1" applyAlignment="1" applyProtection="1">
      <alignment horizontal="center" vertical="center"/>
      <protection locked="0"/>
    </xf>
    <xf numFmtId="0" fontId="10" fillId="15" borderId="53" xfId="0" applyFont="1" applyFill="1" applyBorder="1" applyAlignment="1">
      <alignment horizontal="center"/>
    </xf>
    <xf numFmtId="1" fontId="38" fillId="0" borderId="53" xfId="0" applyNumberFormat="1" applyFont="1" applyFill="1" applyBorder="1" applyAlignment="1" applyProtection="1">
      <alignment horizontal="center" vertical="center"/>
      <protection locked="0"/>
    </xf>
    <xf numFmtId="1" fontId="38" fillId="2" borderId="53" xfId="1" applyNumberFormat="1" applyFont="1" applyFill="1" applyBorder="1" applyAlignment="1" applyProtection="1">
      <alignment horizontal="center" vertical="center"/>
      <protection locked="0"/>
    </xf>
    <xf numFmtId="1" fontId="38" fillId="2" borderId="48" xfId="1" applyNumberFormat="1" applyFont="1" applyFill="1" applyBorder="1" applyAlignment="1" applyProtection="1">
      <alignment horizontal="center" vertical="center"/>
      <protection locked="0"/>
    </xf>
    <xf numFmtId="1" fontId="10" fillId="0" borderId="53" xfId="0" applyNumberFormat="1" applyFont="1" applyFill="1" applyBorder="1" applyAlignment="1" applyProtection="1">
      <alignment horizontal="center" vertical="center"/>
      <protection locked="0"/>
    </xf>
    <xf numFmtId="1" fontId="38" fillId="2" borderId="68" xfId="0" applyNumberFormat="1" applyFont="1" applyFill="1" applyBorder="1" applyAlignment="1" applyProtection="1">
      <alignment horizontal="center" vertical="center"/>
      <protection locked="0"/>
    </xf>
    <xf numFmtId="0" fontId="31" fillId="15" borderId="54" xfId="0" applyFont="1" applyFill="1" applyBorder="1" applyAlignment="1">
      <alignment horizontal="center" vertical="center"/>
    </xf>
    <xf numFmtId="1" fontId="53" fillId="15" borderId="54" xfId="0" applyNumberFormat="1" applyFont="1" applyFill="1" applyBorder="1" applyAlignment="1" applyProtection="1">
      <alignment horizontal="center" vertical="center"/>
      <protection locked="0"/>
    </xf>
    <xf numFmtId="1" fontId="10" fillId="0" borderId="54" xfId="0" applyNumberFormat="1" applyFont="1" applyFill="1" applyBorder="1" applyAlignment="1" applyProtection="1">
      <alignment horizontal="center" vertical="center"/>
      <protection locked="0"/>
    </xf>
    <xf numFmtId="0" fontId="10" fillId="15" borderId="54" xfId="0" applyFont="1" applyFill="1" applyBorder="1" applyAlignment="1">
      <alignment horizontal="center"/>
    </xf>
    <xf numFmtId="1" fontId="10" fillId="3" borderId="54" xfId="1" applyNumberFormat="1" applyFont="1" applyFill="1" applyBorder="1" applyAlignment="1" applyProtection="1">
      <alignment horizontal="center" vertical="center"/>
      <protection locked="0"/>
    </xf>
    <xf numFmtId="1" fontId="38" fillId="2" borderId="69" xfId="0" applyNumberFormat="1" applyFont="1" applyFill="1" applyBorder="1" applyAlignment="1" applyProtection="1">
      <alignment horizontal="center" vertical="center"/>
      <protection locked="0"/>
    </xf>
    <xf numFmtId="1" fontId="53" fillId="0" borderId="54" xfId="0" applyNumberFormat="1" applyFont="1" applyFill="1" applyBorder="1" applyAlignment="1" applyProtection="1">
      <alignment horizontal="center" vertical="center"/>
      <protection locked="0"/>
    </xf>
    <xf numFmtId="0" fontId="13" fillId="10" borderId="54" xfId="0" applyFont="1" applyFill="1" applyBorder="1" applyAlignment="1" applyProtection="1">
      <alignment horizontal="center" vertical="center"/>
      <protection locked="0" hidden="1"/>
    </xf>
    <xf numFmtId="0" fontId="10" fillId="15" borderId="54" xfId="0" applyFont="1" applyFill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1" fontId="54" fillId="12" borderId="13" xfId="0" applyNumberFormat="1" applyFont="1" applyFill="1" applyBorder="1" applyAlignment="1" applyProtection="1">
      <alignment horizontal="center" vertical="center"/>
    </xf>
    <xf numFmtId="1" fontId="7" fillId="12" borderId="91" xfId="0" applyNumberFormat="1" applyFont="1" applyFill="1" applyBorder="1" applyAlignment="1" applyProtection="1">
      <alignment horizontal="center" vertical="center"/>
    </xf>
    <xf numFmtId="1" fontId="7" fillId="12" borderId="70" xfId="0" applyNumberFormat="1" applyFont="1" applyFill="1" applyBorder="1" applyAlignment="1">
      <alignment horizontal="center" vertical="center"/>
    </xf>
    <xf numFmtId="1" fontId="7" fillId="12" borderId="70" xfId="0" applyNumberFormat="1" applyFont="1" applyFill="1" applyBorder="1" applyAlignment="1" applyProtection="1">
      <alignment horizontal="center" vertical="center"/>
    </xf>
    <xf numFmtId="0" fontId="10" fillId="15" borderId="53" xfId="0" applyFont="1" applyFill="1" applyBorder="1" applyAlignment="1">
      <alignment horizontal="center" vertical="center"/>
    </xf>
    <xf numFmtId="1" fontId="10" fillId="15" borderId="48" xfId="0" applyNumberFormat="1" applyFont="1" applyFill="1" applyBorder="1" applyAlignment="1" applyProtection="1">
      <alignment horizontal="center" vertical="center"/>
      <protection locked="0"/>
    </xf>
    <xf numFmtId="1" fontId="38" fillId="2" borderId="71" xfId="0" applyNumberFormat="1" applyFont="1" applyFill="1" applyBorder="1" applyAlignment="1" applyProtection="1">
      <alignment horizontal="center" vertical="center"/>
      <protection locked="0"/>
    </xf>
    <xf numFmtId="1" fontId="21" fillId="2" borderId="92" xfId="0" applyNumberFormat="1" applyFont="1" applyFill="1" applyBorder="1" applyAlignment="1" applyProtection="1">
      <alignment horizontal="center" vertical="center"/>
    </xf>
    <xf numFmtId="1" fontId="21" fillId="2" borderId="72" xfId="0" applyNumberFormat="1" applyFont="1" applyFill="1" applyBorder="1" applyAlignment="1">
      <alignment horizontal="center" vertical="center"/>
    </xf>
    <xf numFmtId="1" fontId="21" fillId="2" borderId="72" xfId="0" applyNumberFormat="1" applyFont="1" applyFill="1" applyBorder="1" applyAlignment="1" applyProtection="1">
      <alignment horizontal="center" vertical="center"/>
    </xf>
    <xf numFmtId="0" fontId="6" fillId="2" borderId="73" xfId="0" applyFont="1" applyFill="1" applyBorder="1" applyAlignment="1">
      <alignment horizontal="center" vertical="center"/>
    </xf>
    <xf numFmtId="0" fontId="6" fillId="2" borderId="74" xfId="0" applyFont="1" applyFill="1" applyBorder="1" applyAlignment="1">
      <alignment horizontal="center" vertical="center"/>
    </xf>
    <xf numFmtId="2" fontId="11" fillId="2" borderId="93" xfId="0" applyNumberFormat="1" applyFont="1" applyFill="1" applyBorder="1" applyAlignment="1" applyProtection="1">
      <alignment horizontal="center" vertical="center"/>
    </xf>
    <xf numFmtId="2" fontId="11" fillId="2" borderId="26" xfId="1" applyNumberFormat="1" applyFont="1" applyFill="1" applyBorder="1" applyAlignment="1">
      <alignment horizontal="center" vertical="center"/>
    </xf>
    <xf numFmtId="2" fontId="11" fillId="2" borderId="64" xfId="0" applyNumberFormat="1" applyFont="1" applyFill="1" applyBorder="1" applyAlignment="1">
      <alignment horizontal="center" vertical="center"/>
    </xf>
    <xf numFmtId="168" fontId="9" fillId="2" borderId="41" xfId="0" applyNumberFormat="1" applyFont="1" applyFill="1" applyBorder="1" applyAlignment="1" applyProtection="1">
      <alignment horizontal="center" vertical="center"/>
      <protection locked="0" hidden="1"/>
    </xf>
    <xf numFmtId="0" fontId="2" fillId="0" borderId="81" xfId="2" applyFont="1" applyFill="1" applyBorder="1" applyAlignment="1" applyProtection="1">
      <alignment horizontal="center" vertical="center"/>
    </xf>
    <xf numFmtId="0" fontId="1" fillId="0" borderId="12" xfId="2" applyFont="1" applyFill="1" applyBorder="1" applyAlignment="1" applyProtection="1">
      <alignment horizontal="center" vertical="center"/>
    </xf>
    <xf numFmtId="0" fontId="30" fillId="2" borderId="26" xfId="0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 vertical="center"/>
    </xf>
    <xf numFmtId="0" fontId="23" fillId="2" borderId="83" xfId="1" applyNumberFormat="1" applyFont="1" applyFill="1" applyBorder="1" applyAlignment="1" applyProtection="1">
      <alignment horizontal="center" vertical="center"/>
      <protection locked="0"/>
    </xf>
    <xf numFmtId="0" fontId="10" fillId="0" borderId="12" xfId="2" applyFont="1" applyFill="1" applyBorder="1" applyAlignment="1" applyProtection="1">
      <alignment horizontal="center" vertical="center"/>
    </xf>
    <xf numFmtId="0" fontId="13" fillId="2" borderId="43" xfId="1" applyNumberFormat="1" applyFont="1" applyFill="1" applyBorder="1" applyAlignment="1" applyProtection="1">
      <alignment horizontal="center" vertical="center"/>
      <protection locked="0"/>
    </xf>
    <xf numFmtId="164" fontId="33" fillId="2" borderId="44" xfId="0" applyNumberFormat="1" applyFont="1" applyFill="1" applyBorder="1" applyAlignment="1" applyProtection="1">
      <alignment horizontal="center" vertical="center"/>
      <protection locked="0"/>
    </xf>
    <xf numFmtId="164" fontId="35" fillId="3" borderId="50" xfId="0" applyNumberFormat="1" applyFont="1" applyFill="1" applyBorder="1" applyAlignment="1" applyProtection="1">
      <alignment horizontal="left" vertical="center"/>
      <protection locked="0"/>
    </xf>
    <xf numFmtId="0" fontId="2" fillId="0" borderId="50" xfId="0" applyFont="1" applyBorder="1"/>
    <xf numFmtId="164" fontId="2" fillId="2" borderId="65" xfId="1" applyNumberFormat="1" applyFont="1" applyFill="1" applyBorder="1" applyAlignment="1" applyProtection="1">
      <alignment horizontal="left" vertical="center"/>
      <protection locked="0"/>
    </xf>
    <xf numFmtId="0" fontId="2" fillId="3" borderId="51" xfId="0" applyFont="1" applyFill="1" applyBorder="1" applyAlignment="1" applyProtection="1">
      <alignment vertical="center"/>
      <protection locked="0"/>
    </xf>
    <xf numFmtId="0" fontId="2" fillId="2" borderId="66" xfId="1" applyFont="1" applyFill="1" applyBorder="1" applyAlignment="1" applyProtection="1">
      <alignment vertical="center"/>
      <protection locked="0"/>
    </xf>
    <xf numFmtId="0" fontId="2" fillId="0" borderId="51" xfId="0" applyFont="1" applyBorder="1"/>
    <xf numFmtId="0" fontId="2" fillId="0" borderId="58" xfId="0" applyFont="1" applyBorder="1" applyAlignment="1">
      <alignment horizontal="center"/>
    </xf>
    <xf numFmtId="1" fontId="35" fillId="2" borderId="62" xfId="0" applyNumberFormat="1" applyFont="1" applyFill="1" applyBorder="1" applyAlignment="1" applyProtection="1">
      <alignment horizontal="center" vertical="center"/>
      <protection locked="0"/>
    </xf>
    <xf numFmtId="1" fontId="2" fillId="2" borderId="43" xfId="1" applyNumberFormat="1" applyFont="1" applyFill="1" applyBorder="1" applyAlignment="1" applyProtection="1">
      <alignment horizontal="center" vertical="center"/>
      <protection locked="0"/>
    </xf>
    <xf numFmtId="0" fontId="2" fillId="3" borderId="43" xfId="1" applyFont="1" applyFill="1" applyBorder="1" applyAlignment="1" applyProtection="1">
      <alignment horizontal="center" vertical="center"/>
      <protection locked="0"/>
    </xf>
    <xf numFmtId="0" fontId="35" fillId="2" borderId="83" xfId="1" applyFont="1" applyFill="1" applyBorder="1" applyAlignment="1" applyProtection="1">
      <alignment horizontal="center" vertical="center"/>
      <protection locked="0"/>
    </xf>
    <xf numFmtId="0" fontId="2" fillId="0" borderId="12" xfId="2" applyFont="1" applyFill="1" applyBorder="1" applyAlignment="1" applyProtection="1">
      <alignment horizontal="center" vertical="center"/>
    </xf>
    <xf numFmtId="0" fontId="30" fillId="0" borderId="75" xfId="0" applyFont="1" applyBorder="1" applyAlignment="1">
      <alignment horizontal="center" vertical="center" wrapText="1"/>
    </xf>
    <xf numFmtId="0" fontId="30" fillId="0" borderId="75" xfId="0" applyFont="1" applyBorder="1" applyAlignment="1">
      <alignment horizontal="center" vertical="center"/>
    </xf>
    <xf numFmtId="164" fontId="35" fillId="2" borderId="88" xfId="1" applyNumberFormat="1" applyFont="1" applyFill="1" applyBorder="1" applyAlignment="1" applyProtection="1">
      <alignment horizontal="center" vertical="center"/>
      <protection locked="0"/>
    </xf>
    <xf numFmtId="0" fontId="34" fillId="0" borderId="77" xfId="0" applyFont="1" applyBorder="1" applyAlignment="1">
      <alignment horizontal="center"/>
    </xf>
    <xf numFmtId="164" fontId="2" fillId="2" borderId="43" xfId="1" applyNumberFormat="1" applyFont="1" applyFill="1" applyBorder="1" applyAlignment="1" applyProtection="1">
      <alignment horizontal="center" vertical="center"/>
      <protection locked="0"/>
    </xf>
    <xf numFmtId="2" fontId="50" fillId="2" borderId="47" xfId="1" applyNumberFormat="1" applyFont="1" applyFill="1" applyBorder="1" applyAlignment="1" applyProtection="1">
      <alignment horizontal="center" vertical="center"/>
      <protection locked="0"/>
    </xf>
    <xf numFmtId="2" fontId="35" fillId="2" borderId="89" xfId="1" applyNumberFormat="1" applyFont="1" applyFill="1" applyBorder="1" applyAlignment="1" applyProtection="1">
      <alignment horizontal="center" vertical="center"/>
      <protection locked="0"/>
    </xf>
    <xf numFmtId="2" fontId="2" fillId="0" borderId="52" xfId="2" applyNumberFormat="1" applyFont="1" applyFill="1" applyBorder="1" applyAlignment="1" applyProtection="1">
      <alignment horizontal="center" vertical="center"/>
    </xf>
    <xf numFmtId="2" fontId="35" fillId="0" borderId="52" xfId="1" applyNumberFormat="1" applyFont="1" applyFill="1" applyBorder="1" applyAlignment="1" applyProtection="1">
      <alignment horizontal="center" vertical="center"/>
      <protection locked="0"/>
    </xf>
    <xf numFmtId="2" fontId="50" fillId="2" borderId="26" xfId="0" applyNumberFormat="1" applyFont="1" applyFill="1" applyBorder="1" applyAlignment="1" applyProtection="1">
      <alignment horizontal="center" vertical="center"/>
      <protection locked="0"/>
    </xf>
    <xf numFmtId="2" fontId="2" fillId="2" borderId="67" xfId="1" applyNumberFormat="1" applyFont="1" applyFill="1" applyBorder="1" applyAlignment="1" applyProtection="1">
      <alignment horizontal="center" vertical="center"/>
      <protection locked="0"/>
    </xf>
    <xf numFmtId="2" fontId="50" fillId="2" borderId="47" xfId="0" applyNumberFormat="1" applyFont="1" applyFill="1" applyBorder="1" applyAlignment="1" applyProtection="1">
      <alignment horizontal="center" vertical="center"/>
      <protection locked="0"/>
    </xf>
    <xf numFmtId="2" fontId="35" fillId="2" borderId="77" xfId="0" applyNumberFormat="1" applyFont="1" applyFill="1" applyBorder="1" applyAlignment="1" applyProtection="1">
      <alignment horizontal="right" vertical="center"/>
      <protection locked="0"/>
    </xf>
    <xf numFmtId="0" fontId="10" fillId="15" borderId="53" xfId="2" applyFont="1" applyFill="1" applyBorder="1" applyAlignment="1" applyProtection="1">
      <alignment horizontal="center" vertical="center"/>
    </xf>
    <xf numFmtId="1" fontId="53" fillId="0" borderId="53" xfId="0" applyNumberFormat="1" applyFont="1" applyFill="1" applyBorder="1" applyAlignment="1" applyProtection="1">
      <alignment horizontal="center" vertical="center"/>
      <protection locked="0"/>
    </xf>
    <xf numFmtId="1" fontId="38" fillId="0" borderId="54" xfId="0" applyNumberFormat="1" applyFont="1" applyBorder="1" applyAlignment="1" applyProtection="1">
      <alignment horizontal="center" vertical="center"/>
      <protection locked="0"/>
    </xf>
    <xf numFmtId="0" fontId="10" fillId="15" borderId="54" xfId="2" applyFont="1" applyFill="1" applyBorder="1" applyAlignment="1" applyProtection="1">
      <alignment horizontal="center" vertical="center"/>
    </xf>
    <xf numFmtId="0" fontId="10" fillId="0" borderId="54" xfId="2" applyFont="1" applyFill="1" applyBorder="1" applyAlignment="1" applyProtection="1">
      <alignment horizontal="center" vertical="center"/>
    </xf>
    <xf numFmtId="1" fontId="65" fillId="2" borderId="11" xfId="0" applyNumberFormat="1" applyFont="1" applyFill="1" applyBorder="1" applyAlignment="1">
      <alignment horizontal="center" vertical="center"/>
    </xf>
    <xf numFmtId="0" fontId="46" fillId="2" borderId="22" xfId="1" applyNumberFormat="1" applyFont="1" applyFill="1" applyBorder="1" applyAlignment="1" applyProtection="1">
      <alignment horizontal="center" vertical="center"/>
      <protection locked="0"/>
    </xf>
    <xf numFmtId="0" fontId="48" fillId="0" borderId="22" xfId="0" applyFont="1" applyBorder="1" applyAlignment="1">
      <alignment horizontal="center" vertical="center"/>
    </xf>
    <xf numFmtId="0" fontId="30" fillId="4" borderId="22" xfId="0" applyFont="1" applyFill="1" applyBorder="1" applyAlignment="1">
      <alignment vertical="center"/>
    </xf>
    <xf numFmtId="0" fontId="32" fillId="0" borderId="22" xfId="0" applyFont="1" applyBorder="1" applyAlignment="1">
      <alignment horizontal="center" vertical="center"/>
    </xf>
    <xf numFmtId="0" fontId="31" fillId="15" borderId="22" xfId="0" applyFont="1" applyFill="1" applyBorder="1" applyAlignment="1">
      <alignment horizontal="center" vertical="center"/>
    </xf>
    <xf numFmtId="0" fontId="10" fillId="15" borderId="22" xfId="0" applyFont="1" applyFill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2" borderId="43" xfId="0" applyFont="1" applyFill="1" applyBorder="1" applyAlignment="1" applyProtection="1">
      <alignment horizontal="center" vertical="center"/>
      <protection locked="0"/>
    </xf>
    <xf numFmtId="164" fontId="30" fillId="3" borderId="22" xfId="1" applyNumberFormat="1" applyFont="1" applyFill="1" applyBorder="1" applyAlignment="1" applyProtection="1">
      <alignment horizontal="center" vertical="center"/>
      <protection locked="0"/>
    </xf>
    <xf numFmtId="0" fontId="48" fillId="3" borderId="59" xfId="0" applyFont="1" applyFill="1" applyBorder="1" applyAlignment="1">
      <alignment horizontal="center" vertical="center"/>
    </xf>
    <xf numFmtId="0" fontId="43" fillId="2" borderId="44" xfId="0" applyNumberFormat="1" applyFont="1" applyFill="1" applyBorder="1" applyAlignment="1" applyProtection="1">
      <alignment horizontal="center" vertical="center"/>
      <protection locked="0"/>
    </xf>
    <xf numFmtId="0" fontId="43" fillId="2" borderId="59" xfId="1" applyNumberFormat="1" applyFont="1" applyFill="1" applyBorder="1" applyAlignment="1" applyProtection="1">
      <alignment horizontal="center" vertical="center"/>
      <protection locked="0"/>
    </xf>
    <xf numFmtId="164" fontId="30" fillId="3" borderId="59" xfId="0" applyNumberFormat="1" applyFont="1" applyFill="1" applyBorder="1" applyAlignment="1" applyProtection="1">
      <alignment horizontal="center" vertical="center"/>
      <protection locked="0"/>
    </xf>
    <xf numFmtId="164" fontId="30" fillId="3" borderId="60" xfId="0" applyNumberFormat="1" applyFont="1" applyFill="1" applyBorder="1" applyAlignment="1" applyProtection="1">
      <alignment horizontal="left" vertical="center"/>
      <protection locked="0"/>
    </xf>
    <xf numFmtId="0" fontId="30" fillId="3" borderId="61" xfId="0" applyFont="1" applyFill="1" applyBorder="1" applyAlignment="1" applyProtection="1">
      <alignment vertical="center"/>
      <protection locked="0"/>
    </xf>
    <xf numFmtId="1" fontId="30" fillId="3" borderId="59" xfId="0" applyNumberFormat="1" applyFont="1" applyFill="1" applyBorder="1" applyAlignment="1" applyProtection="1">
      <alignment horizontal="center" vertical="center"/>
      <protection locked="0"/>
    </xf>
    <xf numFmtId="0" fontId="2" fillId="3" borderId="44" xfId="0" applyFont="1" applyFill="1" applyBorder="1" applyAlignment="1" applyProtection="1">
      <alignment horizontal="center" vertical="center"/>
      <protection locked="0"/>
    </xf>
    <xf numFmtId="2" fontId="30" fillId="3" borderId="75" xfId="1" applyNumberFormat="1" applyFont="1" applyFill="1" applyBorder="1" applyAlignment="1" applyProtection="1">
      <alignment horizontal="center" vertical="center"/>
      <protection locked="0"/>
    </xf>
    <xf numFmtId="2" fontId="2" fillId="3" borderId="59" xfId="1" applyNumberFormat="1" applyFont="1" applyFill="1" applyBorder="1" applyAlignment="1" applyProtection="1">
      <alignment horizontal="center" vertical="center"/>
      <protection locked="0"/>
    </xf>
    <xf numFmtId="164" fontId="50" fillId="2" borderId="44" xfId="0" applyNumberFormat="1" applyFont="1" applyFill="1" applyBorder="1" applyAlignment="1" applyProtection="1">
      <alignment horizontal="center" vertical="center"/>
      <protection locked="0"/>
    </xf>
    <xf numFmtId="164" fontId="50" fillId="2" borderId="12" xfId="1" applyNumberFormat="1" applyFont="1" applyFill="1" applyBorder="1" applyAlignment="1" applyProtection="1">
      <alignment horizontal="center" vertical="center"/>
      <protection locked="0"/>
    </xf>
    <xf numFmtId="164" fontId="19" fillId="2" borderId="77" xfId="1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>
      <alignment horizontal="center"/>
    </xf>
    <xf numFmtId="1" fontId="7" fillId="8" borderId="13" xfId="0" applyNumberFormat="1" applyFont="1" applyFill="1" applyBorder="1" applyAlignment="1">
      <alignment horizontal="center" vertical="center"/>
    </xf>
    <xf numFmtId="2" fontId="2" fillId="3" borderId="80" xfId="1" applyNumberFormat="1" applyFont="1" applyFill="1" applyBorder="1" applyAlignment="1" applyProtection="1">
      <alignment horizontal="center" vertical="center"/>
      <protection locked="0"/>
    </xf>
    <xf numFmtId="2" fontId="30" fillId="3" borderId="77" xfId="1" applyNumberFormat="1" applyFont="1" applyFill="1" applyBorder="1" applyAlignment="1" applyProtection="1">
      <alignment horizontal="center" vertical="center"/>
      <protection locked="0"/>
    </xf>
    <xf numFmtId="1" fontId="10" fillId="10" borderId="53" xfId="1" applyNumberFormat="1" applyFont="1" applyFill="1" applyBorder="1" applyAlignment="1" applyProtection="1">
      <alignment horizontal="center" vertical="center"/>
      <protection locked="0"/>
    </xf>
    <xf numFmtId="1" fontId="10" fillId="15" borderId="49" xfId="0" applyNumberFormat="1" applyFont="1" applyFill="1" applyBorder="1" applyAlignment="1" applyProtection="1">
      <alignment horizontal="center" vertical="center"/>
      <protection locked="0"/>
    </xf>
    <xf numFmtId="1" fontId="10" fillId="0" borderId="49" xfId="0" applyNumberFormat="1" applyFont="1" applyFill="1" applyBorder="1" applyAlignment="1" applyProtection="1">
      <alignment horizontal="center" vertical="center"/>
      <protection locked="0"/>
    </xf>
    <xf numFmtId="0" fontId="2" fillId="2" borderId="81" xfId="0" applyFont="1" applyFill="1" applyBorder="1" applyAlignment="1" applyProtection="1">
      <alignment horizontal="center" vertical="center"/>
    </xf>
    <xf numFmtId="164" fontId="35" fillId="2" borderId="83" xfId="0" applyNumberFormat="1" applyFont="1" applyFill="1" applyBorder="1" applyAlignment="1" applyProtection="1">
      <alignment horizontal="center" vertical="center"/>
      <protection locked="0"/>
    </xf>
    <xf numFmtId="0" fontId="2" fillId="0" borderId="86" xfId="0" applyFont="1" applyFill="1" applyBorder="1" applyAlignment="1" applyProtection="1">
      <alignment vertical="center"/>
      <protection locked="0"/>
    </xf>
    <xf numFmtId="0" fontId="34" fillId="2" borderId="83" xfId="0" applyFont="1" applyFill="1" applyBorder="1" applyAlignment="1" applyProtection="1">
      <alignment horizontal="center" vertical="center"/>
      <protection locked="0"/>
    </xf>
    <xf numFmtId="2" fontId="2" fillId="3" borderId="83" xfId="0" applyNumberFormat="1" applyFont="1" applyFill="1" applyBorder="1" applyAlignment="1" applyProtection="1">
      <alignment horizontal="center" vertical="center"/>
      <protection locked="0"/>
    </xf>
    <xf numFmtId="2" fontId="35" fillId="2" borderId="89" xfId="0" applyNumberFormat="1" applyFont="1" applyFill="1" applyBorder="1" applyAlignment="1" applyProtection="1">
      <alignment horizontal="right" vertical="center"/>
      <protection locked="0"/>
    </xf>
    <xf numFmtId="1" fontId="54" fillId="12" borderId="91" xfId="0" applyNumberFormat="1" applyFont="1" applyFill="1" applyBorder="1" applyAlignment="1" applyProtection="1">
      <alignment horizontal="center" vertical="center"/>
    </xf>
    <xf numFmtId="1" fontId="31" fillId="15" borderId="90" xfId="0" applyNumberFormat="1" applyFont="1" applyFill="1" applyBorder="1" applyAlignment="1" applyProtection="1">
      <alignment horizontal="center" vertical="center"/>
      <protection locked="0"/>
    </xf>
    <xf numFmtId="1" fontId="31" fillId="2" borderId="90" xfId="0" applyNumberFormat="1" applyFont="1" applyFill="1" applyBorder="1" applyAlignment="1" applyProtection="1">
      <alignment horizontal="center" vertical="center"/>
      <protection locked="0"/>
    </xf>
    <xf numFmtId="0" fontId="9" fillId="2" borderId="94" xfId="0" applyFont="1" applyFill="1" applyBorder="1" applyAlignment="1" applyProtection="1">
      <alignment horizontal="center" vertical="center"/>
      <protection locked="0" hidden="1"/>
    </xf>
    <xf numFmtId="0" fontId="55" fillId="2" borderId="29" xfId="0" applyFont="1" applyFill="1" applyBorder="1" applyAlignment="1" applyProtection="1">
      <alignment vertical="center"/>
      <protection locked="0" hidden="1"/>
    </xf>
    <xf numFmtId="0" fontId="55" fillId="2" borderId="24" xfId="0" applyFont="1" applyFill="1" applyBorder="1" applyAlignment="1" applyProtection="1">
      <alignment vertical="center"/>
      <protection locked="0" hidden="1"/>
    </xf>
    <xf numFmtId="0" fontId="14" fillId="11" borderId="9" xfId="0" applyFont="1" applyFill="1" applyBorder="1" applyAlignment="1" applyProtection="1">
      <alignment horizontal="center" vertical="center"/>
    </xf>
    <xf numFmtId="0" fontId="12" fillId="11" borderId="2" xfId="0" applyFont="1" applyFill="1" applyBorder="1" applyAlignment="1">
      <alignment horizontal="center" vertical="center" wrapText="1"/>
    </xf>
    <xf numFmtId="0" fontId="12" fillId="11" borderId="3" xfId="0" applyFont="1" applyFill="1" applyBorder="1" applyAlignment="1">
      <alignment horizontal="center" vertical="center" wrapText="1"/>
    </xf>
    <xf numFmtId="0" fontId="12" fillId="11" borderId="4" xfId="0" applyFont="1" applyFill="1" applyBorder="1" applyAlignment="1">
      <alignment horizontal="center" vertical="center" wrapText="1"/>
    </xf>
    <xf numFmtId="0" fontId="28" fillId="3" borderId="5" xfId="0" applyFont="1" applyFill="1" applyBorder="1" applyAlignment="1">
      <alignment horizontal="center" vertical="center" wrapText="1"/>
    </xf>
    <xf numFmtId="0" fontId="28" fillId="3" borderId="6" xfId="0" applyFont="1" applyFill="1" applyBorder="1" applyAlignment="1">
      <alignment horizontal="center" vertical="center" wrapText="1"/>
    </xf>
    <xf numFmtId="167" fontId="28" fillId="2" borderId="6" xfId="0" applyNumberFormat="1" applyFont="1" applyFill="1" applyBorder="1" applyAlignment="1">
      <alignment horizontal="center" vertical="center"/>
    </xf>
    <xf numFmtId="167" fontId="28" fillId="2" borderId="7" xfId="0" applyNumberFormat="1" applyFont="1" applyFill="1" applyBorder="1" applyAlignment="1">
      <alignment horizontal="center" vertical="center"/>
    </xf>
    <xf numFmtId="0" fontId="26" fillId="13" borderId="3" xfId="0" applyFont="1" applyFill="1" applyBorder="1" applyAlignment="1">
      <alignment horizontal="center" vertical="center" wrapText="1"/>
    </xf>
    <xf numFmtId="0" fontId="26" fillId="13" borderId="6" xfId="0" applyFont="1" applyFill="1" applyBorder="1" applyAlignment="1">
      <alignment horizontal="center" vertical="center" wrapText="1"/>
    </xf>
    <xf numFmtId="0" fontId="26" fillId="14" borderId="3" xfId="0" applyFont="1" applyFill="1" applyBorder="1" applyAlignment="1">
      <alignment horizontal="center" vertical="center" wrapText="1"/>
    </xf>
    <xf numFmtId="0" fontId="26" fillId="14" borderId="6" xfId="0" applyFont="1" applyFill="1" applyBorder="1" applyAlignment="1">
      <alignment horizontal="center" vertical="center" wrapText="1"/>
    </xf>
    <xf numFmtId="0" fontId="27" fillId="3" borderId="5" xfId="0" applyFont="1" applyFill="1" applyBorder="1" applyAlignment="1">
      <alignment horizontal="center" vertical="center" wrapText="1"/>
    </xf>
    <xf numFmtId="0" fontId="27" fillId="3" borderId="6" xfId="0" applyFont="1" applyFill="1" applyBorder="1" applyAlignment="1">
      <alignment horizontal="center" vertical="center" wrapText="1"/>
    </xf>
    <xf numFmtId="167" fontId="27" fillId="2" borderId="6" xfId="0" applyNumberFormat="1" applyFont="1" applyFill="1" applyBorder="1" applyAlignment="1">
      <alignment horizontal="center" vertical="center"/>
    </xf>
    <xf numFmtId="167" fontId="27" fillId="2" borderId="7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0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00B05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00B05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00B05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00B05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00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34" Type="http://schemas.openxmlformats.org/officeDocument/2006/relationships/externalLink" Target="externalLinks/externalLink31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externalLink" Target="externalLinks/externalLink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externalLink" Target="externalLinks/externalLink29.xml"/><Relationship Id="rId37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styles" Target="styles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externalLink" Target="externalLinks/externalLink28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28574</xdr:rowOff>
    </xdr:from>
    <xdr:to>
      <xdr:col>2</xdr:col>
      <xdr:colOff>229973</xdr:colOff>
      <xdr:row>2</xdr:row>
      <xdr:rowOff>352425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85724"/>
          <a:ext cx="752982" cy="7048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28574</xdr:rowOff>
    </xdr:from>
    <xdr:to>
      <xdr:col>2</xdr:col>
      <xdr:colOff>229973</xdr:colOff>
      <xdr:row>2</xdr:row>
      <xdr:rowOff>352425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85724"/>
          <a:ext cx="752982" cy="7048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TH/AppData/Local/Temp/Challenge%20Avenir%203%20SORGUES%2026-01-18%20minimes%20(2)-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4&#232;me%20%20CHALLENGE%20AVENIR%20-%20MENTON%202019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an%20Luc/Desktop/CHAMPIONNAT%20DE%20PROVINCE%20U17%20-%20U20%20-%20S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baigue/AppData/Local/Microsoft/Windows/INetCache/Content.Outlook/OB56QP6A/challenge%20avenir%20Sorgues%2026-01-19%20(2)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Cpe%20de%20France%20Seniors%20Mixtes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CHPT%20LIGUE%20SUD%202019%20SF%2059%20SF64CSF%2071%20PLAT%205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chpt%20PROVINCE%202019%20FEM%20PLATEAU1-ISTRES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TH/AppData/Local/Temp/challenge%20Hiver%20II%2026-01-19%20(2)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4%20&#232;me%20J.%20TOUR%20REGIONAL%20PAR%20EQUIPES%20FILLES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COUPE%20DE%20FRANCE%20MIXTE%20TOULON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CHPT%20LIGUE%20SUD%202019%20BENJ-MIN%20PLAT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pe%20de%20France%20Seniors%20Monteux%20160319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Cpe%20de%20France%20U13%20Mixtes%20MONTEUX%20160319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Cpe%20de%20France%20U17%20-%20U20%20-%20H%20%20F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Cpe%20de%20France%20U15-17-U20%20MONTEUX%20160319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CHANUT%202019%20RESULTAT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CHPT%20LIGUE%20SUD%202019%20U15-U20%20HOM%20PLAT%203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3%20eme%20challenge%20avenir%20hyeres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4eme%20tour2%20regional%20par%20equipe%20masculin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4eme%20tour%20regional%20par%20equipe%20masculin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chpt%20PROVINCE%202019%20U15-SH%20PLATEAU2-ISTRES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TH/AppData/Local/Temp/LISTTING%203%20EME%20CHALLENGE%20AVENIR%202019%20SUD%20PROVENCE%20ALPES%20COTE%20D'AZU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CHPT%20SUD%202019%20MONTEUX%2004-05-19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CHPT%20LIGUE%20SUD%202019%20SENIOR%20HOM%20PLAT%202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Cpe%20de%20France%20Seniors%20Mixtes%20(4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TH/AppData/Local/Temp/CHALLENGE%20HIVER%20201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4EME%20CHALLENGE%20AVENIR%202MASSILIA%2031032019%20U15%20-%20U17%20-%20U20%20-%20S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1er%20coupe%20de%20france%20toulon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Cpe%20de%20France%20Seniors%20Mixtes%20(1)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ELIMINATOIRE%20REGIONAL%20VILLENEUVE%20LOUBET%20-61-81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CHPT%20LIGUE%20SUD%202019%20U15-U20%20SF49%20SF%2055%20PLAT%204%20corrig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VIDUEL"/>
      <sheetName val="Minimas"/>
    </sheetNames>
    <sheetDataSet>
      <sheetData sheetId="0" refreshError="1"/>
      <sheetData sheetId="1" refreshError="1">
        <row r="15">
          <cell r="C15" t="str">
            <v>MINIME</v>
          </cell>
          <cell r="J15" t="str">
            <v>MINIME</v>
          </cell>
        </row>
        <row r="16">
          <cell r="A16">
            <v>10</v>
          </cell>
          <cell r="B16" t="str">
            <v>BENJ</v>
          </cell>
          <cell r="C16" t="str">
            <v>U13 M35</v>
          </cell>
          <cell r="H16">
            <v>10</v>
          </cell>
          <cell r="I16" t="str">
            <v>BENJ</v>
          </cell>
          <cell r="J16" t="str">
            <v>U13 F35</v>
          </cell>
        </row>
        <row r="17">
          <cell r="A17">
            <v>35.01</v>
          </cell>
          <cell r="B17" t="str">
            <v>BENJ</v>
          </cell>
          <cell r="C17" t="str">
            <v>U13 M40</v>
          </cell>
          <cell r="H17">
            <v>35.01</v>
          </cell>
          <cell r="I17" t="str">
            <v>BENJ</v>
          </cell>
          <cell r="J17" t="str">
            <v>U13 F40</v>
          </cell>
        </row>
        <row r="18">
          <cell r="A18">
            <v>40.01</v>
          </cell>
          <cell r="B18" t="str">
            <v>BENJ</v>
          </cell>
          <cell r="C18" t="str">
            <v>U13 M45</v>
          </cell>
          <cell r="H18">
            <v>40.01</v>
          </cell>
          <cell r="I18" t="str">
            <v>BENJ</v>
          </cell>
          <cell r="J18" t="str">
            <v>U13 F45</v>
          </cell>
        </row>
        <row r="19">
          <cell r="A19">
            <v>45.01</v>
          </cell>
          <cell r="B19" t="str">
            <v>BENJ</v>
          </cell>
          <cell r="C19" t="str">
            <v>U13 M49</v>
          </cell>
          <cell r="H19">
            <v>45.01</v>
          </cell>
          <cell r="I19" t="str">
            <v>BENJ</v>
          </cell>
          <cell r="J19" t="str">
            <v>U13 F49</v>
          </cell>
        </row>
        <row r="20">
          <cell r="A20">
            <v>49.01</v>
          </cell>
          <cell r="B20" t="str">
            <v>BENJ</v>
          </cell>
          <cell r="C20" t="str">
            <v>U13 M55</v>
          </cell>
          <cell r="H20">
            <v>49.01</v>
          </cell>
          <cell r="I20" t="str">
            <v>BENJ</v>
          </cell>
          <cell r="J20" t="str">
            <v>U13 F55</v>
          </cell>
        </row>
        <row r="21">
          <cell r="A21">
            <v>55.01</v>
          </cell>
          <cell r="B21" t="str">
            <v>BENJ</v>
          </cell>
          <cell r="C21" t="str">
            <v>U13 M61</v>
          </cell>
          <cell r="H21">
            <v>55.01</v>
          </cell>
          <cell r="I21" t="str">
            <v>BENJ</v>
          </cell>
          <cell r="J21" t="str">
            <v>U13 F59</v>
          </cell>
        </row>
        <row r="22">
          <cell r="A22">
            <v>61.01</v>
          </cell>
          <cell r="B22" t="str">
            <v>BENJ</v>
          </cell>
          <cell r="C22" t="str">
            <v>U13 M67</v>
          </cell>
          <cell r="H22">
            <v>59.01</v>
          </cell>
          <cell r="I22" t="str">
            <v>BENJ</v>
          </cell>
          <cell r="J22" t="str">
            <v>U13 F64</v>
          </cell>
        </row>
        <row r="23">
          <cell r="A23">
            <v>67.010000000000005</v>
          </cell>
          <cell r="B23" t="str">
            <v>BENJ</v>
          </cell>
          <cell r="C23" t="str">
            <v>U13 M73</v>
          </cell>
          <cell r="H23">
            <v>64.010000000000005</v>
          </cell>
          <cell r="I23" t="str">
            <v>BENJ</v>
          </cell>
          <cell r="J23" t="str">
            <v>U13 F71</v>
          </cell>
        </row>
        <row r="24">
          <cell r="A24">
            <v>73.010000000000005</v>
          </cell>
          <cell r="B24" t="str">
            <v>BENJ</v>
          </cell>
          <cell r="C24" t="str">
            <v>U13 M&gt;73</v>
          </cell>
          <cell r="H24">
            <v>71.010000000000005</v>
          </cell>
          <cell r="I24" t="str">
            <v>BENJ</v>
          </cell>
          <cell r="J24" t="str">
            <v>U13 F&gt;71</v>
          </cell>
        </row>
        <row r="25">
          <cell r="A25">
            <v>81.010000000000005</v>
          </cell>
          <cell r="B25" t="str">
            <v>BENJ</v>
          </cell>
          <cell r="C25" t="str">
            <v>U13 M&gt;73</v>
          </cell>
          <cell r="H25">
            <v>76.010000000000005</v>
          </cell>
          <cell r="I25" t="str">
            <v>BENJ</v>
          </cell>
          <cell r="J25" t="str">
            <v>U13 F&gt;71</v>
          </cell>
        </row>
        <row r="26">
          <cell r="A26">
            <v>89.01</v>
          </cell>
          <cell r="B26" t="str">
            <v>BENJ</v>
          </cell>
          <cell r="C26" t="str">
            <v>U13 M&gt;73</v>
          </cell>
          <cell r="H26">
            <v>81.010000000000005</v>
          </cell>
          <cell r="I26" t="str">
            <v>BENJ</v>
          </cell>
          <cell r="J26" t="str">
            <v>U13 F&gt;71</v>
          </cell>
        </row>
        <row r="27">
          <cell r="A27">
            <v>96.01</v>
          </cell>
          <cell r="B27" t="str">
            <v>BENJ</v>
          </cell>
          <cell r="C27" t="str">
            <v>U13 M&gt;73</v>
          </cell>
          <cell r="H27">
            <v>87.01</v>
          </cell>
          <cell r="I27" t="str">
            <v>BENJ</v>
          </cell>
          <cell r="J27" t="str">
            <v>U13 F&gt;71</v>
          </cell>
        </row>
        <row r="28">
          <cell r="A28">
            <v>102.01</v>
          </cell>
          <cell r="B28" t="str">
            <v>BENJ</v>
          </cell>
          <cell r="C28" t="str">
            <v>U13 M&gt;73</v>
          </cell>
        </row>
        <row r="29">
          <cell r="A29">
            <v>109.1</v>
          </cell>
          <cell r="B29" t="str">
            <v>BENJ</v>
          </cell>
          <cell r="C29" t="str">
            <v>U13 M&gt;73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VIDUEL"/>
      <sheetName val="Minimas"/>
    </sheetNames>
    <sheetDataSet>
      <sheetData sheetId="0"/>
      <sheetData sheetId="1">
        <row r="3">
          <cell r="C3" t="str">
            <v>U15 F40</v>
          </cell>
          <cell r="D3" t="str">
            <v>U15 F45</v>
          </cell>
          <cell r="E3" t="str">
            <v>U15 F49</v>
          </cell>
          <cell r="F3" t="str">
            <v>U15 F55</v>
          </cell>
          <cell r="G3" t="str">
            <v>U15 F59</v>
          </cell>
          <cell r="H3" t="str">
            <v>U15 F64</v>
          </cell>
          <cell r="I3" t="str">
            <v>U15 F71</v>
          </cell>
          <cell r="J3" t="str">
            <v>U15 F76</v>
          </cell>
          <cell r="K3" t="str">
            <v>U15 F81</v>
          </cell>
          <cell r="L3" t="str">
            <v>U15 F&gt;81</v>
          </cell>
          <cell r="M3" t="str">
            <v>U17 F40</v>
          </cell>
          <cell r="N3" t="str">
            <v>U17 F45</v>
          </cell>
          <cell r="O3" t="str">
            <v>U17 F49</v>
          </cell>
          <cell r="P3" t="str">
            <v>U17 F55</v>
          </cell>
          <cell r="Q3" t="str">
            <v>U17 F59</v>
          </cell>
          <cell r="R3" t="str">
            <v>U17 F64</v>
          </cell>
          <cell r="S3" t="str">
            <v>U17 F71</v>
          </cell>
          <cell r="T3" t="str">
            <v>U17 F76</v>
          </cell>
          <cell r="U3" t="str">
            <v>U17 F81</v>
          </cell>
          <cell r="V3" t="str">
            <v>U17 F&gt;81</v>
          </cell>
          <cell r="W3" t="str">
            <v>U20 F45</v>
          </cell>
          <cell r="X3" t="str">
            <v>U20 F49</v>
          </cell>
          <cell r="Y3" t="str">
            <v>U20 F55</v>
          </cell>
          <cell r="Z3" t="str">
            <v>U20 F59</v>
          </cell>
          <cell r="AA3" t="str">
            <v>U20 F64</v>
          </cell>
          <cell r="AB3" t="str">
            <v>U20 F71</v>
          </cell>
          <cell r="AC3" t="str">
            <v>U20 F76</v>
          </cell>
          <cell r="AD3" t="str">
            <v>U20 F81</v>
          </cell>
          <cell r="AE3" t="str">
            <v>U20 F87</v>
          </cell>
          <cell r="AF3" t="str">
            <v>U20 F&gt;87</v>
          </cell>
          <cell r="AG3" t="str">
            <v>SE F45</v>
          </cell>
          <cell r="AH3" t="str">
            <v>SE F49</v>
          </cell>
          <cell r="AI3" t="str">
            <v>SE F55</v>
          </cell>
          <cell r="AJ3" t="str">
            <v>SE F59</v>
          </cell>
          <cell r="AK3" t="str">
            <v>SE F64</v>
          </cell>
          <cell r="AL3" t="str">
            <v>SE F71</v>
          </cell>
          <cell r="AM3" t="str">
            <v>SE F76</v>
          </cell>
          <cell r="AN3" t="str">
            <v>SE F81</v>
          </cell>
          <cell r="AO3" t="str">
            <v>SE F87</v>
          </cell>
          <cell r="AP3" t="str">
            <v>SE F&gt;87</v>
          </cell>
          <cell r="AQ3" t="str">
            <v>U15 M49</v>
          </cell>
          <cell r="AR3" t="str">
            <v>U15 M55</v>
          </cell>
          <cell r="AS3" t="str">
            <v>U15 M61</v>
          </cell>
          <cell r="AT3" t="str">
            <v>U15 M67</v>
          </cell>
          <cell r="AU3" t="str">
            <v>U15 M73</v>
          </cell>
          <cell r="AV3" t="str">
            <v>U15 M81</v>
          </cell>
          <cell r="AW3" t="str">
            <v>U15 M89</v>
          </cell>
          <cell r="AX3" t="str">
            <v>U15 M96</v>
          </cell>
          <cell r="AY3" t="str">
            <v>U15 M102</v>
          </cell>
          <cell r="AZ3" t="str">
            <v>U15 M&gt;102</v>
          </cell>
          <cell r="BA3" t="str">
            <v>U17 M49</v>
          </cell>
          <cell r="BB3" t="str">
            <v>U17 M55</v>
          </cell>
          <cell r="BC3" t="str">
            <v>U17 M61</v>
          </cell>
          <cell r="BD3" t="str">
            <v>U17 M67</v>
          </cell>
          <cell r="BE3" t="str">
            <v>U17 M73</v>
          </cell>
          <cell r="BF3" t="str">
            <v>U17 M81</v>
          </cell>
          <cell r="BG3" t="str">
            <v>U17 M89</v>
          </cell>
          <cell r="BH3" t="str">
            <v>U17 M96</v>
          </cell>
          <cell r="BI3" t="str">
            <v>U17 M102</v>
          </cell>
          <cell r="BJ3" t="str">
            <v>U17 M&gt;102</v>
          </cell>
          <cell r="BK3" t="str">
            <v>U20 M55</v>
          </cell>
          <cell r="BL3" t="str">
            <v>U20 M61</v>
          </cell>
          <cell r="BM3" t="str">
            <v>U20 M67</v>
          </cell>
          <cell r="BN3" t="str">
            <v>U20 M73</v>
          </cell>
          <cell r="BO3" t="str">
            <v>U20 M81</v>
          </cell>
          <cell r="BP3" t="str">
            <v>U20 M89</v>
          </cell>
          <cell r="BQ3" t="str">
            <v>U20 M96</v>
          </cell>
          <cell r="BR3" t="str">
            <v>U20 M102</v>
          </cell>
          <cell r="BS3" t="str">
            <v>U20 M109</v>
          </cell>
          <cell r="BT3" t="str">
            <v>U20 M&gt;109</v>
          </cell>
          <cell r="BU3" t="str">
            <v>SE M55</v>
          </cell>
          <cell r="BV3" t="str">
            <v>SE M61</v>
          </cell>
          <cell r="BW3" t="str">
            <v>SE M67</v>
          </cell>
          <cell r="BX3" t="str">
            <v>SE M73</v>
          </cell>
          <cell r="BY3" t="str">
            <v>SE M81</v>
          </cell>
          <cell r="BZ3" t="str">
            <v>SE M89</v>
          </cell>
          <cell r="CA3" t="str">
            <v>SE M96</v>
          </cell>
          <cell r="CB3" t="str">
            <v>SE M102</v>
          </cell>
          <cell r="CC3" t="str">
            <v>SE M109</v>
          </cell>
          <cell r="CD3" t="str">
            <v>SE M&gt;109</v>
          </cell>
        </row>
        <row r="4">
          <cell r="C4">
            <v>20</v>
          </cell>
          <cell r="D4">
            <v>25</v>
          </cell>
          <cell r="E4">
            <v>30</v>
          </cell>
          <cell r="F4">
            <v>35</v>
          </cell>
          <cell r="G4">
            <v>40</v>
          </cell>
          <cell r="H4">
            <v>45</v>
          </cell>
          <cell r="I4">
            <v>50</v>
          </cell>
          <cell r="J4">
            <v>55</v>
          </cell>
          <cell r="K4">
            <v>57</v>
          </cell>
          <cell r="L4">
            <v>60</v>
          </cell>
          <cell r="M4">
            <v>30</v>
          </cell>
          <cell r="N4">
            <v>35</v>
          </cell>
          <cell r="O4">
            <v>40</v>
          </cell>
          <cell r="P4">
            <v>45</v>
          </cell>
          <cell r="Q4">
            <v>50</v>
          </cell>
          <cell r="R4">
            <v>55</v>
          </cell>
          <cell r="S4">
            <v>60</v>
          </cell>
          <cell r="T4">
            <v>65</v>
          </cell>
          <cell r="U4">
            <v>67</v>
          </cell>
          <cell r="V4">
            <v>70</v>
          </cell>
          <cell r="W4">
            <v>40</v>
          </cell>
          <cell r="X4">
            <v>45</v>
          </cell>
          <cell r="Y4">
            <v>50</v>
          </cell>
          <cell r="Z4">
            <v>55</v>
          </cell>
          <cell r="AA4">
            <v>60</v>
          </cell>
          <cell r="AB4">
            <v>65</v>
          </cell>
          <cell r="AC4">
            <v>70</v>
          </cell>
          <cell r="AD4">
            <v>75</v>
          </cell>
          <cell r="AE4">
            <v>77</v>
          </cell>
          <cell r="AF4">
            <v>80</v>
          </cell>
          <cell r="AG4">
            <v>50</v>
          </cell>
          <cell r="AH4">
            <v>55</v>
          </cell>
          <cell r="AI4">
            <v>60</v>
          </cell>
          <cell r="AJ4">
            <v>65</v>
          </cell>
          <cell r="AK4">
            <v>70</v>
          </cell>
          <cell r="AL4">
            <v>75</v>
          </cell>
          <cell r="AM4">
            <v>80</v>
          </cell>
          <cell r="AN4">
            <v>85</v>
          </cell>
          <cell r="AO4">
            <v>87</v>
          </cell>
          <cell r="AP4">
            <v>90</v>
          </cell>
          <cell r="AQ4">
            <v>40</v>
          </cell>
          <cell r="AR4">
            <v>55</v>
          </cell>
          <cell r="AS4">
            <v>65</v>
          </cell>
          <cell r="AT4">
            <v>75</v>
          </cell>
          <cell r="AU4">
            <v>80</v>
          </cell>
          <cell r="AV4">
            <v>85</v>
          </cell>
          <cell r="AW4">
            <v>90</v>
          </cell>
          <cell r="AX4">
            <v>95</v>
          </cell>
          <cell r="AY4">
            <v>100</v>
          </cell>
          <cell r="AZ4">
            <v>105</v>
          </cell>
          <cell r="BA4">
            <v>50</v>
          </cell>
          <cell r="BB4">
            <v>65</v>
          </cell>
          <cell r="BC4">
            <v>80</v>
          </cell>
          <cell r="BD4">
            <v>90</v>
          </cell>
          <cell r="BE4">
            <v>100</v>
          </cell>
          <cell r="BF4">
            <v>110</v>
          </cell>
          <cell r="BG4">
            <v>115</v>
          </cell>
          <cell r="BH4">
            <v>120</v>
          </cell>
          <cell r="BI4">
            <v>125</v>
          </cell>
          <cell r="BJ4">
            <v>130</v>
          </cell>
          <cell r="BK4">
            <v>80</v>
          </cell>
          <cell r="BL4">
            <v>95</v>
          </cell>
          <cell r="BM4">
            <v>105</v>
          </cell>
          <cell r="BN4">
            <v>120</v>
          </cell>
          <cell r="BO4">
            <v>130</v>
          </cell>
          <cell r="BP4">
            <v>135</v>
          </cell>
          <cell r="BQ4">
            <v>140</v>
          </cell>
          <cell r="BR4">
            <v>145</v>
          </cell>
          <cell r="BS4">
            <v>150</v>
          </cell>
          <cell r="BT4">
            <v>155</v>
          </cell>
          <cell r="BU4">
            <v>95</v>
          </cell>
          <cell r="BV4">
            <v>110</v>
          </cell>
          <cell r="BW4">
            <v>125</v>
          </cell>
          <cell r="BX4">
            <v>135</v>
          </cell>
          <cell r="BY4">
            <v>145</v>
          </cell>
          <cell r="BZ4">
            <v>150</v>
          </cell>
          <cell r="CA4">
            <v>155</v>
          </cell>
          <cell r="CB4">
            <v>160</v>
          </cell>
          <cell r="CC4">
            <v>165</v>
          </cell>
          <cell r="CD4">
            <v>170</v>
          </cell>
        </row>
        <row r="5">
          <cell r="C5">
            <v>25</v>
          </cell>
          <cell r="D5">
            <v>35</v>
          </cell>
          <cell r="E5">
            <v>40</v>
          </cell>
          <cell r="F5">
            <v>45</v>
          </cell>
          <cell r="G5">
            <v>50</v>
          </cell>
          <cell r="H5">
            <v>55</v>
          </cell>
          <cell r="I5">
            <v>60</v>
          </cell>
          <cell r="J5">
            <v>65</v>
          </cell>
          <cell r="K5">
            <v>67</v>
          </cell>
          <cell r="L5">
            <v>70</v>
          </cell>
          <cell r="M5">
            <v>35</v>
          </cell>
          <cell r="N5">
            <v>42</v>
          </cell>
          <cell r="O5">
            <v>50</v>
          </cell>
          <cell r="P5">
            <v>55</v>
          </cell>
          <cell r="Q5">
            <v>60</v>
          </cell>
          <cell r="R5">
            <v>65</v>
          </cell>
          <cell r="S5">
            <v>70</v>
          </cell>
          <cell r="T5">
            <v>75</v>
          </cell>
          <cell r="U5">
            <v>77</v>
          </cell>
          <cell r="V5">
            <v>80</v>
          </cell>
          <cell r="W5">
            <v>50</v>
          </cell>
          <cell r="X5">
            <v>55</v>
          </cell>
          <cell r="Y5">
            <v>62</v>
          </cell>
          <cell r="Z5">
            <v>70</v>
          </cell>
          <cell r="AA5">
            <v>75</v>
          </cell>
          <cell r="AB5">
            <v>80</v>
          </cell>
          <cell r="AC5">
            <v>85</v>
          </cell>
          <cell r="AD5">
            <v>90</v>
          </cell>
          <cell r="AE5">
            <v>92</v>
          </cell>
          <cell r="AF5">
            <v>95</v>
          </cell>
          <cell r="AG5">
            <v>60</v>
          </cell>
          <cell r="AH5">
            <v>67</v>
          </cell>
          <cell r="AI5">
            <v>75</v>
          </cell>
          <cell r="AJ5">
            <v>80</v>
          </cell>
          <cell r="AK5">
            <v>85</v>
          </cell>
          <cell r="AL5">
            <v>90</v>
          </cell>
          <cell r="AM5">
            <v>95</v>
          </cell>
          <cell r="AN5">
            <v>100</v>
          </cell>
          <cell r="AO5">
            <v>102</v>
          </cell>
          <cell r="AP5">
            <v>105</v>
          </cell>
          <cell r="AQ5">
            <v>55</v>
          </cell>
          <cell r="AR5">
            <v>70</v>
          </cell>
          <cell r="AS5">
            <v>80</v>
          </cell>
          <cell r="AT5">
            <v>95</v>
          </cell>
          <cell r="AU5">
            <v>100</v>
          </cell>
          <cell r="AV5">
            <v>105</v>
          </cell>
          <cell r="AW5">
            <v>110</v>
          </cell>
          <cell r="AX5">
            <v>115</v>
          </cell>
          <cell r="AY5">
            <v>120</v>
          </cell>
          <cell r="AZ5">
            <v>125</v>
          </cell>
          <cell r="BA5">
            <v>65</v>
          </cell>
          <cell r="BB5">
            <v>85</v>
          </cell>
          <cell r="BC5">
            <v>100</v>
          </cell>
          <cell r="BD5">
            <v>110</v>
          </cell>
          <cell r="BE5">
            <v>120</v>
          </cell>
          <cell r="BF5">
            <v>130</v>
          </cell>
          <cell r="BG5">
            <v>135</v>
          </cell>
          <cell r="BH5">
            <v>140</v>
          </cell>
          <cell r="BI5">
            <v>145</v>
          </cell>
          <cell r="BJ5">
            <v>150</v>
          </cell>
          <cell r="BK5">
            <v>100</v>
          </cell>
          <cell r="BL5">
            <v>115</v>
          </cell>
          <cell r="BM5">
            <v>125</v>
          </cell>
          <cell r="BN5">
            <v>140</v>
          </cell>
          <cell r="BO5">
            <v>150</v>
          </cell>
          <cell r="BP5">
            <v>160</v>
          </cell>
          <cell r="BQ5">
            <v>165</v>
          </cell>
          <cell r="BR5">
            <v>170</v>
          </cell>
          <cell r="BS5">
            <v>175</v>
          </cell>
          <cell r="BT5">
            <v>180</v>
          </cell>
          <cell r="BU5">
            <v>115</v>
          </cell>
          <cell r="BV5">
            <v>130</v>
          </cell>
          <cell r="BW5">
            <v>145</v>
          </cell>
          <cell r="BX5">
            <v>160</v>
          </cell>
          <cell r="BY5">
            <v>170</v>
          </cell>
          <cell r="BZ5">
            <v>175</v>
          </cell>
          <cell r="CA5">
            <v>180</v>
          </cell>
          <cell r="CB5">
            <v>185</v>
          </cell>
          <cell r="CC5">
            <v>190</v>
          </cell>
          <cell r="CD5">
            <v>195</v>
          </cell>
        </row>
        <row r="6">
          <cell r="C6">
            <v>35</v>
          </cell>
          <cell r="D6">
            <v>45</v>
          </cell>
          <cell r="E6">
            <v>50</v>
          </cell>
          <cell r="F6">
            <v>57</v>
          </cell>
          <cell r="G6">
            <v>62</v>
          </cell>
          <cell r="H6">
            <v>67</v>
          </cell>
          <cell r="I6">
            <v>72</v>
          </cell>
          <cell r="J6">
            <v>75</v>
          </cell>
          <cell r="K6">
            <v>77</v>
          </cell>
          <cell r="L6">
            <v>80</v>
          </cell>
          <cell r="M6">
            <v>45</v>
          </cell>
          <cell r="N6">
            <v>50</v>
          </cell>
          <cell r="O6">
            <v>57</v>
          </cell>
          <cell r="P6">
            <v>65</v>
          </cell>
          <cell r="Q6">
            <v>70</v>
          </cell>
          <cell r="R6">
            <v>75</v>
          </cell>
          <cell r="S6">
            <v>80</v>
          </cell>
          <cell r="T6">
            <v>85</v>
          </cell>
          <cell r="U6">
            <v>90</v>
          </cell>
          <cell r="V6">
            <v>95</v>
          </cell>
          <cell r="W6">
            <v>60</v>
          </cell>
          <cell r="X6">
            <v>65</v>
          </cell>
          <cell r="Y6">
            <v>75</v>
          </cell>
          <cell r="Z6">
            <v>82</v>
          </cell>
          <cell r="AA6">
            <v>90</v>
          </cell>
          <cell r="AB6">
            <v>95</v>
          </cell>
          <cell r="AC6">
            <v>100</v>
          </cell>
          <cell r="AD6">
            <v>105</v>
          </cell>
          <cell r="AE6">
            <v>107</v>
          </cell>
          <cell r="AF6">
            <v>110</v>
          </cell>
          <cell r="AG6">
            <v>70</v>
          </cell>
          <cell r="AH6">
            <v>80</v>
          </cell>
          <cell r="AI6">
            <v>87</v>
          </cell>
          <cell r="AJ6">
            <v>92</v>
          </cell>
          <cell r="AK6">
            <v>100</v>
          </cell>
          <cell r="AL6">
            <v>107</v>
          </cell>
          <cell r="AM6">
            <v>115</v>
          </cell>
          <cell r="AN6">
            <v>120</v>
          </cell>
          <cell r="AO6">
            <v>122</v>
          </cell>
          <cell r="AP6">
            <v>125</v>
          </cell>
          <cell r="AQ6">
            <v>70</v>
          </cell>
          <cell r="AR6">
            <v>85</v>
          </cell>
          <cell r="AS6">
            <v>100</v>
          </cell>
          <cell r="AT6">
            <v>110</v>
          </cell>
          <cell r="AU6">
            <v>120</v>
          </cell>
          <cell r="AV6">
            <v>130</v>
          </cell>
          <cell r="AW6">
            <v>135</v>
          </cell>
          <cell r="AX6">
            <v>140</v>
          </cell>
          <cell r="AY6">
            <v>145</v>
          </cell>
          <cell r="AZ6">
            <v>150</v>
          </cell>
          <cell r="BA6">
            <v>80</v>
          </cell>
          <cell r="BB6">
            <v>100</v>
          </cell>
          <cell r="BC6">
            <v>120</v>
          </cell>
          <cell r="BD6">
            <v>130</v>
          </cell>
          <cell r="BE6">
            <v>140</v>
          </cell>
          <cell r="BF6">
            <v>150</v>
          </cell>
          <cell r="BG6">
            <v>160</v>
          </cell>
          <cell r="BH6">
            <v>165</v>
          </cell>
          <cell r="BI6">
            <v>170</v>
          </cell>
          <cell r="BJ6">
            <v>175</v>
          </cell>
          <cell r="BK6">
            <v>115</v>
          </cell>
          <cell r="BL6">
            <v>130</v>
          </cell>
          <cell r="BM6">
            <v>150</v>
          </cell>
          <cell r="BN6">
            <v>160</v>
          </cell>
          <cell r="BO6">
            <v>170</v>
          </cell>
          <cell r="BP6">
            <v>180</v>
          </cell>
          <cell r="BQ6">
            <v>185</v>
          </cell>
          <cell r="BR6">
            <v>190</v>
          </cell>
          <cell r="BS6">
            <v>195</v>
          </cell>
          <cell r="BT6">
            <v>200</v>
          </cell>
          <cell r="BU6">
            <v>130</v>
          </cell>
          <cell r="BV6">
            <v>150</v>
          </cell>
          <cell r="BW6">
            <v>170</v>
          </cell>
          <cell r="BX6">
            <v>185</v>
          </cell>
          <cell r="BY6">
            <v>195</v>
          </cell>
          <cell r="BZ6">
            <v>200</v>
          </cell>
          <cell r="CA6">
            <v>205</v>
          </cell>
          <cell r="CB6">
            <v>210</v>
          </cell>
          <cell r="CC6">
            <v>215</v>
          </cell>
          <cell r="CD6">
            <v>220</v>
          </cell>
        </row>
        <row r="7">
          <cell r="C7">
            <v>45</v>
          </cell>
          <cell r="D7">
            <v>55</v>
          </cell>
          <cell r="E7">
            <v>60</v>
          </cell>
          <cell r="F7">
            <v>67</v>
          </cell>
          <cell r="G7">
            <v>72</v>
          </cell>
          <cell r="H7">
            <v>77</v>
          </cell>
          <cell r="I7">
            <v>82</v>
          </cell>
          <cell r="J7">
            <v>85</v>
          </cell>
          <cell r="K7">
            <v>87</v>
          </cell>
          <cell r="L7">
            <v>90</v>
          </cell>
          <cell r="M7">
            <v>55</v>
          </cell>
          <cell r="N7">
            <v>60</v>
          </cell>
          <cell r="O7">
            <v>67</v>
          </cell>
          <cell r="P7">
            <v>77</v>
          </cell>
          <cell r="Q7">
            <v>82</v>
          </cell>
          <cell r="R7">
            <v>87</v>
          </cell>
          <cell r="S7">
            <v>92</v>
          </cell>
          <cell r="T7">
            <v>97</v>
          </cell>
          <cell r="U7">
            <v>100</v>
          </cell>
          <cell r="V7">
            <v>105</v>
          </cell>
          <cell r="W7">
            <v>70</v>
          </cell>
          <cell r="X7">
            <v>77</v>
          </cell>
          <cell r="Y7">
            <v>87</v>
          </cell>
          <cell r="Z7">
            <v>95</v>
          </cell>
          <cell r="AA7">
            <v>105</v>
          </cell>
          <cell r="AB7">
            <v>110</v>
          </cell>
          <cell r="AC7">
            <v>115</v>
          </cell>
          <cell r="AD7">
            <v>120</v>
          </cell>
          <cell r="AE7">
            <v>122</v>
          </cell>
          <cell r="AF7">
            <v>125</v>
          </cell>
          <cell r="AG7">
            <v>82</v>
          </cell>
          <cell r="AH7">
            <v>92</v>
          </cell>
          <cell r="AI7">
            <v>102</v>
          </cell>
          <cell r="AJ7">
            <v>107</v>
          </cell>
          <cell r="AK7">
            <v>117</v>
          </cell>
          <cell r="AL7">
            <v>122</v>
          </cell>
          <cell r="AM7">
            <v>130</v>
          </cell>
          <cell r="AN7">
            <v>135</v>
          </cell>
          <cell r="AO7">
            <v>137</v>
          </cell>
          <cell r="AP7">
            <v>140</v>
          </cell>
          <cell r="AQ7">
            <v>85</v>
          </cell>
          <cell r="AR7">
            <v>100</v>
          </cell>
          <cell r="AS7">
            <v>115</v>
          </cell>
          <cell r="AT7">
            <v>130</v>
          </cell>
          <cell r="AU7">
            <v>140</v>
          </cell>
          <cell r="AV7">
            <v>150</v>
          </cell>
          <cell r="AW7">
            <v>155</v>
          </cell>
          <cell r="AX7">
            <v>160</v>
          </cell>
          <cell r="AY7">
            <v>165</v>
          </cell>
          <cell r="AZ7">
            <v>170</v>
          </cell>
          <cell r="BA7">
            <v>95</v>
          </cell>
          <cell r="BB7">
            <v>115</v>
          </cell>
          <cell r="BC7">
            <v>135</v>
          </cell>
          <cell r="BD7">
            <v>150</v>
          </cell>
          <cell r="BE7">
            <v>160</v>
          </cell>
          <cell r="BF7">
            <v>170</v>
          </cell>
          <cell r="BG7">
            <v>180</v>
          </cell>
          <cell r="BH7">
            <v>185</v>
          </cell>
          <cell r="BI7">
            <v>190</v>
          </cell>
          <cell r="BJ7">
            <v>195</v>
          </cell>
          <cell r="BK7">
            <v>130</v>
          </cell>
          <cell r="BL7">
            <v>150</v>
          </cell>
          <cell r="BM7">
            <v>170</v>
          </cell>
          <cell r="BN7">
            <v>180</v>
          </cell>
          <cell r="BO7">
            <v>190</v>
          </cell>
          <cell r="BP7">
            <v>200</v>
          </cell>
          <cell r="BQ7">
            <v>210</v>
          </cell>
          <cell r="BR7">
            <v>215</v>
          </cell>
          <cell r="BS7">
            <v>220</v>
          </cell>
          <cell r="BT7">
            <v>225</v>
          </cell>
          <cell r="BU7">
            <v>145</v>
          </cell>
          <cell r="BV7">
            <v>170</v>
          </cell>
          <cell r="BW7">
            <v>195</v>
          </cell>
          <cell r="BX7">
            <v>210</v>
          </cell>
          <cell r="BY7">
            <v>220</v>
          </cell>
          <cell r="BZ7">
            <v>230</v>
          </cell>
          <cell r="CA7">
            <v>235</v>
          </cell>
          <cell r="CB7">
            <v>240</v>
          </cell>
          <cell r="CC7">
            <v>245</v>
          </cell>
          <cell r="CD7">
            <v>250</v>
          </cell>
        </row>
        <row r="8">
          <cell r="C8">
            <v>55</v>
          </cell>
          <cell r="D8">
            <v>65</v>
          </cell>
          <cell r="E8">
            <v>72</v>
          </cell>
          <cell r="F8">
            <v>82</v>
          </cell>
          <cell r="G8">
            <v>87</v>
          </cell>
          <cell r="H8">
            <v>92</v>
          </cell>
          <cell r="I8">
            <v>97</v>
          </cell>
          <cell r="J8">
            <v>100</v>
          </cell>
          <cell r="K8">
            <v>102</v>
          </cell>
          <cell r="L8">
            <v>105</v>
          </cell>
          <cell r="M8">
            <v>68</v>
          </cell>
          <cell r="N8">
            <v>75</v>
          </cell>
          <cell r="O8">
            <v>82</v>
          </cell>
          <cell r="P8">
            <v>92</v>
          </cell>
          <cell r="Q8">
            <v>97</v>
          </cell>
          <cell r="R8">
            <v>102</v>
          </cell>
          <cell r="S8">
            <v>107</v>
          </cell>
          <cell r="T8">
            <v>110</v>
          </cell>
          <cell r="U8">
            <v>112</v>
          </cell>
          <cell r="V8">
            <v>115</v>
          </cell>
          <cell r="W8">
            <v>83</v>
          </cell>
          <cell r="X8">
            <v>90</v>
          </cell>
          <cell r="Y8">
            <v>103</v>
          </cell>
          <cell r="Z8">
            <v>110</v>
          </cell>
          <cell r="AA8">
            <v>118</v>
          </cell>
          <cell r="AB8">
            <v>123</v>
          </cell>
          <cell r="AC8">
            <v>127</v>
          </cell>
          <cell r="AD8">
            <v>132</v>
          </cell>
          <cell r="AE8">
            <v>135</v>
          </cell>
          <cell r="AF8">
            <v>140</v>
          </cell>
          <cell r="AG8">
            <v>95</v>
          </cell>
          <cell r="AH8">
            <v>107</v>
          </cell>
          <cell r="AI8">
            <v>123</v>
          </cell>
          <cell r="AJ8">
            <v>130</v>
          </cell>
          <cell r="AK8">
            <v>137</v>
          </cell>
          <cell r="AL8">
            <v>142</v>
          </cell>
          <cell r="AM8">
            <v>147</v>
          </cell>
          <cell r="AN8">
            <v>150</v>
          </cell>
          <cell r="AO8">
            <v>152</v>
          </cell>
          <cell r="AP8">
            <v>155</v>
          </cell>
          <cell r="AQ8">
            <v>100</v>
          </cell>
          <cell r="AR8">
            <v>115</v>
          </cell>
          <cell r="AS8">
            <v>130</v>
          </cell>
          <cell r="AT8">
            <v>150</v>
          </cell>
          <cell r="AU8">
            <v>160</v>
          </cell>
          <cell r="AV8">
            <v>170</v>
          </cell>
          <cell r="AW8">
            <v>175</v>
          </cell>
          <cell r="AX8">
            <v>180</v>
          </cell>
          <cell r="AY8">
            <v>185</v>
          </cell>
          <cell r="AZ8">
            <v>190</v>
          </cell>
          <cell r="BA8">
            <v>110</v>
          </cell>
          <cell r="BB8">
            <v>130</v>
          </cell>
          <cell r="BC8">
            <v>150</v>
          </cell>
          <cell r="BD8">
            <v>170</v>
          </cell>
          <cell r="BE8">
            <v>180</v>
          </cell>
          <cell r="BF8">
            <v>190</v>
          </cell>
          <cell r="BG8">
            <v>200</v>
          </cell>
          <cell r="BH8">
            <v>205</v>
          </cell>
          <cell r="BI8">
            <v>210</v>
          </cell>
          <cell r="BJ8">
            <v>215</v>
          </cell>
          <cell r="BK8">
            <v>145</v>
          </cell>
          <cell r="BL8">
            <v>170</v>
          </cell>
          <cell r="BM8">
            <v>190</v>
          </cell>
          <cell r="BN8">
            <v>200</v>
          </cell>
          <cell r="BO8">
            <v>215</v>
          </cell>
          <cell r="BP8">
            <v>225</v>
          </cell>
          <cell r="BQ8">
            <v>230</v>
          </cell>
          <cell r="BR8">
            <v>240</v>
          </cell>
          <cell r="BS8">
            <v>245</v>
          </cell>
          <cell r="BT8">
            <v>250</v>
          </cell>
          <cell r="BU8">
            <v>170</v>
          </cell>
          <cell r="BV8">
            <v>195</v>
          </cell>
          <cell r="BW8">
            <v>225</v>
          </cell>
          <cell r="BX8">
            <v>240</v>
          </cell>
          <cell r="BY8">
            <v>250</v>
          </cell>
          <cell r="BZ8">
            <v>260</v>
          </cell>
          <cell r="CA8">
            <v>265</v>
          </cell>
          <cell r="CB8">
            <v>270</v>
          </cell>
          <cell r="CC8">
            <v>275</v>
          </cell>
          <cell r="CD8">
            <v>280</v>
          </cell>
        </row>
        <row r="9">
          <cell r="C9">
            <v>68</v>
          </cell>
          <cell r="D9">
            <v>78</v>
          </cell>
          <cell r="E9">
            <v>85</v>
          </cell>
          <cell r="F9">
            <v>95</v>
          </cell>
          <cell r="G9">
            <v>100</v>
          </cell>
          <cell r="H9">
            <v>105</v>
          </cell>
          <cell r="I9">
            <v>110</v>
          </cell>
          <cell r="J9">
            <v>115</v>
          </cell>
          <cell r="K9">
            <v>117</v>
          </cell>
          <cell r="L9">
            <v>120</v>
          </cell>
          <cell r="M9">
            <v>80</v>
          </cell>
          <cell r="N9">
            <v>88</v>
          </cell>
          <cell r="O9">
            <v>95</v>
          </cell>
          <cell r="P9">
            <v>105</v>
          </cell>
          <cell r="Q9">
            <v>110</v>
          </cell>
          <cell r="R9">
            <v>115</v>
          </cell>
          <cell r="S9">
            <v>120</v>
          </cell>
          <cell r="T9">
            <v>125</v>
          </cell>
          <cell r="U9">
            <v>130</v>
          </cell>
          <cell r="V9">
            <v>135</v>
          </cell>
          <cell r="W9">
            <v>97</v>
          </cell>
          <cell r="X9">
            <v>105</v>
          </cell>
          <cell r="Y9">
            <v>118</v>
          </cell>
          <cell r="Z9">
            <v>125</v>
          </cell>
          <cell r="AA9">
            <v>135</v>
          </cell>
          <cell r="AB9">
            <v>142</v>
          </cell>
          <cell r="AC9">
            <v>147</v>
          </cell>
          <cell r="AD9">
            <v>152</v>
          </cell>
          <cell r="AE9">
            <v>155</v>
          </cell>
          <cell r="AF9">
            <v>160</v>
          </cell>
          <cell r="AG9">
            <v>110</v>
          </cell>
          <cell r="AH9">
            <v>122</v>
          </cell>
          <cell r="AI9">
            <v>138</v>
          </cell>
          <cell r="AJ9">
            <v>145</v>
          </cell>
          <cell r="AK9">
            <v>155</v>
          </cell>
          <cell r="AL9">
            <v>165</v>
          </cell>
          <cell r="AM9">
            <v>170</v>
          </cell>
          <cell r="AN9">
            <v>172</v>
          </cell>
          <cell r="AO9">
            <v>175</v>
          </cell>
          <cell r="AP9">
            <v>180</v>
          </cell>
          <cell r="AQ9">
            <v>115</v>
          </cell>
          <cell r="AR9">
            <v>130</v>
          </cell>
          <cell r="AS9">
            <v>150</v>
          </cell>
          <cell r="AT9">
            <v>170</v>
          </cell>
          <cell r="AU9">
            <v>180</v>
          </cell>
          <cell r="AV9">
            <v>190</v>
          </cell>
          <cell r="AW9">
            <v>200</v>
          </cell>
          <cell r="AX9">
            <v>205</v>
          </cell>
          <cell r="AY9">
            <v>210</v>
          </cell>
          <cell r="AZ9">
            <v>215</v>
          </cell>
          <cell r="BA9">
            <v>125</v>
          </cell>
          <cell r="BB9">
            <v>145</v>
          </cell>
          <cell r="BC9">
            <v>170</v>
          </cell>
          <cell r="BD9">
            <v>190</v>
          </cell>
          <cell r="BE9">
            <v>200</v>
          </cell>
          <cell r="BF9">
            <v>210</v>
          </cell>
          <cell r="BG9">
            <v>220</v>
          </cell>
          <cell r="BH9">
            <v>225</v>
          </cell>
          <cell r="BI9">
            <v>230</v>
          </cell>
          <cell r="BJ9">
            <v>235</v>
          </cell>
          <cell r="BK9">
            <v>170</v>
          </cell>
          <cell r="BL9">
            <v>190</v>
          </cell>
          <cell r="BM9">
            <v>218</v>
          </cell>
          <cell r="BN9">
            <v>230</v>
          </cell>
          <cell r="BO9">
            <v>245</v>
          </cell>
          <cell r="BP9">
            <v>255</v>
          </cell>
          <cell r="BQ9">
            <v>260</v>
          </cell>
          <cell r="BR9">
            <v>270</v>
          </cell>
          <cell r="BS9">
            <v>275</v>
          </cell>
          <cell r="BT9">
            <v>280</v>
          </cell>
          <cell r="BU9">
            <v>190</v>
          </cell>
          <cell r="BV9">
            <v>215</v>
          </cell>
          <cell r="BW9">
            <v>240</v>
          </cell>
          <cell r="BX9">
            <v>260</v>
          </cell>
          <cell r="BY9">
            <v>275</v>
          </cell>
          <cell r="BZ9">
            <v>287</v>
          </cell>
          <cell r="CA9">
            <v>295</v>
          </cell>
          <cell r="CB9">
            <v>302</v>
          </cell>
          <cell r="CC9">
            <v>310</v>
          </cell>
          <cell r="CD9">
            <v>315</v>
          </cell>
        </row>
        <row r="10">
          <cell r="C10">
            <v>80</v>
          </cell>
          <cell r="D10">
            <v>90</v>
          </cell>
          <cell r="E10">
            <v>100</v>
          </cell>
          <cell r="F10">
            <v>110</v>
          </cell>
          <cell r="G10">
            <v>115</v>
          </cell>
          <cell r="H10">
            <v>120</v>
          </cell>
          <cell r="I10">
            <v>125</v>
          </cell>
          <cell r="J10">
            <v>130</v>
          </cell>
          <cell r="K10">
            <v>132</v>
          </cell>
          <cell r="L10">
            <v>135</v>
          </cell>
          <cell r="M10">
            <v>90</v>
          </cell>
          <cell r="N10">
            <v>100</v>
          </cell>
          <cell r="O10">
            <v>110</v>
          </cell>
          <cell r="P10">
            <v>120</v>
          </cell>
          <cell r="Q10">
            <v>125</v>
          </cell>
          <cell r="R10">
            <v>130</v>
          </cell>
          <cell r="S10">
            <v>135</v>
          </cell>
          <cell r="T10">
            <v>140</v>
          </cell>
          <cell r="U10">
            <v>145</v>
          </cell>
          <cell r="V10">
            <v>150</v>
          </cell>
          <cell r="W10">
            <v>110</v>
          </cell>
          <cell r="X10">
            <v>120</v>
          </cell>
          <cell r="Y10">
            <v>138</v>
          </cell>
          <cell r="Z10">
            <v>145</v>
          </cell>
          <cell r="AA10">
            <v>155</v>
          </cell>
          <cell r="AB10">
            <v>162</v>
          </cell>
          <cell r="AC10">
            <v>167</v>
          </cell>
          <cell r="AD10">
            <v>172</v>
          </cell>
          <cell r="AE10">
            <v>175</v>
          </cell>
          <cell r="AF10">
            <v>180</v>
          </cell>
          <cell r="AG10">
            <v>125</v>
          </cell>
          <cell r="AH10">
            <v>140</v>
          </cell>
          <cell r="AI10">
            <v>155</v>
          </cell>
          <cell r="AJ10">
            <v>165</v>
          </cell>
          <cell r="AK10">
            <v>175</v>
          </cell>
          <cell r="AL10">
            <v>185</v>
          </cell>
          <cell r="AM10">
            <v>190</v>
          </cell>
          <cell r="AN10">
            <v>192</v>
          </cell>
          <cell r="AO10">
            <v>195</v>
          </cell>
          <cell r="AP10">
            <v>200</v>
          </cell>
          <cell r="AQ10">
            <v>130</v>
          </cell>
          <cell r="AR10">
            <v>150</v>
          </cell>
          <cell r="AS10">
            <v>170</v>
          </cell>
          <cell r="AT10">
            <v>190</v>
          </cell>
          <cell r="AU10">
            <v>200</v>
          </cell>
          <cell r="AV10">
            <v>210</v>
          </cell>
          <cell r="AW10">
            <v>220</v>
          </cell>
          <cell r="AX10">
            <v>225</v>
          </cell>
          <cell r="AY10">
            <v>230</v>
          </cell>
          <cell r="AZ10">
            <v>235</v>
          </cell>
          <cell r="BA10">
            <v>140</v>
          </cell>
          <cell r="BB10">
            <v>170</v>
          </cell>
          <cell r="BC10">
            <v>190</v>
          </cell>
          <cell r="BD10">
            <v>210</v>
          </cell>
          <cell r="BE10">
            <v>220</v>
          </cell>
          <cell r="BF10">
            <v>230</v>
          </cell>
          <cell r="BG10">
            <v>240</v>
          </cell>
          <cell r="BH10">
            <v>250</v>
          </cell>
          <cell r="BI10">
            <v>255</v>
          </cell>
          <cell r="BJ10">
            <v>260</v>
          </cell>
          <cell r="BK10">
            <v>190</v>
          </cell>
          <cell r="BL10">
            <v>210</v>
          </cell>
          <cell r="BM10">
            <v>240</v>
          </cell>
          <cell r="BN10">
            <v>250</v>
          </cell>
          <cell r="BO10">
            <v>270</v>
          </cell>
          <cell r="BP10">
            <v>285</v>
          </cell>
          <cell r="BQ10">
            <v>290</v>
          </cell>
          <cell r="BR10">
            <v>300</v>
          </cell>
          <cell r="BS10">
            <v>305</v>
          </cell>
          <cell r="BT10">
            <v>310</v>
          </cell>
          <cell r="BU10">
            <v>210</v>
          </cell>
          <cell r="BV10">
            <v>235</v>
          </cell>
          <cell r="BW10">
            <v>260</v>
          </cell>
          <cell r="BX10">
            <v>280</v>
          </cell>
          <cell r="BY10">
            <v>295</v>
          </cell>
          <cell r="BZ10">
            <v>310</v>
          </cell>
          <cell r="CA10">
            <v>320</v>
          </cell>
          <cell r="CB10">
            <v>330</v>
          </cell>
          <cell r="CC10">
            <v>335</v>
          </cell>
          <cell r="CD10">
            <v>340</v>
          </cell>
        </row>
        <row r="11">
          <cell r="C11">
            <v>90</v>
          </cell>
          <cell r="D11">
            <v>105</v>
          </cell>
          <cell r="E11">
            <v>115</v>
          </cell>
          <cell r="F11">
            <v>125</v>
          </cell>
          <cell r="G11">
            <v>130</v>
          </cell>
          <cell r="H11">
            <v>135</v>
          </cell>
          <cell r="I11">
            <v>140</v>
          </cell>
          <cell r="J11">
            <v>145</v>
          </cell>
          <cell r="K11">
            <v>147</v>
          </cell>
          <cell r="L11">
            <v>150</v>
          </cell>
          <cell r="M11">
            <v>105</v>
          </cell>
          <cell r="N11">
            <v>115</v>
          </cell>
          <cell r="O11">
            <v>125</v>
          </cell>
          <cell r="P11">
            <v>135</v>
          </cell>
          <cell r="Q11">
            <v>140</v>
          </cell>
          <cell r="R11">
            <v>145</v>
          </cell>
          <cell r="S11">
            <v>150</v>
          </cell>
          <cell r="T11">
            <v>160</v>
          </cell>
          <cell r="U11">
            <v>165</v>
          </cell>
          <cell r="V11">
            <v>170</v>
          </cell>
          <cell r="W11">
            <v>130</v>
          </cell>
          <cell r="X11">
            <v>140</v>
          </cell>
          <cell r="Y11">
            <v>160</v>
          </cell>
          <cell r="Z11">
            <v>165</v>
          </cell>
          <cell r="AA11">
            <v>175</v>
          </cell>
          <cell r="AB11">
            <v>182</v>
          </cell>
          <cell r="AC11">
            <v>187</v>
          </cell>
          <cell r="AD11">
            <v>192</v>
          </cell>
          <cell r="AE11">
            <v>195</v>
          </cell>
          <cell r="AF11">
            <v>200</v>
          </cell>
          <cell r="AG11">
            <v>145</v>
          </cell>
          <cell r="AH11">
            <v>160</v>
          </cell>
          <cell r="AI11">
            <v>175</v>
          </cell>
          <cell r="AJ11">
            <v>185</v>
          </cell>
          <cell r="AK11">
            <v>195</v>
          </cell>
          <cell r="AL11">
            <v>205</v>
          </cell>
          <cell r="AM11">
            <v>210</v>
          </cell>
          <cell r="AN11">
            <v>212</v>
          </cell>
          <cell r="AO11">
            <v>215</v>
          </cell>
          <cell r="AP11">
            <v>220</v>
          </cell>
          <cell r="AQ11">
            <v>145</v>
          </cell>
          <cell r="AR11">
            <v>170</v>
          </cell>
          <cell r="AS11">
            <v>190</v>
          </cell>
          <cell r="AT11">
            <v>210</v>
          </cell>
          <cell r="AU11">
            <v>220</v>
          </cell>
          <cell r="AV11">
            <v>230</v>
          </cell>
          <cell r="AW11">
            <v>240</v>
          </cell>
          <cell r="AX11">
            <v>245</v>
          </cell>
          <cell r="AY11">
            <v>250</v>
          </cell>
          <cell r="AZ11">
            <v>255</v>
          </cell>
          <cell r="BA11">
            <v>155</v>
          </cell>
          <cell r="BB11">
            <v>190</v>
          </cell>
          <cell r="BC11">
            <v>210</v>
          </cell>
          <cell r="BD11">
            <v>230</v>
          </cell>
          <cell r="BE11">
            <v>240</v>
          </cell>
          <cell r="BF11">
            <v>260</v>
          </cell>
          <cell r="BG11">
            <v>270</v>
          </cell>
          <cell r="BH11">
            <v>280</v>
          </cell>
          <cell r="BI11">
            <v>285</v>
          </cell>
          <cell r="BJ11">
            <v>290</v>
          </cell>
          <cell r="BK11">
            <v>210</v>
          </cell>
          <cell r="BL11">
            <v>230</v>
          </cell>
          <cell r="BM11">
            <v>260</v>
          </cell>
          <cell r="BN11">
            <v>275</v>
          </cell>
          <cell r="BO11">
            <v>295</v>
          </cell>
          <cell r="BP11">
            <v>310</v>
          </cell>
          <cell r="BQ11">
            <v>315</v>
          </cell>
          <cell r="BR11">
            <v>325</v>
          </cell>
          <cell r="BS11">
            <v>330</v>
          </cell>
          <cell r="BT11">
            <v>335</v>
          </cell>
          <cell r="BU11">
            <v>230</v>
          </cell>
          <cell r="BV11">
            <v>260</v>
          </cell>
          <cell r="BW11">
            <v>280</v>
          </cell>
          <cell r="BX11">
            <v>300</v>
          </cell>
          <cell r="BY11">
            <v>320</v>
          </cell>
          <cell r="BZ11">
            <v>330</v>
          </cell>
          <cell r="CA11">
            <v>340</v>
          </cell>
          <cell r="CB11">
            <v>350</v>
          </cell>
          <cell r="CC11">
            <v>360</v>
          </cell>
          <cell r="CD11">
            <v>365</v>
          </cell>
        </row>
        <row r="12">
          <cell r="C12">
            <v>175</v>
          </cell>
          <cell r="D12">
            <v>175</v>
          </cell>
          <cell r="E12">
            <v>175</v>
          </cell>
          <cell r="F12">
            <v>190</v>
          </cell>
          <cell r="G12">
            <v>200</v>
          </cell>
          <cell r="H12">
            <v>210</v>
          </cell>
          <cell r="I12">
            <v>225</v>
          </cell>
          <cell r="J12">
            <v>225</v>
          </cell>
          <cell r="K12">
            <v>230</v>
          </cell>
          <cell r="L12">
            <v>230</v>
          </cell>
          <cell r="M12">
            <v>175</v>
          </cell>
          <cell r="N12">
            <v>175</v>
          </cell>
          <cell r="O12">
            <v>175</v>
          </cell>
          <cell r="P12">
            <v>190</v>
          </cell>
          <cell r="Q12">
            <v>200</v>
          </cell>
          <cell r="R12">
            <v>210</v>
          </cell>
          <cell r="S12">
            <v>225</v>
          </cell>
          <cell r="T12">
            <v>225</v>
          </cell>
          <cell r="U12">
            <v>230</v>
          </cell>
          <cell r="V12">
            <v>230</v>
          </cell>
          <cell r="W12">
            <v>175</v>
          </cell>
          <cell r="X12">
            <v>175</v>
          </cell>
          <cell r="Y12">
            <v>190</v>
          </cell>
          <cell r="Z12">
            <v>200</v>
          </cell>
          <cell r="AA12">
            <v>210</v>
          </cell>
          <cell r="AB12">
            <v>225</v>
          </cell>
          <cell r="AC12">
            <v>225</v>
          </cell>
          <cell r="AD12">
            <v>230</v>
          </cell>
          <cell r="AE12">
            <v>230</v>
          </cell>
          <cell r="AF12">
            <v>235</v>
          </cell>
          <cell r="AG12">
            <v>175</v>
          </cell>
          <cell r="AH12">
            <v>175</v>
          </cell>
          <cell r="AI12">
            <v>190</v>
          </cell>
          <cell r="AJ12">
            <v>200</v>
          </cell>
          <cell r="AK12">
            <v>210</v>
          </cell>
          <cell r="AL12">
            <v>225</v>
          </cell>
          <cell r="AM12">
            <v>225</v>
          </cell>
          <cell r="AN12">
            <v>230</v>
          </cell>
          <cell r="AO12">
            <v>230</v>
          </cell>
          <cell r="AP12">
            <v>235</v>
          </cell>
          <cell r="AQ12">
            <v>275</v>
          </cell>
          <cell r="AR12">
            <v>275</v>
          </cell>
          <cell r="AS12">
            <v>275</v>
          </cell>
          <cell r="AT12">
            <v>295</v>
          </cell>
          <cell r="AU12">
            <v>315</v>
          </cell>
          <cell r="AV12">
            <v>335</v>
          </cell>
          <cell r="AW12">
            <v>360</v>
          </cell>
          <cell r="AX12">
            <v>360</v>
          </cell>
          <cell r="AY12">
            <v>380</v>
          </cell>
          <cell r="AZ12">
            <v>380</v>
          </cell>
          <cell r="BA12">
            <v>275</v>
          </cell>
          <cell r="BB12">
            <v>275</v>
          </cell>
          <cell r="BC12">
            <v>275</v>
          </cell>
          <cell r="BD12">
            <v>295</v>
          </cell>
          <cell r="BE12">
            <v>315</v>
          </cell>
          <cell r="BF12">
            <v>335</v>
          </cell>
          <cell r="BG12">
            <v>360</v>
          </cell>
          <cell r="BH12">
            <v>360</v>
          </cell>
          <cell r="BI12">
            <v>380</v>
          </cell>
          <cell r="BJ12">
            <v>380</v>
          </cell>
          <cell r="BK12">
            <v>275</v>
          </cell>
          <cell r="BL12">
            <v>275</v>
          </cell>
          <cell r="BM12">
            <v>295</v>
          </cell>
          <cell r="BN12">
            <v>315</v>
          </cell>
          <cell r="BO12">
            <v>335</v>
          </cell>
          <cell r="BP12">
            <v>360</v>
          </cell>
          <cell r="BQ12">
            <v>360</v>
          </cell>
          <cell r="BR12">
            <v>380</v>
          </cell>
          <cell r="BS12">
            <v>380</v>
          </cell>
          <cell r="BT12">
            <v>385</v>
          </cell>
          <cell r="BU12">
            <v>275</v>
          </cell>
          <cell r="BV12">
            <v>275</v>
          </cell>
          <cell r="BW12">
            <v>295</v>
          </cell>
          <cell r="BX12">
            <v>315</v>
          </cell>
          <cell r="BY12">
            <v>335</v>
          </cell>
          <cell r="BZ12">
            <v>360</v>
          </cell>
          <cell r="CA12">
            <v>360</v>
          </cell>
          <cell r="CB12">
            <v>380</v>
          </cell>
          <cell r="CC12">
            <v>380</v>
          </cell>
          <cell r="CD12">
            <v>385</v>
          </cell>
        </row>
        <row r="15">
          <cell r="B15" t="str">
            <v>MINIME</v>
          </cell>
          <cell r="C15" t="str">
            <v>CADET</v>
          </cell>
          <cell r="D15" t="str">
            <v>CADET</v>
          </cell>
          <cell r="E15" t="str">
            <v>JUNIOR</v>
          </cell>
          <cell r="F15" t="str">
            <v>SENIOR</v>
          </cell>
          <cell r="G15"/>
          <cell r="H15" t="str">
            <v>MINIME</v>
          </cell>
          <cell r="I15" t="str">
            <v>CADETTE</v>
          </cell>
          <cell r="J15" t="str">
            <v>CADETTE</v>
          </cell>
          <cell r="K15" t="str">
            <v>JUNIOR</v>
          </cell>
          <cell r="L15" t="str">
            <v>SENIOR</v>
          </cell>
        </row>
        <row r="16">
          <cell r="A16">
            <v>10</v>
          </cell>
          <cell r="B16" t="str">
            <v>NON</v>
          </cell>
          <cell r="C16" t="str">
            <v>U15 M49</v>
          </cell>
          <cell r="D16" t="str">
            <v>U17 M49</v>
          </cell>
          <cell r="E16" t="str">
            <v>U20 M55</v>
          </cell>
          <cell r="F16" t="str">
            <v>SE M55</v>
          </cell>
          <cell r="G16">
            <v>10</v>
          </cell>
          <cell r="H16" t="str">
            <v>NON</v>
          </cell>
          <cell r="I16" t="str">
            <v>U15 F40</v>
          </cell>
          <cell r="J16" t="str">
            <v>U17 F40</v>
          </cell>
          <cell r="K16" t="str">
            <v>U20 F45</v>
          </cell>
          <cell r="L16" t="str">
            <v>SE F45</v>
          </cell>
        </row>
        <row r="17">
          <cell r="A17">
            <v>35.01</v>
          </cell>
          <cell r="B17" t="str">
            <v>NON</v>
          </cell>
          <cell r="C17" t="str">
            <v>U15 M49</v>
          </cell>
          <cell r="D17" t="str">
            <v>U17 M49</v>
          </cell>
          <cell r="E17" t="str">
            <v>U20 M55</v>
          </cell>
          <cell r="F17" t="str">
            <v>SE M55</v>
          </cell>
          <cell r="G17">
            <v>35.01</v>
          </cell>
          <cell r="H17" t="str">
            <v>NON</v>
          </cell>
          <cell r="I17" t="str">
            <v>U15 F40</v>
          </cell>
          <cell r="J17" t="str">
            <v>U17 F40</v>
          </cell>
          <cell r="K17" t="str">
            <v>U20 F45</v>
          </cell>
          <cell r="L17" t="str">
            <v>SE F45</v>
          </cell>
        </row>
        <row r="18">
          <cell r="A18">
            <v>40.01</v>
          </cell>
          <cell r="B18" t="str">
            <v>NON</v>
          </cell>
          <cell r="C18" t="str">
            <v>U15 M49</v>
          </cell>
          <cell r="D18" t="str">
            <v>U17 M49</v>
          </cell>
          <cell r="E18" t="str">
            <v>U20 M55</v>
          </cell>
          <cell r="F18" t="str">
            <v>SE M55</v>
          </cell>
          <cell r="G18">
            <v>40.01</v>
          </cell>
          <cell r="H18" t="str">
            <v>NON</v>
          </cell>
          <cell r="I18" t="str">
            <v>U15 F45</v>
          </cell>
          <cell r="J18" t="str">
            <v>U17 F45</v>
          </cell>
          <cell r="K18" t="str">
            <v>U20 F45</v>
          </cell>
          <cell r="L18" t="str">
            <v>SE F45</v>
          </cell>
        </row>
        <row r="19">
          <cell r="A19">
            <v>45.01</v>
          </cell>
          <cell r="B19" t="str">
            <v>NON</v>
          </cell>
          <cell r="C19" t="str">
            <v>U15 M49</v>
          </cell>
          <cell r="D19" t="str">
            <v>U17 M49</v>
          </cell>
          <cell r="E19" t="str">
            <v>U20 M55</v>
          </cell>
          <cell r="F19" t="str">
            <v>SE M55</v>
          </cell>
          <cell r="G19">
            <v>45.01</v>
          </cell>
          <cell r="H19" t="str">
            <v>NON</v>
          </cell>
          <cell r="I19" t="str">
            <v>U15 F49</v>
          </cell>
          <cell r="J19" t="str">
            <v>U17 F49</v>
          </cell>
          <cell r="K19" t="str">
            <v>U20 F49</v>
          </cell>
          <cell r="L19" t="str">
            <v>SE F49</v>
          </cell>
        </row>
        <row r="20">
          <cell r="A20">
            <v>49.01</v>
          </cell>
          <cell r="B20" t="str">
            <v>NON</v>
          </cell>
          <cell r="C20" t="str">
            <v>U15 M55</v>
          </cell>
          <cell r="D20" t="str">
            <v>U17 M55</v>
          </cell>
          <cell r="E20" t="str">
            <v>U20 M55</v>
          </cell>
          <cell r="F20" t="str">
            <v>SE M55</v>
          </cell>
          <cell r="G20">
            <v>49.01</v>
          </cell>
          <cell r="H20" t="str">
            <v>NON</v>
          </cell>
          <cell r="I20" t="str">
            <v>U15 F55</v>
          </cell>
          <cell r="J20" t="str">
            <v>U17 F55</v>
          </cell>
          <cell r="K20" t="str">
            <v>U20 F55</v>
          </cell>
          <cell r="L20" t="str">
            <v>SE F55</v>
          </cell>
        </row>
        <row r="21">
          <cell r="A21">
            <v>55.01</v>
          </cell>
          <cell r="B21" t="str">
            <v>NON</v>
          </cell>
          <cell r="C21" t="str">
            <v>U15 M61</v>
          </cell>
          <cell r="D21" t="str">
            <v>U17 M61</v>
          </cell>
          <cell r="E21" t="str">
            <v>U20 M61</v>
          </cell>
          <cell r="F21" t="str">
            <v>SE M61</v>
          </cell>
          <cell r="G21">
            <v>55.01</v>
          </cell>
          <cell r="H21" t="str">
            <v>NON</v>
          </cell>
          <cell r="I21" t="str">
            <v>U15 F59</v>
          </cell>
          <cell r="J21" t="str">
            <v>U17 F59</v>
          </cell>
          <cell r="K21" t="str">
            <v>U20 F59</v>
          </cell>
          <cell r="L21" t="str">
            <v>SE F59</v>
          </cell>
        </row>
        <row r="22">
          <cell r="A22">
            <v>61.01</v>
          </cell>
          <cell r="B22" t="str">
            <v>NON</v>
          </cell>
          <cell r="C22" t="str">
            <v>U15 M67</v>
          </cell>
          <cell r="D22" t="str">
            <v>U17 M67</v>
          </cell>
          <cell r="E22" t="str">
            <v>U20 M67</v>
          </cell>
          <cell r="F22" t="str">
            <v>SE M67</v>
          </cell>
          <cell r="G22">
            <v>59.01</v>
          </cell>
          <cell r="H22" t="str">
            <v>NON</v>
          </cell>
          <cell r="I22" t="str">
            <v>U15 F64</v>
          </cell>
          <cell r="J22" t="str">
            <v>U17 F64</v>
          </cell>
          <cell r="K22" t="str">
            <v>U20 F64</v>
          </cell>
          <cell r="L22" t="str">
            <v>SE F64</v>
          </cell>
        </row>
        <row r="23">
          <cell r="A23">
            <v>67.010000000000005</v>
          </cell>
          <cell r="B23" t="str">
            <v>NON</v>
          </cell>
          <cell r="C23" t="str">
            <v>U15 M73</v>
          </cell>
          <cell r="D23" t="str">
            <v>U17 M73</v>
          </cell>
          <cell r="E23" t="str">
            <v>U20 M73</v>
          </cell>
          <cell r="F23" t="str">
            <v>SE M73</v>
          </cell>
          <cell r="G23">
            <v>64.010000000000005</v>
          </cell>
          <cell r="H23" t="str">
            <v>NON</v>
          </cell>
          <cell r="I23" t="str">
            <v>U15 F71</v>
          </cell>
          <cell r="J23" t="str">
            <v>U17 F71</v>
          </cell>
          <cell r="K23" t="str">
            <v>U20 F71</v>
          </cell>
          <cell r="L23" t="str">
            <v>SE F71</v>
          </cell>
        </row>
        <row r="24">
          <cell r="A24">
            <v>73.010000000000005</v>
          </cell>
          <cell r="B24" t="str">
            <v>NON</v>
          </cell>
          <cell r="C24" t="str">
            <v>U15 M81</v>
          </cell>
          <cell r="D24" t="str">
            <v>U17 M81</v>
          </cell>
          <cell r="E24" t="str">
            <v>U20 M81</v>
          </cell>
          <cell r="F24" t="str">
            <v>SE M81</v>
          </cell>
          <cell r="G24">
            <v>71.010000000000005</v>
          </cell>
          <cell r="H24" t="str">
            <v>NON</v>
          </cell>
          <cell r="I24" t="str">
            <v>U15 F76</v>
          </cell>
          <cell r="J24" t="str">
            <v>U17 F76</v>
          </cell>
          <cell r="K24" t="str">
            <v>U20 F76</v>
          </cell>
          <cell r="L24" t="str">
            <v>SE F76</v>
          </cell>
        </row>
        <row r="25">
          <cell r="A25">
            <v>81.010000000000005</v>
          </cell>
          <cell r="B25" t="str">
            <v>NON</v>
          </cell>
          <cell r="C25" t="str">
            <v>U15 M89</v>
          </cell>
          <cell r="D25" t="str">
            <v>U17 M89</v>
          </cell>
          <cell r="E25" t="str">
            <v>U20 M89</v>
          </cell>
          <cell r="F25" t="str">
            <v>SE M89</v>
          </cell>
          <cell r="G25">
            <v>76.010000000000005</v>
          </cell>
          <cell r="H25" t="str">
            <v>NON</v>
          </cell>
          <cell r="I25" t="str">
            <v>U15 F81</v>
          </cell>
          <cell r="J25" t="str">
            <v>U17 F81</v>
          </cell>
          <cell r="K25" t="str">
            <v>U20 F81</v>
          </cell>
          <cell r="L25" t="str">
            <v>SE F81</v>
          </cell>
        </row>
        <row r="26">
          <cell r="A26">
            <v>89.01</v>
          </cell>
          <cell r="B26" t="str">
            <v>NON</v>
          </cell>
          <cell r="C26" t="str">
            <v>U15 M96</v>
          </cell>
          <cell r="D26" t="str">
            <v>U17 M96</v>
          </cell>
          <cell r="E26" t="str">
            <v>U20 M96</v>
          </cell>
          <cell r="F26" t="str">
            <v>SE M96</v>
          </cell>
          <cell r="G26">
            <v>81.010000000000005</v>
          </cell>
          <cell r="H26" t="str">
            <v>NON</v>
          </cell>
          <cell r="I26" t="str">
            <v>U15 F&gt;81</v>
          </cell>
          <cell r="J26" t="str">
            <v>U17 F&gt;81</v>
          </cell>
          <cell r="K26" t="str">
            <v>U20 F87</v>
          </cell>
          <cell r="L26" t="str">
            <v>SE F87</v>
          </cell>
        </row>
        <row r="27">
          <cell r="A27">
            <v>96.01</v>
          </cell>
          <cell r="B27" t="str">
            <v>NON</v>
          </cell>
          <cell r="C27" t="str">
            <v>U15 M102</v>
          </cell>
          <cell r="D27" t="str">
            <v>U17 M102</v>
          </cell>
          <cell r="E27" t="str">
            <v>U20 M102</v>
          </cell>
          <cell r="F27" t="str">
            <v>SE M102</v>
          </cell>
          <cell r="G27">
            <v>87.01</v>
          </cell>
          <cell r="H27" t="str">
            <v>NON</v>
          </cell>
          <cell r="I27" t="str">
            <v>U15 F&gt;81</v>
          </cell>
          <cell r="J27" t="str">
            <v>U17 F&gt;81</v>
          </cell>
          <cell r="K27" t="str">
            <v>U20 F&gt;87</v>
          </cell>
          <cell r="L27" t="str">
            <v>SE F&gt;87</v>
          </cell>
        </row>
        <row r="28">
          <cell r="A28">
            <v>102.01</v>
          </cell>
          <cell r="B28" t="str">
            <v>NON</v>
          </cell>
          <cell r="C28" t="str">
            <v>U15 M&gt;102</v>
          </cell>
          <cell r="D28" t="str">
            <v>U17 M&gt;102</v>
          </cell>
          <cell r="E28" t="str">
            <v>U20 M109</v>
          </cell>
          <cell r="F28" t="str">
            <v>SE M109</v>
          </cell>
          <cell r="G28"/>
          <cell r="H28"/>
          <cell r="I28"/>
          <cell r="J28"/>
          <cell r="K28"/>
          <cell r="L28"/>
        </row>
        <row r="29">
          <cell r="A29">
            <v>109.1</v>
          </cell>
          <cell r="B29" t="str">
            <v>NON</v>
          </cell>
          <cell r="C29" t="str">
            <v>U15 M&gt;102</v>
          </cell>
          <cell r="D29" t="str">
            <v>U17 M&gt;102</v>
          </cell>
          <cell r="E29" t="str">
            <v>U20 M&gt;109</v>
          </cell>
          <cell r="F29" t="str">
            <v>SE M&gt;109</v>
          </cell>
          <cell r="G29"/>
          <cell r="H29"/>
          <cell r="I29"/>
          <cell r="J29"/>
          <cell r="K29"/>
          <cell r="L29"/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VIDUEL (6)"/>
      <sheetName val="-49 -55 -59 FEMININ"/>
      <sheetName val="-89 ET PLUS MASC"/>
      <sheetName val="-61 -73 -81 MASCULINS"/>
      <sheetName val="-64 FEMININ U20 MAS"/>
      <sheetName val="U17 U20 F U15 U17 M"/>
      <sheetName val="Minim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5">
          <cell r="B15" t="str">
            <v>MINIME</v>
          </cell>
          <cell r="C15" t="str">
            <v>CADET</v>
          </cell>
          <cell r="D15" t="str">
            <v>CADET</v>
          </cell>
          <cell r="E15" t="str">
            <v>JUNIOR</v>
          </cell>
          <cell r="F15" t="str">
            <v>SENIOR</v>
          </cell>
          <cell r="H15" t="str">
            <v>MINIME</v>
          </cell>
          <cell r="I15" t="str">
            <v>CADETTE</v>
          </cell>
          <cell r="J15" t="str">
            <v>CADETTE</v>
          </cell>
          <cell r="K15" t="str">
            <v>JUNIOR</v>
          </cell>
          <cell r="L15" t="str">
            <v>SENIOR</v>
          </cell>
        </row>
        <row r="16">
          <cell r="A16">
            <v>10</v>
          </cell>
          <cell r="B16" t="str">
            <v>NON</v>
          </cell>
          <cell r="C16" t="str">
            <v>U15 M49</v>
          </cell>
          <cell r="D16" t="str">
            <v>U17 M49</v>
          </cell>
          <cell r="E16" t="str">
            <v>U20 M55</v>
          </cell>
          <cell r="F16" t="str">
            <v>SE M55</v>
          </cell>
          <cell r="G16">
            <v>10</v>
          </cell>
          <cell r="H16" t="str">
            <v>NON</v>
          </cell>
          <cell r="I16" t="str">
            <v>U15 F40</v>
          </cell>
          <cell r="J16" t="str">
            <v>U17 F40</v>
          </cell>
          <cell r="K16" t="str">
            <v>U20 F45</v>
          </cell>
          <cell r="L16" t="str">
            <v>SE F45</v>
          </cell>
        </row>
        <row r="17">
          <cell r="A17">
            <v>35.01</v>
          </cell>
          <cell r="B17" t="str">
            <v>NON</v>
          </cell>
          <cell r="C17" t="str">
            <v>U15 M49</v>
          </cell>
          <cell r="D17" t="str">
            <v>U17 M49</v>
          </cell>
          <cell r="E17" t="str">
            <v>U20 M55</v>
          </cell>
          <cell r="F17" t="str">
            <v>SE M55</v>
          </cell>
          <cell r="G17">
            <v>35.01</v>
          </cell>
          <cell r="H17" t="str">
            <v>NON</v>
          </cell>
          <cell r="I17" t="str">
            <v>U15 F40</v>
          </cell>
          <cell r="J17" t="str">
            <v>U17 F40</v>
          </cell>
          <cell r="K17" t="str">
            <v>U20 F45</v>
          </cell>
          <cell r="L17" t="str">
            <v>SE F45</v>
          </cell>
        </row>
        <row r="18">
          <cell r="A18">
            <v>40.01</v>
          </cell>
          <cell r="B18" t="str">
            <v>NON</v>
          </cell>
          <cell r="C18" t="str">
            <v>U15 M49</v>
          </cell>
          <cell r="D18" t="str">
            <v>U17 M49</v>
          </cell>
          <cell r="E18" t="str">
            <v>U20 M55</v>
          </cell>
          <cell r="F18" t="str">
            <v>SE M55</v>
          </cell>
          <cell r="G18">
            <v>40.01</v>
          </cell>
          <cell r="H18" t="str">
            <v>NON</v>
          </cell>
          <cell r="I18" t="str">
            <v>U15 F45</v>
          </cell>
          <cell r="J18" t="str">
            <v>U17 F45</v>
          </cell>
          <cell r="K18" t="str">
            <v>U20 F45</v>
          </cell>
          <cell r="L18" t="str">
            <v>SE F45</v>
          </cell>
        </row>
        <row r="19">
          <cell r="A19">
            <v>45.01</v>
          </cell>
          <cell r="B19" t="str">
            <v>NON</v>
          </cell>
          <cell r="C19" t="str">
            <v>U15 M49</v>
          </cell>
          <cell r="D19" t="str">
            <v>U17 M49</v>
          </cell>
          <cell r="E19" t="str">
            <v>U20 M55</v>
          </cell>
          <cell r="F19" t="str">
            <v>SE M55</v>
          </cell>
          <cell r="G19">
            <v>45.01</v>
          </cell>
          <cell r="H19" t="str">
            <v>NON</v>
          </cell>
          <cell r="I19" t="str">
            <v>U15 F49</v>
          </cell>
          <cell r="J19" t="str">
            <v>U17 F49</v>
          </cell>
          <cell r="K19" t="str">
            <v>U20 F49</v>
          </cell>
          <cell r="L19" t="str">
            <v>SE F49</v>
          </cell>
        </row>
        <row r="20">
          <cell r="A20">
            <v>49.01</v>
          </cell>
          <cell r="B20" t="str">
            <v>NON</v>
          </cell>
          <cell r="C20" t="str">
            <v>U15 M55</v>
          </cell>
          <cell r="D20" t="str">
            <v>U17 M55</v>
          </cell>
          <cell r="E20" t="str">
            <v>U20 M55</v>
          </cell>
          <cell r="F20" t="str">
            <v>SE M55</v>
          </cell>
          <cell r="G20">
            <v>49.01</v>
          </cell>
          <cell r="H20" t="str">
            <v>NON</v>
          </cell>
          <cell r="I20" t="str">
            <v>U15 F55</v>
          </cell>
          <cell r="J20" t="str">
            <v>U17 F55</v>
          </cell>
          <cell r="K20" t="str">
            <v>U20 F55</v>
          </cell>
          <cell r="L20" t="str">
            <v>SE F55</v>
          </cell>
        </row>
        <row r="21">
          <cell r="A21">
            <v>55.01</v>
          </cell>
          <cell r="B21" t="str">
            <v>NON</v>
          </cell>
          <cell r="C21" t="str">
            <v>U15 M61</v>
          </cell>
          <cell r="D21" t="str">
            <v>U17 M61</v>
          </cell>
          <cell r="E21" t="str">
            <v>U20 M61</v>
          </cell>
          <cell r="F21" t="str">
            <v>SE M61</v>
          </cell>
          <cell r="G21">
            <v>55.01</v>
          </cell>
          <cell r="H21" t="str">
            <v>NON</v>
          </cell>
          <cell r="I21" t="str">
            <v>U15 F59</v>
          </cell>
          <cell r="J21" t="str">
            <v>U17 F59</v>
          </cell>
          <cell r="K21" t="str">
            <v>U20 F59</v>
          </cell>
          <cell r="L21" t="str">
            <v>SE F59</v>
          </cell>
        </row>
        <row r="22">
          <cell r="A22">
            <v>61.01</v>
          </cell>
          <cell r="B22" t="str">
            <v>NON</v>
          </cell>
          <cell r="C22" t="str">
            <v>U15 M67</v>
          </cell>
          <cell r="D22" t="str">
            <v>U17 M67</v>
          </cell>
          <cell r="E22" t="str">
            <v>U20 M67</v>
          </cell>
          <cell r="F22" t="str">
            <v>SE M67</v>
          </cell>
          <cell r="G22">
            <v>59.01</v>
          </cell>
          <cell r="H22" t="str">
            <v>NON</v>
          </cell>
          <cell r="I22" t="str">
            <v>U15 F64</v>
          </cell>
          <cell r="J22" t="str">
            <v>U17 F64</v>
          </cell>
          <cell r="K22" t="str">
            <v>U20 F64</v>
          </cell>
          <cell r="L22" t="str">
            <v>SE F64</v>
          </cell>
        </row>
        <row r="23">
          <cell r="A23">
            <v>67.010000000000005</v>
          </cell>
          <cell r="B23" t="str">
            <v>NON</v>
          </cell>
          <cell r="C23" t="str">
            <v>U15 M73</v>
          </cell>
          <cell r="D23" t="str">
            <v>U17 M73</v>
          </cell>
          <cell r="E23" t="str">
            <v>U20 M73</v>
          </cell>
          <cell r="F23" t="str">
            <v>SE M73</v>
          </cell>
          <cell r="G23">
            <v>64.010000000000005</v>
          </cell>
          <cell r="H23" t="str">
            <v>NON</v>
          </cell>
          <cell r="I23" t="str">
            <v>U15 F71</v>
          </cell>
          <cell r="J23" t="str">
            <v>U17 F71</v>
          </cell>
          <cell r="K23" t="str">
            <v>U20 F71</v>
          </cell>
          <cell r="L23" t="str">
            <v>SE F71</v>
          </cell>
        </row>
        <row r="24">
          <cell r="A24">
            <v>73.010000000000005</v>
          </cell>
          <cell r="B24" t="str">
            <v>NON</v>
          </cell>
          <cell r="C24" t="str">
            <v>U15 M81</v>
          </cell>
          <cell r="D24" t="str">
            <v>U17 M81</v>
          </cell>
          <cell r="E24" t="str">
            <v>U20 M81</v>
          </cell>
          <cell r="F24" t="str">
            <v>SE M81</v>
          </cell>
          <cell r="G24">
            <v>71.010000000000005</v>
          </cell>
          <cell r="H24" t="str">
            <v>NON</v>
          </cell>
          <cell r="I24" t="str">
            <v>U15 F76</v>
          </cell>
          <cell r="J24" t="str">
            <v>U17 F76</v>
          </cell>
          <cell r="K24" t="str">
            <v>U20 F76</v>
          </cell>
          <cell r="L24" t="str">
            <v>SE F76</v>
          </cell>
        </row>
        <row r="25">
          <cell r="A25">
            <v>81.010000000000005</v>
          </cell>
          <cell r="B25" t="str">
            <v>NON</v>
          </cell>
          <cell r="C25" t="str">
            <v>U15 M89</v>
          </cell>
          <cell r="D25" t="str">
            <v>U17 M89</v>
          </cell>
          <cell r="E25" t="str">
            <v>U20 M89</v>
          </cell>
          <cell r="F25" t="str">
            <v>SE M89</v>
          </cell>
          <cell r="G25">
            <v>76.010000000000005</v>
          </cell>
          <cell r="H25" t="str">
            <v>NON</v>
          </cell>
          <cell r="I25" t="str">
            <v>U15 F81</v>
          </cell>
          <cell r="J25" t="str">
            <v>U17 F81</v>
          </cell>
          <cell r="K25" t="str">
            <v>U20 F81</v>
          </cell>
          <cell r="L25" t="str">
            <v>SE F81</v>
          </cell>
        </row>
        <row r="26">
          <cell r="A26">
            <v>89.01</v>
          </cell>
          <cell r="B26" t="str">
            <v>NON</v>
          </cell>
          <cell r="C26" t="str">
            <v>U15 M96</v>
          </cell>
          <cell r="D26" t="str">
            <v>U17 M96</v>
          </cell>
          <cell r="E26" t="str">
            <v>U20 M96</v>
          </cell>
          <cell r="F26" t="str">
            <v>SE M96</v>
          </cell>
          <cell r="G26">
            <v>81.010000000000005</v>
          </cell>
          <cell r="H26" t="str">
            <v>NON</v>
          </cell>
          <cell r="I26" t="str">
            <v>U15 F&gt;81</v>
          </cell>
          <cell r="J26" t="str">
            <v>U17 F&gt;81</v>
          </cell>
          <cell r="K26" t="str">
            <v>U20 F87</v>
          </cell>
          <cell r="L26" t="str">
            <v>SE F87</v>
          </cell>
        </row>
        <row r="27">
          <cell r="A27">
            <v>96.01</v>
          </cell>
          <cell r="B27" t="str">
            <v>NON</v>
          </cell>
          <cell r="C27" t="str">
            <v>U15 M102</v>
          </cell>
          <cell r="D27" t="str">
            <v>U17 M102</v>
          </cell>
          <cell r="E27" t="str">
            <v>U20 M102</v>
          </cell>
          <cell r="F27" t="str">
            <v>SE M102</v>
          </cell>
          <cell r="G27">
            <v>87.01</v>
          </cell>
          <cell r="H27" t="str">
            <v>NON</v>
          </cell>
          <cell r="I27" t="str">
            <v>U15 F&gt;81</v>
          </cell>
          <cell r="J27" t="str">
            <v>U17 F&gt;81</v>
          </cell>
          <cell r="K27" t="str">
            <v>U20 F&gt;87</v>
          </cell>
          <cell r="L27" t="str">
            <v>SE F&gt;87</v>
          </cell>
        </row>
        <row r="28">
          <cell r="A28">
            <v>102.01</v>
          </cell>
          <cell r="B28" t="str">
            <v>NON</v>
          </cell>
          <cell r="C28" t="str">
            <v>U15 M&gt;102</v>
          </cell>
          <cell r="D28" t="str">
            <v>U17 M&gt;102</v>
          </cell>
          <cell r="E28" t="str">
            <v>U20 M109</v>
          </cell>
          <cell r="F28" t="str">
            <v>SE M109</v>
          </cell>
        </row>
        <row r="29">
          <cell r="A29">
            <v>109.1</v>
          </cell>
          <cell r="B29" t="str">
            <v>NON</v>
          </cell>
          <cell r="C29" t="str">
            <v>U15 M&gt;102</v>
          </cell>
          <cell r="D29" t="str">
            <v>U17 M&gt;102</v>
          </cell>
          <cell r="E29" t="str">
            <v>U20 M&gt;109</v>
          </cell>
          <cell r="F29" t="str">
            <v>SE M&gt;109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VIDUEL"/>
      <sheetName val="Minimas"/>
    </sheetNames>
    <sheetDataSet>
      <sheetData sheetId="0" refreshError="1"/>
      <sheetData sheetId="1" refreshError="1">
        <row r="15">
          <cell r="B15" t="str">
            <v>MINIME</v>
          </cell>
          <cell r="C15" t="str">
            <v>CADET</v>
          </cell>
          <cell r="D15" t="str">
            <v>CADET</v>
          </cell>
          <cell r="E15" t="str">
            <v>JUNIOR</v>
          </cell>
          <cell r="F15" t="str">
            <v>SENIOR</v>
          </cell>
          <cell r="H15" t="str">
            <v>MINIME</v>
          </cell>
          <cell r="I15" t="str">
            <v>CADETTE</v>
          </cell>
          <cell r="J15" t="str">
            <v>CADETTE</v>
          </cell>
          <cell r="K15" t="str">
            <v>JUNIOR</v>
          </cell>
          <cell r="L15" t="str">
            <v>SENIOR</v>
          </cell>
        </row>
        <row r="16">
          <cell r="A16">
            <v>10</v>
          </cell>
          <cell r="B16" t="str">
            <v>NON</v>
          </cell>
          <cell r="C16" t="str">
            <v>U15 M49</v>
          </cell>
          <cell r="D16" t="str">
            <v>U17 M49</v>
          </cell>
          <cell r="E16" t="str">
            <v>U20 M55</v>
          </cell>
          <cell r="F16" t="str">
            <v>SE M55</v>
          </cell>
          <cell r="G16">
            <v>10</v>
          </cell>
          <cell r="H16" t="str">
            <v>NON</v>
          </cell>
          <cell r="I16" t="str">
            <v>U15 F40</v>
          </cell>
          <cell r="J16" t="str">
            <v>U17 F40</v>
          </cell>
          <cell r="K16" t="str">
            <v>U20 F45</v>
          </cell>
          <cell r="L16" t="str">
            <v>SE F45</v>
          </cell>
        </row>
        <row r="17">
          <cell r="A17">
            <v>35.01</v>
          </cell>
          <cell r="B17" t="str">
            <v>NON</v>
          </cell>
          <cell r="C17" t="str">
            <v>U15 M49</v>
          </cell>
          <cell r="D17" t="str">
            <v>U17 M49</v>
          </cell>
          <cell r="E17" t="str">
            <v>U20 M55</v>
          </cell>
          <cell r="F17" t="str">
            <v>SE M55</v>
          </cell>
          <cell r="G17">
            <v>35.01</v>
          </cell>
          <cell r="H17" t="str">
            <v>NON</v>
          </cell>
          <cell r="I17" t="str">
            <v>U15 F40</v>
          </cell>
          <cell r="J17" t="str">
            <v>U17 F40</v>
          </cell>
          <cell r="K17" t="str">
            <v>U20 F45</v>
          </cell>
          <cell r="L17" t="str">
            <v>SE F45</v>
          </cell>
        </row>
        <row r="18">
          <cell r="A18">
            <v>40.01</v>
          </cell>
          <cell r="B18" t="str">
            <v>NON</v>
          </cell>
          <cell r="C18" t="str">
            <v>U15 M49</v>
          </cell>
          <cell r="D18" t="str">
            <v>U17 M49</v>
          </cell>
          <cell r="E18" t="str">
            <v>U20 M55</v>
          </cell>
          <cell r="F18" t="str">
            <v>SE M55</v>
          </cell>
          <cell r="G18">
            <v>40.01</v>
          </cell>
          <cell r="H18" t="str">
            <v>NON</v>
          </cell>
          <cell r="I18" t="str">
            <v>U15 F45</v>
          </cell>
          <cell r="J18" t="str">
            <v>U17 F45</v>
          </cell>
          <cell r="K18" t="str">
            <v>U20 F45</v>
          </cell>
          <cell r="L18" t="str">
            <v>SE F45</v>
          </cell>
        </row>
        <row r="19">
          <cell r="A19">
            <v>45.01</v>
          </cell>
          <cell r="B19" t="str">
            <v>NON</v>
          </cell>
          <cell r="C19" t="str">
            <v>U15 M49</v>
          </cell>
          <cell r="D19" t="str">
            <v>U17 M49</v>
          </cell>
          <cell r="E19" t="str">
            <v>U20 M55</v>
          </cell>
          <cell r="F19" t="str">
            <v>SE M55</v>
          </cell>
          <cell r="G19">
            <v>45.01</v>
          </cell>
          <cell r="H19" t="str">
            <v>NON</v>
          </cell>
          <cell r="I19" t="str">
            <v>U15 F49</v>
          </cell>
          <cell r="J19" t="str">
            <v>U17 F49</v>
          </cell>
          <cell r="K19" t="str">
            <v>U20 F49</v>
          </cell>
          <cell r="L19" t="str">
            <v>SE F49</v>
          </cell>
        </row>
        <row r="20">
          <cell r="A20">
            <v>49.01</v>
          </cell>
          <cell r="B20" t="str">
            <v>NON</v>
          </cell>
          <cell r="C20" t="str">
            <v>U15 M55</v>
          </cell>
          <cell r="D20" t="str">
            <v>U17 M55</v>
          </cell>
          <cell r="E20" t="str">
            <v>U20 M55</v>
          </cell>
          <cell r="F20" t="str">
            <v>SE M55</v>
          </cell>
          <cell r="G20">
            <v>49.01</v>
          </cell>
          <cell r="H20" t="str">
            <v>NON</v>
          </cell>
          <cell r="I20" t="str">
            <v>U15 F55</v>
          </cell>
          <cell r="J20" t="str">
            <v>U17 F55</v>
          </cell>
          <cell r="K20" t="str">
            <v>U20 F55</v>
          </cell>
          <cell r="L20" t="str">
            <v>SE F55</v>
          </cell>
        </row>
        <row r="21">
          <cell r="A21">
            <v>55.01</v>
          </cell>
          <cell r="B21" t="str">
            <v>NON</v>
          </cell>
          <cell r="C21" t="str">
            <v>U15 M61</v>
          </cell>
          <cell r="D21" t="str">
            <v>U17 M61</v>
          </cell>
          <cell r="E21" t="str">
            <v>U20 M61</v>
          </cell>
          <cell r="F21" t="str">
            <v>SE M61</v>
          </cell>
          <cell r="G21">
            <v>55.01</v>
          </cell>
          <cell r="H21" t="str">
            <v>NON</v>
          </cell>
          <cell r="I21" t="str">
            <v>U15 F59</v>
          </cell>
          <cell r="J21" t="str">
            <v>U17 F59</v>
          </cell>
          <cell r="K21" t="str">
            <v>U20 F59</v>
          </cell>
          <cell r="L21" t="str">
            <v>SE F59</v>
          </cell>
        </row>
        <row r="22">
          <cell r="A22">
            <v>61.01</v>
          </cell>
          <cell r="B22" t="str">
            <v>NON</v>
          </cell>
          <cell r="C22" t="str">
            <v>U15 M67</v>
          </cell>
          <cell r="D22" t="str">
            <v>U17 M67</v>
          </cell>
          <cell r="E22" t="str">
            <v>U20 M67</v>
          </cell>
          <cell r="F22" t="str">
            <v>SE M67</v>
          </cell>
          <cell r="G22">
            <v>59.01</v>
          </cell>
          <cell r="H22" t="str">
            <v>NON</v>
          </cell>
          <cell r="I22" t="str">
            <v>U15 F64</v>
          </cell>
          <cell r="J22" t="str">
            <v>U17 F64</v>
          </cell>
          <cell r="K22" t="str">
            <v>U20 F64</v>
          </cell>
          <cell r="L22" t="str">
            <v>SE F64</v>
          </cell>
        </row>
        <row r="23">
          <cell r="A23">
            <v>67.010000000000005</v>
          </cell>
          <cell r="B23" t="str">
            <v>NON</v>
          </cell>
          <cell r="C23" t="str">
            <v>U15 M73</v>
          </cell>
          <cell r="D23" t="str">
            <v>U17 M73</v>
          </cell>
          <cell r="E23" t="str">
            <v>U20 M73</v>
          </cell>
          <cell r="F23" t="str">
            <v>SE M73</v>
          </cell>
          <cell r="G23">
            <v>64.010000000000005</v>
          </cell>
          <cell r="H23" t="str">
            <v>NON</v>
          </cell>
          <cell r="I23" t="str">
            <v>U15 F71</v>
          </cell>
          <cell r="J23" t="str">
            <v>U17 F71</v>
          </cell>
          <cell r="K23" t="str">
            <v>U20 F71</v>
          </cell>
          <cell r="L23" t="str">
            <v>SE F71</v>
          </cell>
        </row>
        <row r="24">
          <cell r="A24">
            <v>73.010000000000005</v>
          </cell>
          <cell r="B24" t="str">
            <v>NON</v>
          </cell>
          <cell r="C24" t="str">
            <v>U15 M81</v>
          </cell>
          <cell r="D24" t="str">
            <v>U17 M81</v>
          </cell>
          <cell r="E24" t="str">
            <v>U20 M81</v>
          </cell>
          <cell r="F24" t="str">
            <v>SE M81</v>
          </cell>
          <cell r="G24">
            <v>71.010000000000005</v>
          </cell>
          <cell r="H24" t="str">
            <v>NON</v>
          </cell>
          <cell r="I24" t="str">
            <v>U15 F76</v>
          </cell>
          <cell r="J24" t="str">
            <v>U17 F76</v>
          </cell>
          <cell r="K24" t="str">
            <v>U20 F76</v>
          </cell>
          <cell r="L24" t="str">
            <v>SE F76</v>
          </cell>
        </row>
        <row r="25">
          <cell r="A25">
            <v>81.010000000000005</v>
          </cell>
          <cell r="B25" t="str">
            <v>NON</v>
          </cell>
          <cell r="C25" t="str">
            <v>U15 M89</v>
          </cell>
          <cell r="D25" t="str">
            <v>U17 M89</v>
          </cell>
          <cell r="E25" t="str">
            <v>U20 M89</v>
          </cell>
          <cell r="F25" t="str">
            <v>SE M89</v>
          </cell>
          <cell r="G25">
            <v>76.010000000000005</v>
          </cell>
          <cell r="H25" t="str">
            <v>NON</v>
          </cell>
          <cell r="I25" t="str">
            <v>U15 F81</v>
          </cell>
          <cell r="J25" t="str">
            <v>U17 F81</v>
          </cell>
          <cell r="K25" t="str">
            <v>U20 F81</v>
          </cell>
          <cell r="L25" t="str">
            <v>SE F81</v>
          </cell>
        </row>
        <row r="26">
          <cell r="A26">
            <v>89.01</v>
          </cell>
          <cell r="B26" t="str">
            <v>NON</v>
          </cell>
          <cell r="C26" t="str">
            <v>U15 M96</v>
          </cell>
          <cell r="D26" t="str">
            <v>U17 M96</v>
          </cell>
          <cell r="E26" t="str">
            <v>U20 M96</v>
          </cell>
          <cell r="F26" t="str">
            <v>SE M96</v>
          </cell>
          <cell r="G26">
            <v>81.010000000000005</v>
          </cell>
          <cell r="H26" t="str">
            <v>NON</v>
          </cell>
          <cell r="I26" t="str">
            <v>U15 F&gt;81</v>
          </cell>
          <cell r="J26" t="str">
            <v>U17 F&gt;81</v>
          </cell>
          <cell r="K26" t="str">
            <v>U20 F87</v>
          </cell>
          <cell r="L26" t="str">
            <v>SE F87</v>
          </cell>
        </row>
        <row r="27">
          <cell r="A27">
            <v>96.01</v>
          </cell>
          <cell r="B27" t="str">
            <v>NON</v>
          </cell>
          <cell r="C27" t="str">
            <v>U15 M102</v>
          </cell>
          <cell r="D27" t="str">
            <v>U17 M102</v>
          </cell>
          <cell r="E27" t="str">
            <v>U20 M102</v>
          </cell>
          <cell r="F27" t="str">
            <v>SE M102</v>
          </cell>
          <cell r="G27">
            <v>87.01</v>
          </cell>
          <cell r="H27" t="str">
            <v>NON</v>
          </cell>
          <cell r="I27" t="str">
            <v>U15 F&gt;81</v>
          </cell>
          <cell r="J27" t="str">
            <v>U17 F&gt;81</v>
          </cell>
          <cell r="K27" t="str">
            <v>U20 F&gt;87</v>
          </cell>
          <cell r="L27" t="str">
            <v>SE F&gt;87</v>
          </cell>
        </row>
        <row r="28">
          <cell r="A28">
            <v>102.01</v>
          </cell>
          <cell r="B28" t="str">
            <v>NON</v>
          </cell>
          <cell r="C28" t="str">
            <v>U15 M&gt;102</v>
          </cell>
          <cell r="D28" t="str">
            <v>U17 M&gt;102</v>
          </cell>
          <cell r="E28" t="str">
            <v>U20 M109</v>
          </cell>
          <cell r="F28" t="str">
            <v>SE M109</v>
          </cell>
        </row>
        <row r="29">
          <cell r="A29">
            <v>109.1</v>
          </cell>
          <cell r="B29" t="str">
            <v>NON</v>
          </cell>
          <cell r="C29" t="str">
            <v>U15 M&gt;102</v>
          </cell>
          <cell r="D29" t="str">
            <v>U17 M&gt;102</v>
          </cell>
          <cell r="E29" t="str">
            <v>U20 M&gt;109</v>
          </cell>
          <cell r="F29" t="str">
            <v>SE M&gt;109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VIDUEL"/>
      <sheetName val="Minimas"/>
    </sheetNames>
    <sheetDataSet>
      <sheetData sheetId="0" refreshError="1"/>
      <sheetData sheetId="1">
        <row r="15">
          <cell r="B15" t="str">
            <v>MINIME</v>
          </cell>
          <cell r="C15" t="str">
            <v>CADET</v>
          </cell>
          <cell r="D15" t="str">
            <v>CADET</v>
          </cell>
          <cell r="E15" t="str">
            <v>JUNIOR</v>
          </cell>
          <cell r="F15" t="str">
            <v>SENIOR</v>
          </cell>
          <cell r="H15" t="str">
            <v>MINIME</v>
          </cell>
          <cell r="I15" t="str">
            <v>CADETTE</v>
          </cell>
          <cell r="J15" t="str">
            <v>CADETTE</v>
          </cell>
          <cell r="K15" t="str">
            <v>JUNIOR</v>
          </cell>
          <cell r="L15" t="str">
            <v>SENIOR</v>
          </cell>
        </row>
        <row r="16">
          <cell r="A16">
            <v>10</v>
          </cell>
          <cell r="B16" t="str">
            <v>NON</v>
          </cell>
          <cell r="C16" t="str">
            <v>U15 M49</v>
          </cell>
          <cell r="D16" t="str">
            <v>U17 M49</v>
          </cell>
          <cell r="E16" t="str">
            <v>U20 M55</v>
          </cell>
          <cell r="F16" t="str">
            <v>SE M55</v>
          </cell>
          <cell r="G16">
            <v>10</v>
          </cell>
          <cell r="H16" t="str">
            <v>NON</v>
          </cell>
          <cell r="I16" t="str">
            <v>U15 F40</v>
          </cell>
          <cell r="J16" t="str">
            <v>U17 F40</v>
          </cell>
          <cell r="K16" t="str">
            <v>U20 F45</v>
          </cell>
          <cell r="L16" t="str">
            <v>SE F45</v>
          </cell>
        </row>
        <row r="17">
          <cell r="A17">
            <v>35.01</v>
          </cell>
          <cell r="B17" t="str">
            <v>NON</v>
          </cell>
          <cell r="C17" t="str">
            <v>U15 M49</v>
          </cell>
          <cell r="D17" t="str">
            <v>U17 M49</v>
          </cell>
          <cell r="E17" t="str">
            <v>U20 M55</v>
          </cell>
          <cell r="F17" t="str">
            <v>SE M55</v>
          </cell>
          <cell r="G17">
            <v>35.01</v>
          </cell>
          <cell r="H17" t="str">
            <v>NON</v>
          </cell>
          <cell r="I17" t="str">
            <v>U15 F40</v>
          </cell>
          <cell r="J17" t="str">
            <v>U17 F40</v>
          </cell>
          <cell r="K17" t="str">
            <v>U20 F45</v>
          </cell>
          <cell r="L17" t="str">
            <v>SE F45</v>
          </cell>
        </row>
        <row r="18">
          <cell r="A18">
            <v>40.01</v>
          </cell>
          <cell r="B18" t="str">
            <v>NON</v>
          </cell>
          <cell r="C18" t="str">
            <v>U15 M49</v>
          </cell>
          <cell r="D18" t="str">
            <v>U17 M49</v>
          </cell>
          <cell r="E18" t="str">
            <v>U20 M55</v>
          </cell>
          <cell r="F18" t="str">
            <v>SE M55</v>
          </cell>
          <cell r="G18">
            <v>40.01</v>
          </cell>
          <cell r="H18" t="str">
            <v>NON</v>
          </cell>
          <cell r="I18" t="str">
            <v>U15 F45</v>
          </cell>
          <cell r="J18" t="str">
            <v>U17 F45</v>
          </cell>
          <cell r="K18" t="str">
            <v>U20 F45</v>
          </cell>
          <cell r="L18" t="str">
            <v>SE F45</v>
          </cell>
        </row>
        <row r="19">
          <cell r="A19">
            <v>45.01</v>
          </cell>
          <cell r="B19" t="str">
            <v>NON</v>
          </cell>
          <cell r="C19" t="str">
            <v>U15 M49</v>
          </cell>
          <cell r="D19" t="str">
            <v>U17 M49</v>
          </cell>
          <cell r="E19" t="str">
            <v>U20 M55</v>
          </cell>
          <cell r="F19" t="str">
            <v>SE M55</v>
          </cell>
          <cell r="G19">
            <v>45.01</v>
          </cell>
          <cell r="H19" t="str">
            <v>NON</v>
          </cell>
          <cell r="I19" t="str">
            <v>U15 F49</v>
          </cell>
          <cell r="J19" t="str">
            <v>U17 F49</v>
          </cell>
          <cell r="K19" t="str">
            <v>U20 F49</v>
          </cell>
          <cell r="L19" t="str">
            <v>SE F49</v>
          </cell>
        </row>
        <row r="20">
          <cell r="A20">
            <v>49.01</v>
          </cell>
          <cell r="B20" t="str">
            <v>NON</v>
          </cell>
          <cell r="C20" t="str">
            <v>U15 M55</v>
          </cell>
          <cell r="D20" t="str">
            <v>U17 M55</v>
          </cell>
          <cell r="E20" t="str">
            <v>U20 M55</v>
          </cell>
          <cell r="F20" t="str">
            <v>SE M55</v>
          </cell>
          <cell r="G20">
            <v>49.01</v>
          </cell>
          <cell r="H20" t="str">
            <v>NON</v>
          </cell>
          <cell r="I20" t="str">
            <v>U15 F55</v>
          </cell>
          <cell r="J20" t="str">
            <v>U17 F55</v>
          </cell>
          <cell r="K20" t="str">
            <v>U20 F55</v>
          </cell>
          <cell r="L20" t="str">
            <v>SE F55</v>
          </cell>
        </row>
        <row r="21">
          <cell r="A21">
            <v>55.01</v>
          </cell>
          <cell r="B21" t="str">
            <v>NON</v>
          </cell>
          <cell r="C21" t="str">
            <v>U15 M61</v>
          </cell>
          <cell r="D21" t="str">
            <v>U17 M61</v>
          </cell>
          <cell r="E21" t="str">
            <v>U20 M61</v>
          </cell>
          <cell r="F21" t="str">
            <v>SE M61</v>
          </cell>
          <cell r="G21">
            <v>55.01</v>
          </cell>
          <cell r="H21" t="str">
            <v>NON</v>
          </cell>
          <cell r="I21" t="str">
            <v>U15 F59</v>
          </cell>
          <cell r="J21" t="str">
            <v>U17 F59</v>
          </cell>
          <cell r="K21" t="str">
            <v>U20 F59</v>
          </cell>
          <cell r="L21" t="str">
            <v>SE F59</v>
          </cell>
        </row>
        <row r="22">
          <cell r="A22">
            <v>61.01</v>
          </cell>
          <cell r="B22" t="str">
            <v>NON</v>
          </cell>
          <cell r="C22" t="str">
            <v>U15 M67</v>
          </cell>
          <cell r="D22" t="str">
            <v>U17 M67</v>
          </cell>
          <cell r="E22" t="str">
            <v>U20 M67</v>
          </cell>
          <cell r="F22" t="str">
            <v>SE M67</v>
          </cell>
          <cell r="G22">
            <v>59.01</v>
          </cell>
          <cell r="H22" t="str">
            <v>NON</v>
          </cell>
          <cell r="I22" t="str">
            <v>U15 F64</v>
          </cell>
          <cell r="J22" t="str">
            <v>U17 F64</v>
          </cell>
          <cell r="K22" t="str">
            <v>U20 F64</v>
          </cell>
          <cell r="L22" t="str">
            <v>SE F64</v>
          </cell>
        </row>
        <row r="23">
          <cell r="A23">
            <v>67.010000000000005</v>
          </cell>
          <cell r="B23" t="str">
            <v>NON</v>
          </cell>
          <cell r="C23" t="str">
            <v>U15 M73</v>
          </cell>
          <cell r="D23" t="str">
            <v>U17 M73</v>
          </cell>
          <cell r="E23" t="str">
            <v>U20 M73</v>
          </cell>
          <cell r="F23" t="str">
            <v>SE M73</v>
          </cell>
          <cell r="G23">
            <v>64.010000000000005</v>
          </cell>
          <cell r="H23" t="str">
            <v>NON</v>
          </cell>
          <cell r="I23" t="str">
            <v>U15 F71</v>
          </cell>
          <cell r="J23" t="str">
            <v>U17 F71</v>
          </cell>
          <cell r="K23" t="str">
            <v>U20 F71</v>
          </cell>
          <cell r="L23" t="str">
            <v>SE F71</v>
          </cell>
        </row>
        <row r="24">
          <cell r="A24">
            <v>73.010000000000005</v>
          </cell>
          <cell r="B24" t="str">
            <v>NON</v>
          </cell>
          <cell r="C24" t="str">
            <v>U15 M81</v>
          </cell>
          <cell r="D24" t="str">
            <v>U17 M81</v>
          </cell>
          <cell r="E24" t="str">
            <v>U20 M81</v>
          </cell>
          <cell r="F24" t="str">
            <v>SE M81</v>
          </cell>
          <cell r="G24">
            <v>71.010000000000005</v>
          </cell>
          <cell r="H24" t="str">
            <v>NON</v>
          </cell>
          <cell r="I24" t="str">
            <v>U15 F76</v>
          </cell>
          <cell r="J24" t="str">
            <v>U17 F76</v>
          </cell>
          <cell r="K24" t="str">
            <v>U20 F76</v>
          </cell>
          <cell r="L24" t="str">
            <v>SE F76</v>
          </cell>
        </row>
        <row r="25">
          <cell r="A25">
            <v>81.010000000000005</v>
          </cell>
          <cell r="B25" t="str">
            <v>NON</v>
          </cell>
          <cell r="C25" t="str">
            <v>U15 M89</v>
          </cell>
          <cell r="D25" t="str">
            <v>U17 M89</v>
          </cell>
          <cell r="E25" t="str">
            <v>U20 M89</v>
          </cell>
          <cell r="F25" t="str">
            <v>SE M89</v>
          </cell>
          <cell r="G25">
            <v>76.010000000000005</v>
          </cell>
          <cell r="H25" t="str">
            <v>NON</v>
          </cell>
          <cell r="I25" t="str">
            <v>U15 F81</v>
          </cell>
          <cell r="J25" t="str">
            <v>U17 F81</v>
          </cell>
          <cell r="K25" t="str">
            <v>U20 F81</v>
          </cell>
          <cell r="L25" t="str">
            <v>SE F81</v>
          </cell>
        </row>
        <row r="26">
          <cell r="A26">
            <v>89.01</v>
          </cell>
          <cell r="B26" t="str">
            <v>NON</v>
          </cell>
          <cell r="C26" t="str">
            <v>U15 M96</v>
          </cell>
          <cell r="D26" t="str">
            <v>U17 M96</v>
          </cell>
          <cell r="E26" t="str">
            <v>U20 M96</v>
          </cell>
          <cell r="F26" t="str">
            <v>SE M96</v>
          </cell>
          <cell r="G26">
            <v>81.010000000000005</v>
          </cell>
          <cell r="H26" t="str">
            <v>NON</v>
          </cell>
          <cell r="I26" t="str">
            <v>U15 F&gt;81</v>
          </cell>
          <cell r="J26" t="str">
            <v>U17 F&gt;81</v>
          </cell>
          <cell r="K26" t="str">
            <v>U20 F87</v>
          </cell>
          <cell r="L26" t="str">
            <v>SE F87</v>
          </cell>
        </row>
        <row r="27">
          <cell r="A27">
            <v>96.01</v>
          </cell>
          <cell r="B27" t="str">
            <v>NON</v>
          </cell>
          <cell r="C27" t="str">
            <v>U15 M102</v>
          </cell>
          <cell r="D27" t="str">
            <v>U17 M102</v>
          </cell>
          <cell r="E27" t="str">
            <v>U20 M102</v>
          </cell>
          <cell r="F27" t="str">
            <v>SE M102</v>
          </cell>
          <cell r="G27">
            <v>87.01</v>
          </cell>
          <cell r="H27" t="str">
            <v>NON</v>
          </cell>
          <cell r="I27" t="str">
            <v>U15 F&gt;81</v>
          </cell>
          <cell r="J27" t="str">
            <v>U17 F&gt;81</v>
          </cell>
          <cell r="K27" t="str">
            <v>U20 F&gt;87</v>
          </cell>
          <cell r="L27" t="str">
            <v>SE F&gt;87</v>
          </cell>
        </row>
        <row r="28">
          <cell r="A28">
            <v>102.01</v>
          </cell>
          <cell r="B28" t="str">
            <v>NON</v>
          </cell>
          <cell r="C28" t="str">
            <v>U15 M&gt;102</v>
          </cell>
          <cell r="D28" t="str">
            <v>U17 M&gt;102</v>
          </cell>
          <cell r="E28" t="str">
            <v>U20 M109</v>
          </cell>
          <cell r="F28" t="str">
            <v>SE M109</v>
          </cell>
        </row>
        <row r="29">
          <cell r="A29">
            <v>109.1</v>
          </cell>
          <cell r="B29" t="str">
            <v>NON</v>
          </cell>
          <cell r="C29" t="str">
            <v>U15 M&gt;102</v>
          </cell>
          <cell r="D29" t="str">
            <v>U17 M&gt;102</v>
          </cell>
          <cell r="E29" t="str">
            <v>U20 M&gt;109</v>
          </cell>
          <cell r="F29" t="str">
            <v>SE M&gt;109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VIDUEL"/>
      <sheetName val="Minimas"/>
    </sheetNames>
    <sheetDataSet>
      <sheetData sheetId="0"/>
      <sheetData sheetId="1">
        <row r="3">
          <cell r="C3" t="str">
            <v>U15 F40</v>
          </cell>
          <cell r="D3" t="str">
            <v>U15 F45</v>
          </cell>
          <cell r="E3" t="str">
            <v>U15 F49</v>
          </cell>
          <cell r="F3" t="str">
            <v>U15 F55</v>
          </cell>
          <cell r="G3" t="str">
            <v>U15 F59</v>
          </cell>
          <cell r="H3" t="str">
            <v>U15 F64</v>
          </cell>
          <cell r="I3" t="str">
            <v>U15 F71</v>
          </cell>
          <cell r="J3" t="str">
            <v>U15 F76</v>
          </cell>
          <cell r="K3" t="str">
            <v>U15 F81</v>
          </cell>
          <cell r="L3" t="str">
            <v>U15 F&gt;81</v>
          </cell>
          <cell r="M3" t="str">
            <v>U17 F40</v>
          </cell>
          <cell r="N3" t="str">
            <v>U17 F45</v>
          </cell>
          <cell r="O3" t="str">
            <v>U17 F49</v>
          </cell>
          <cell r="P3" t="str">
            <v>U17 F55</v>
          </cell>
          <cell r="Q3" t="str">
            <v>U17 F59</v>
          </cell>
          <cell r="R3" t="str">
            <v>U17 F64</v>
          </cell>
          <cell r="S3" t="str">
            <v>U17 F71</v>
          </cell>
          <cell r="T3" t="str">
            <v>U17 F76</v>
          </cell>
          <cell r="U3" t="str">
            <v>U17 F81</v>
          </cell>
          <cell r="V3" t="str">
            <v>U17 F&gt;81</v>
          </cell>
          <cell r="W3" t="str">
            <v>U20 F45</v>
          </cell>
          <cell r="X3" t="str">
            <v>U20 F49</v>
          </cell>
          <cell r="Y3" t="str">
            <v>U20 F55</v>
          </cell>
          <cell r="Z3" t="str">
            <v>U20 F59</v>
          </cell>
          <cell r="AA3" t="str">
            <v>U20 F64</v>
          </cell>
          <cell r="AB3" t="str">
            <v>U20 F71</v>
          </cell>
          <cell r="AC3" t="str">
            <v>U20 F76</v>
          </cell>
          <cell r="AD3" t="str">
            <v>U20 F81</v>
          </cell>
          <cell r="AE3" t="str">
            <v>U20 F87</v>
          </cell>
          <cell r="AF3" t="str">
            <v>U20 F&gt;87</v>
          </cell>
          <cell r="AG3" t="str">
            <v>SE F45</v>
          </cell>
          <cell r="AH3" t="str">
            <v>SE F49</v>
          </cell>
          <cell r="AI3" t="str">
            <v>SE F55</v>
          </cell>
          <cell r="AJ3" t="str">
            <v>SE F59</v>
          </cell>
          <cell r="AK3" t="str">
            <v>SE F64</v>
          </cell>
          <cell r="AL3" t="str">
            <v>SE F71</v>
          </cell>
          <cell r="AM3" t="str">
            <v>SE F76</v>
          </cell>
          <cell r="AN3" t="str">
            <v>SE F81</v>
          </cell>
          <cell r="AO3" t="str">
            <v>SE F87</v>
          </cell>
          <cell r="AP3" t="str">
            <v>SE F&gt;87</v>
          </cell>
          <cell r="AQ3" t="str">
            <v>U15 M49</v>
          </cell>
          <cell r="AR3" t="str">
            <v>U15 M55</v>
          </cell>
          <cell r="AS3" t="str">
            <v>U15 M61</v>
          </cell>
          <cell r="AT3" t="str">
            <v>U15 M67</v>
          </cell>
          <cell r="AU3" t="str">
            <v>U15 M73</v>
          </cell>
          <cell r="AV3" t="str">
            <v>U15 M81</v>
          </cell>
          <cell r="AW3" t="str">
            <v>U15 M89</v>
          </cell>
          <cell r="AX3" t="str">
            <v>U15 M96</v>
          </cell>
          <cell r="AY3" t="str">
            <v>U15 M102</v>
          </cell>
          <cell r="AZ3" t="str">
            <v>U15 M&gt;102</v>
          </cell>
          <cell r="BA3" t="str">
            <v>U17 M49</v>
          </cell>
          <cell r="BB3" t="str">
            <v>U17 M55</v>
          </cell>
          <cell r="BC3" t="str">
            <v>U17 M61</v>
          </cell>
          <cell r="BD3" t="str">
            <v>U17 M67</v>
          </cell>
          <cell r="BE3" t="str">
            <v>U17 M73</v>
          </cell>
          <cell r="BF3" t="str">
            <v>U17 M81</v>
          </cell>
          <cell r="BG3" t="str">
            <v>U17 M89</v>
          </cell>
          <cell r="BH3" t="str">
            <v>U17 M96</v>
          </cell>
          <cell r="BI3" t="str">
            <v>U17 M102</v>
          </cell>
          <cell r="BJ3" t="str">
            <v>U17 M&gt;102</v>
          </cell>
          <cell r="BK3" t="str">
            <v>U20 M55</v>
          </cell>
          <cell r="BL3" t="str">
            <v>U20 M61</v>
          </cell>
          <cell r="BM3" t="str">
            <v>U20 M67</v>
          </cell>
          <cell r="BN3" t="str">
            <v>U20 M73</v>
          </cell>
          <cell r="BO3" t="str">
            <v>U20 M81</v>
          </cell>
          <cell r="BP3" t="str">
            <v>U20 M89</v>
          </cell>
          <cell r="BQ3" t="str">
            <v>U20 M96</v>
          </cell>
          <cell r="BR3" t="str">
            <v>U20 M102</v>
          </cell>
          <cell r="BS3" t="str">
            <v>U20 M109</v>
          </cell>
          <cell r="BT3" t="str">
            <v>U20 M&gt;109</v>
          </cell>
          <cell r="BU3" t="str">
            <v>SE M55</v>
          </cell>
          <cell r="BV3" t="str">
            <v>SE M61</v>
          </cell>
          <cell r="BW3" t="str">
            <v>SE M67</v>
          </cell>
          <cell r="BX3" t="str">
            <v>SE M73</v>
          </cell>
          <cell r="BY3" t="str">
            <v>SE M81</v>
          </cell>
          <cell r="BZ3" t="str">
            <v>SE M89</v>
          </cell>
          <cell r="CA3" t="str">
            <v>SE M96</v>
          </cell>
          <cell r="CB3" t="str">
            <v>SE M102</v>
          </cell>
          <cell r="CC3" t="str">
            <v>SE M109</v>
          </cell>
          <cell r="CD3" t="str">
            <v>SE M&gt;109</v>
          </cell>
        </row>
        <row r="4">
          <cell r="C4">
            <v>20</v>
          </cell>
          <cell r="D4">
            <v>25</v>
          </cell>
          <cell r="E4">
            <v>30</v>
          </cell>
          <cell r="F4">
            <v>35</v>
          </cell>
          <cell r="G4">
            <v>40</v>
          </cell>
          <cell r="H4">
            <v>45</v>
          </cell>
          <cell r="I4">
            <v>50</v>
          </cell>
          <cell r="J4">
            <v>55</v>
          </cell>
          <cell r="K4">
            <v>57</v>
          </cell>
          <cell r="L4">
            <v>60</v>
          </cell>
          <cell r="M4">
            <v>30</v>
          </cell>
          <cell r="N4">
            <v>35</v>
          </cell>
          <cell r="O4">
            <v>40</v>
          </cell>
          <cell r="P4">
            <v>45</v>
          </cell>
          <cell r="Q4">
            <v>50</v>
          </cell>
          <cell r="R4">
            <v>55</v>
          </cell>
          <cell r="S4">
            <v>60</v>
          </cell>
          <cell r="T4">
            <v>65</v>
          </cell>
          <cell r="U4">
            <v>67</v>
          </cell>
          <cell r="V4">
            <v>70</v>
          </cell>
          <cell r="W4">
            <v>40</v>
          </cell>
          <cell r="X4">
            <v>45</v>
          </cell>
          <cell r="Y4">
            <v>50</v>
          </cell>
          <cell r="Z4">
            <v>55</v>
          </cell>
          <cell r="AA4">
            <v>60</v>
          </cell>
          <cell r="AB4">
            <v>65</v>
          </cell>
          <cell r="AC4">
            <v>70</v>
          </cell>
          <cell r="AD4">
            <v>75</v>
          </cell>
          <cell r="AE4">
            <v>77</v>
          </cell>
          <cell r="AF4">
            <v>80</v>
          </cell>
          <cell r="AG4">
            <v>50</v>
          </cell>
          <cell r="AH4">
            <v>55</v>
          </cell>
          <cell r="AI4">
            <v>60</v>
          </cell>
          <cell r="AJ4">
            <v>65</v>
          </cell>
          <cell r="AK4">
            <v>70</v>
          </cell>
          <cell r="AL4">
            <v>75</v>
          </cell>
          <cell r="AM4">
            <v>80</v>
          </cell>
          <cell r="AN4">
            <v>85</v>
          </cell>
          <cell r="AO4">
            <v>87</v>
          </cell>
          <cell r="AP4">
            <v>90</v>
          </cell>
          <cell r="AQ4">
            <v>40</v>
          </cell>
          <cell r="AR4">
            <v>55</v>
          </cell>
          <cell r="AS4">
            <v>65</v>
          </cell>
          <cell r="AT4">
            <v>75</v>
          </cell>
          <cell r="AU4">
            <v>80</v>
          </cell>
          <cell r="AV4">
            <v>85</v>
          </cell>
          <cell r="AW4">
            <v>90</v>
          </cell>
          <cell r="AX4">
            <v>95</v>
          </cell>
          <cell r="AY4">
            <v>100</v>
          </cell>
          <cell r="AZ4">
            <v>105</v>
          </cell>
          <cell r="BA4">
            <v>50</v>
          </cell>
          <cell r="BB4">
            <v>65</v>
          </cell>
          <cell r="BC4">
            <v>80</v>
          </cell>
          <cell r="BD4">
            <v>90</v>
          </cell>
          <cell r="BE4">
            <v>100</v>
          </cell>
          <cell r="BF4">
            <v>110</v>
          </cell>
          <cell r="BG4">
            <v>115</v>
          </cell>
          <cell r="BH4">
            <v>120</v>
          </cell>
          <cell r="BI4">
            <v>125</v>
          </cell>
          <cell r="BJ4">
            <v>130</v>
          </cell>
          <cell r="BK4">
            <v>80</v>
          </cell>
          <cell r="BL4">
            <v>95</v>
          </cell>
          <cell r="BM4">
            <v>105</v>
          </cell>
          <cell r="BN4">
            <v>120</v>
          </cell>
          <cell r="BO4">
            <v>130</v>
          </cell>
          <cell r="BP4">
            <v>135</v>
          </cell>
          <cell r="BQ4">
            <v>140</v>
          </cell>
          <cell r="BR4">
            <v>145</v>
          </cell>
          <cell r="BS4">
            <v>150</v>
          </cell>
          <cell r="BT4">
            <v>155</v>
          </cell>
          <cell r="BU4">
            <v>95</v>
          </cell>
          <cell r="BV4">
            <v>110</v>
          </cell>
          <cell r="BW4">
            <v>125</v>
          </cell>
          <cell r="BX4">
            <v>135</v>
          </cell>
          <cell r="BY4">
            <v>145</v>
          </cell>
          <cell r="BZ4">
            <v>150</v>
          </cell>
          <cell r="CA4">
            <v>155</v>
          </cell>
          <cell r="CB4">
            <v>160</v>
          </cell>
          <cell r="CC4">
            <v>165</v>
          </cell>
          <cell r="CD4">
            <v>170</v>
          </cell>
        </row>
        <row r="5">
          <cell r="C5">
            <v>25</v>
          </cell>
          <cell r="D5">
            <v>35</v>
          </cell>
          <cell r="E5">
            <v>40</v>
          </cell>
          <cell r="F5">
            <v>45</v>
          </cell>
          <cell r="G5">
            <v>50</v>
          </cell>
          <cell r="H5">
            <v>55</v>
          </cell>
          <cell r="I5">
            <v>60</v>
          </cell>
          <cell r="J5">
            <v>65</v>
          </cell>
          <cell r="K5">
            <v>67</v>
          </cell>
          <cell r="L5">
            <v>70</v>
          </cell>
          <cell r="M5">
            <v>35</v>
          </cell>
          <cell r="N5">
            <v>42</v>
          </cell>
          <cell r="O5">
            <v>50</v>
          </cell>
          <cell r="P5">
            <v>55</v>
          </cell>
          <cell r="Q5">
            <v>60</v>
          </cell>
          <cell r="R5">
            <v>65</v>
          </cell>
          <cell r="S5">
            <v>70</v>
          </cell>
          <cell r="T5">
            <v>75</v>
          </cell>
          <cell r="U5">
            <v>77</v>
          </cell>
          <cell r="V5">
            <v>80</v>
          </cell>
          <cell r="W5">
            <v>50</v>
          </cell>
          <cell r="X5">
            <v>55</v>
          </cell>
          <cell r="Y5">
            <v>62</v>
          </cell>
          <cell r="Z5">
            <v>70</v>
          </cell>
          <cell r="AA5">
            <v>75</v>
          </cell>
          <cell r="AB5">
            <v>80</v>
          </cell>
          <cell r="AC5">
            <v>85</v>
          </cell>
          <cell r="AD5">
            <v>90</v>
          </cell>
          <cell r="AE5">
            <v>92</v>
          </cell>
          <cell r="AF5">
            <v>95</v>
          </cell>
          <cell r="AG5">
            <v>60</v>
          </cell>
          <cell r="AH5">
            <v>67</v>
          </cell>
          <cell r="AI5">
            <v>75</v>
          </cell>
          <cell r="AJ5">
            <v>80</v>
          </cell>
          <cell r="AK5">
            <v>85</v>
          </cell>
          <cell r="AL5">
            <v>90</v>
          </cell>
          <cell r="AM5">
            <v>95</v>
          </cell>
          <cell r="AN5">
            <v>100</v>
          </cell>
          <cell r="AO5">
            <v>102</v>
          </cell>
          <cell r="AP5">
            <v>105</v>
          </cell>
          <cell r="AQ5">
            <v>55</v>
          </cell>
          <cell r="AR5">
            <v>70</v>
          </cell>
          <cell r="AS5">
            <v>80</v>
          </cell>
          <cell r="AT5">
            <v>95</v>
          </cell>
          <cell r="AU5">
            <v>100</v>
          </cell>
          <cell r="AV5">
            <v>105</v>
          </cell>
          <cell r="AW5">
            <v>110</v>
          </cell>
          <cell r="AX5">
            <v>115</v>
          </cell>
          <cell r="AY5">
            <v>120</v>
          </cell>
          <cell r="AZ5">
            <v>125</v>
          </cell>
          <cell r="BA5">
            <v>65</v>
          </cell>
          <cell r="BB5">
            <v>85</v>
          </cell>
          <cell r="BC5">
            <v>100</v>
          </cell>
          <cell r="BD5">
            <v>110</v>
          </cell>
          <cell r="BE5">
            <v>120</v>
          </cell>
          <cell r="BF5">
            <v>130</v>
          </cell>
          <cell r="BG5">
            <v>135</v>
          </cell>
          <cell r="BH5">
            <v>140</v>
          </cell>
          <cell r="BI5">
            <v>145</v>
          </cell>
          <cell r="BJ5">
            <v>150</v>
          </cell>
          <cell r="BK5">
            <v>100</v>
          </cell>
          <cell r="BL5">
            <v>115</v>
          </cell>
          <cell r="BM5">
            <v>125</v>
          </cell>
          <cell r="BN5">
            <v>140</v>
          </cell>
          <cell r="BO5">
            <v>150</v>
          </cell>
          <cell r="BP5">
            <v>160</v>
          </cell>
          <cell r="BQ5">
            <v>165</v>
          </cell>
          <cell r="BR5">
            <v>170</v>
          </cell>
          <cell r="BS5">
            <v>175</v>
          </cell>
          <cell r="BT5">
            <v>180</v>
          </cell>
          <cell r="BU5">
            <v>115</v>
          </cell>
          <cell r="BV5">
            <v>130</v>
          </cell>
          <cell r="BW5">
            <v>145</v>
          </cell>
          <cell r="BX5">
            <v>160</v>
          </cell>
          <cell r="BY5">
            <v>170</v>
          </cell>
          <cell r="BZ5">
            <v>175</v>
          </cell>
          <cell r="CA5">
            <v>180</v>
          </cell>
          <cell r="CB5">
            <v>185</v>
          </cell>
          <cell r="CC5">
            <v>190</v>
          </cell>
          <cell r="CD5">
            <v>195</v>
          </cell>
        </row>
        <row r="6">
          <cell r="C6">
            <v>35</v>
          </cell>
          <cell r="D6">
            <v>45</v>
          </cell>
          <cell r="E6">
            <v>50</v>
          </cell>
          <cell r="F6">
            <v>57</v>
          </cell>
          <cell r="G6">
            <v>62</v>
          </cell>
          <cell r="H6">
            <v>67</v>
          </cell>
          <cell r="I6">
            <v>72</v>
          </cell>
          <cell r="J6">
            <v>75</v>
          </cell>
          <cell r="K6">
            <v>77</v>
          </cell>
          <cell r="L6">
            <v>80</v>
          </cell>
          <cell r="M6">
            <v>45</v>
          </cell>
          <cell r="N6">
            <v>50</v>
          </cell>
          <cell r="O6">
            <v>57</v>
          </cell>
          <cell r="P6">
            <v>65</v>
          </cell>
          <cell r="Q6">
            <v>70</v>
          </cell>
          <cell r="R6">
            <v>75</v>
          </cell>
          <cell r="S6">
            <v>80</v>
          </cell>
          <cell r="T6">
            <v>85</v>
          </cell>
          <cell r="U6">
            <v>90</v>
          </cell>
          <cell r="V6">
            <v>95</v>
          </cell>
          <cell r="W6">
            <v>60</v>
          </cell>
          <cell r="X6">
            <v>65</v>
          </cell>
          <cell r="Y6">
            <v>75</v>
          </cell>
          <cell r="Z6">
            <v>82</v>
          </cell>
          <cell r="AA6">
            <v>90</v>
          </cell>
          <cell r="AB6">
            <v>95</v>
          </cell>
          <cell r="AC6">
            <v>100</v>
          </cell>
          <cell r="AD6">
            <v>105</v>
          </cell>
          <cell r="AE6">
            <v>107</v>
          </cell>
          <cell r="AF6">
            <v>110</v>
          </cell>
          <cell r="AG6">
            <v>70</v>
          </cell>
          <cell r="AH6">
            <v>80</v>
          </cell>
          <cell r="AI6">
            <v>87</v>
          </cell>
          <cell r="AJ6">
            <v>92</v>
          </cell>
          <cell r="AK6">
            <v>100</v>
          </cell>
          <cell r="AL6">
            <v>107</v>
          </cell>
          <cell r="AM6">
            <v>115</v>
          </cell>
          <cell r="AN6">
            <v>120</v>
          </cell>
          <cell r="AO6">
            <v>122</v>
          </cell>
          <cell r="AP6">
            <v>125</v>
          </cell>
          <cell r="AQ6">
            <v>70</v>
          </cell>
          <cell r="AR6">
            <v>85</v>
          </cell>
          <cell r="AS6">
            <v>100</v>
          </cell>
          <cell r="AT6">
            <v>110</v>
          </cell>
          <cell r="AU6">
            <v>120</v>
          </cell>
          <cell r="AV6">
            <v>130</v>
          </cell>
          <cell r="AW6">
            <v>135</v>
          </cell>
          <cell r="AX6">
            <v>140</v>
          </cell>
          <cell r="AY6">
            <v>145</v>
          </cell>
          <cell r="AZ6">
            <v>150</v>
          </cell>
          <cell r="BA6">
            <v>80</v>
          </cell>
          <cell r="BB6">
            <v>100</v>
          </cell>
          <cell r="BC6">
            <v>120</v>
          </cell>
          <cell r="BD6">
            <v>130</v>
          </cell>
          <cell r="BE6">
            <v>140</v>
          </cell>
          <cell r="BF6">
            <v>150</v>
          </cell>
          <cell r="BG6">
            <v>160</v>
          </cell>
          <cell r="BH6">
            <v>165</v>
          </cell>
          <cell r="BI6">
            <v>170</v>
          </cell>
          <cell r="BJ6">
            <v>175</v>
          </cell>
          <cell r="BK6">
            <v>115</v>
          </cell>
          <cell r="BL6">
            <v>130</v>
          </cell>
          <cell r="BM6">
            <v>150</v>
          </cell>
          <cell r="BN6">
            <v>160</v>
          </cell>
          <cell r="BO6">
            <v>170</v>
          </cell>
          <cell r="BP6">
            <v>180</v>
          </cell>
          <cell r="BQ6">
            <v>185</v>
          </cell>
          <cell r="BR6">
            <v>190</v>
          </cell>
          <cell r="BS6">
            <v>195</v>
          </cell>
          <cell r="BT6">
            <v>200</v>
          </cell>
          <cell r="BU6">
            <v>130</v>
          </cell>
          <cell r="BV6">
            <v>150</v>
          </cell>
          <cell r="BW6">
            <v>170</v>
          </cell>
          <cell r="BX6">
            <v>185</v>
          </cell>
          <cell r="BY6">
            <v>195</v>
          </cell>
          <cell r="BZ6">
            <v>200</v>
          </cell>
          <cell r="CA6">
            <v>205</v>
          </cell>
          <cell r="CB6">
            <v>210</v>
          </cell>
          <cell r="CC6">
            <v>215</v>
          </cell>
          <cell r="CD6">
            <v>220</v>
          </cell>
        </row>
        <row r="7">
          <cell r="C7">
            <v>45</v>
          </cell>
          <cell r="D7">
            <v>55</v>
          </cell>
          <cell r="E7">
            <v>60</v>
          </cell>
          <cell r="F7">
            <v>67</v>
          </cell>
          <cell r="G7">
            <v>72</v>
          </cell>
          <cell r="H7">
            <v>77</v>
          </cell>
          <cell r="I7">
            <v>82</v>
          </cell>
          <cell r="J7">
            <v>85</v>
          </cell>
          <cell r="K7">
            <v>87</v>
          </cell>
          <cell r="L7">
            <v>90</v>
          </cell>
          <cell r="M7">
            <v>55</v>
          </cell>
          <cell r="N7">
            <v>60</v>
          </cell>
          <cell r="O7">
            <v>67</v>
          </cell>
          <cell r="P7">
            <v>77</v>
          </cell>
          <cell r="Q7">
            <v>82</v>
          </cell>
          <cell r="R7">
            <v>87</v>
          </cell>
          <cell r="S7">
            <v>92</v>
          </cell>
          <cell r="T7">
            <v>97</v>
          </cell>
          <cell r="U7">
            <v>100</v>
          </cell>
          <cell r="V7">
            <v>105</v>
          </cell>
          <cell r="W7">
            <v>70</v>
          </cell>
          <cell r="X7">
            <v>77</v>
          </cell>
          <cell r="Y7">
            <v>87</v>
          </cell>
          <cell r="Z7">
            <v>95</v>
          </cell>
          <cell r="AA7">
            <v>105</v>
          </cell>
          <cell r="AB7">
            <v>110</v>
          </cell>
          <cell r="AC7">
            <v>115</v>
          </cell>
          <cell r="AD7">
            <v>120</v>
          </cell>
          <cell r="AE7">
            <v>122</v>
          </cell>
          <cell r="AF7">
            <v>125</v>
          </cell>
          <cell r="AG7">
            <v>82</v>
          </cell>
          <cell r="AH7">
            <v>92</v>
          </cell>
          <cell r="AI7">
            <v>102</v>
          </cell>
          <cell r="AJ7">
            <v>107</v>
          </cell>
          <cell r="AK7">
            <v>117</v>
          </cell>
          <cell r="AL7">
            <v>122</v>
          </cell>
          <cell r="AM7">
            <v>130</v>
          </cell>
          <cell r="AN7">
            <v>135</v>
          </cell>
          <cell r="AO7">
            <v>137</v>
          </cell>
          <cell r="AP7">
            <v>140</v>
          </cell>
          <cell r="AQ7">
            <v>85</v>
          </cell>
          <cell r="AR7">
            <v>100</v>
          </cell>
          <cell r="AS7">
            <v>115</v>
          </cell>
          <cell r="AT7">
            <v>130</v>
          </cell>
          <cell r="AU7">
            <v>140</v>
          </cell>
          <cell r="AV7">
            <v>150</v>
          </cell>
          <cell r="AW7">
            <v>155</v>
          </cell>
          <cell r="AX7">
            <v>160</v>
          </cell>
          <cell r="AY7">
            <v>165</v>
          </cell>
          <cell r="AZ7">
            <v>170</v>
          </cell>
          <cell r="BA7">
            <v>95</v>
          </cell>
          <cell r="BB7">
            <v>115</v>
          </cell>
          <cell r="BC7">
            <v>135</v>
          </cell>
          <cell r="BD7">
            <v>150</v>
          </cell>
          <cell r="BE7">
            <v>160</v>
          </cell>
          <cell r="BF7">
            <v>170</v>
          </cell>
          <cell r="BG7">
            <v>180</v>
          </cell>
          <cell r="BH7">
            <v>185</v>
          </cell>
          <cell r="BI7">
            <v>190</v>
          </cell>
          <cell r="BJ7">
            <v>195</v>
          </cell>
          <cell r="BK7">
            <v>130</v>
          </cell>
          <cell r="BL7">
            <v>150</v>
          </cell>
          <cell r="BM7">
            <v>170</v>
          </cell>
          <cell r="BN7">
            <v>180</v>
          </cell>
          <cell r="BO7">
            <v>190</v>
          </cell>
          <cell r="BP7">
            <v>200</v>
          </cell>
          <cell r="BQ7">
            <v>210</v>
          </cell>
          <cell r="BR7">
            <v>215</v>
          </cell>
          <cell r="BS7">
            <v>220</v>
          </cell>
          <cell r="BT7">
            <v>225</v>
          </cell>
          <cell r="BU7">
            <v>145</v>
          </cell>
          <cell r="BV7">
            <v>170</v>
          </cell>
          <cell r="BW7">
            <v>195</v>
          </cell>
          <cell r="BX7">
            <v>210</v>
          </cell>
          <cell r="BY7">
            <v>220</v>
          </cell>
          <cell r="BZ7">
            <v>230</v>
          </cell>
          <cell r="CA7">
            <v>235</v>
          </cell>
          <cell r="CB7">
            <v>240</v>
          </cell>
          <cell r="CC7">
            <v>245</v>
          </cell>
          <cell r="CD7">
            <v>250</v>
          </cell>
        </row>
        <row r="8">
          <cell r="C8">
            <v>55</v>
          </cell>
          <cell r="D8">
            <v>65</v>
          </cell>
          <cell r="E8">
            <v>72</v>
          </cell>
          <cell r="F8">
            <v>82</v>
          </cell>
          <cell r="G8">
            <v>87</v>
          </cell>
          <cell r="H8">
            <v>92</v>
          </cell>
          <cell r="I8">
            <v>97</v>
          </cell>
          <cell r="J8">
            <v>100</v>
          </cell>
          <cell r="K8">
            <v>102</v>
          </cell>
          <cell r="L8">
            <v>105</v>
          </cell>
          <cell r="M8">
            <v>68</v>
          </cell>
          <cell r="N8">
            <v>75</v>
          </cell>
          <cell r="O8">
            <v>82</v>
          </cell>
          <cell r="P8">
            <v>92</v>
          </cell>
          <cell r="Q8">
            <v>97</v>
          </cell>
          <cell r="R8">
            <v>102</v>
          </cell>
          <cell r="S8">
            <v>107</v>
          </cell>
          <cell r="T8">
            <v>110</v>
          </cell>
          <cell r="U8">
            <v>112</v>
          </cell>
          <cell r="V8">
            <v>115</v>
          </cell>
          <cell r="W8">
            <v>83</v>
          </cell>
          <cell r="X8">
            <v>90</v>
          </cell>
          <cell r="Y8">
            <v>103</v>
          </cell>
          <cell r="Z8">
            <v>110</v>
          </cell>
          <cell r="AA8">
            <v>118</v>
          </cell>
          <cell r="AB8">
            <v>123</v>
          </cell>
          <cell r="AC8">
            <v>127</v>
          </cell>
          <cell r="AD8">
            <v>132</v>
          </cell>
          <cell r="AE8">
            <v>135</v>
          </cell>
          <cell r="AF8">
            <v>140</v>
          </cell>
          <cell r="AG8">
            <v>95</v>
          </cell>
          <cell r="AH8">
            <v>107</v>
          </cell>
          <cell r="AI8">
            <v>123</v>
          </cell>
          <cell r="AJ8">
            <v>130</v>
          </cell>
          <cell r="AK8">
            <v>137</v>
          </cell>
          <cell r="AL8">
            <v>142</v>
          </cell>
          <cell r="AM8">
            <v>147</v>
          </cell>
          <cell r="AN8">
            <v>150</v>
          </cell>
          <cell r="AO8">
            <v>152</v>
          </cell>
          <cell r="AP8">
            <v>155</v>
          </cell>
          <cell r="AQ8">
            <v>100</v>
          </cell>
          <cell r="AR8">
            <v>115</v>
          </cell>
          <cell r="AS8">
            <v>130</v>
          </cell>
          <cell r="AT8">
            <v>150</v>
          </cell>
          <cell r="AU8">
            <v>160</v>
          </cell>
          <cell r="AV8">
            <v>170</v>
          </cell>
          <cell r="AW8">
            <v>175</v>
          </cell>
          <cell r="AX8">
            <v>180</v>
          </cell>
          <cell r="AY8">
            <v>185</v>
          </cell>
          <cell r="AZ8">
            <v>190</v>
          </cell>
          <cell r="BA8">
            <v>110</v>
          </cell>
          <cell r="BB8">
            <v>130</v>
          </cell>
          <cell r="BC8">
            <v>150</v>
          </cell>
          <cell r="BD8">
            <v>170</v>
          </cell>
          <cell r="BE8">
            <v>180</v>
          </cell>
          <cell r="BF8">
            <v>190</v>
          </cell>
          <cell r="BG8">
            <v>200</v>
          </cell>
          <cell r="BH8">
            <v>205</v>
          </cell>
          <cell r="BI8">
            <v>210</v>
          </cell>
          <cell r="BJ8">
            <v>215</v>
          </cell>
          <cell r="BK8">
            <v>145</v>
          </cell>
          <cell r="BL8">
            <v>170</v>
          </cell>
          <cell r="BM8">
            <v>190</v>
          </cell>
          <cell r="BN8">
            <v>200</v>
          </cell>
          <cell r="BO8">
            <v>215</v>
          </cell>
          <cell r="BP8">
            <v>225</v>
          </cell>
          <cell r="BQ8">
            <v>230</v>
          </cell>
          <cell r="BR8">
            <v>240</v>
          </cell>
          <cell r="BS8">
            <v>245</v>
          </cell>
          <cell r="BT8">
            <v>250</v>
          </cell>
          <cell r="BU8">
            <v>170</v>
          </cell>
          <cell r="BV8">
            <v>195</v>
          </cell>
          <cell r="BW8">
            <v>225</v>
          </cell>
          <cell r="BX8">
            <v>240</v>
          </cell>
          <cell r="BY8">
            <v>250</v>
          </cell>
          <cell r="BZ8">
            <v>260</v>
          </cell>
          <cell r="CA8">
            <v>265</v>
          </cell>
          <cell r="CB8">
            <v>270</v>
          </cell>
          <cell r="CC8">
            <v>275</v>
          </cell>
          <cell r="CD8">
            <v>280</v>
          </cell>
        </row>
        <row r="9">
          <cell r="C9">
            <v>68</v>
          </cell>
          <cell r="D9">
            <v>78</v>
          </cell>
          <cell r="E9">
            <v>85</v>
          </cell>
          <cell r="F9">
            <v>95</v>
          </cell>
          <cell r="G9">
            <v>100</v>
          </cell>
          <cell r="H9">
            <v>105</v>
          </cell>
          <cell r="I9">
            <v>110</v>
          </cell>
          <cell r="J9">
            <v>115</v>
          </cell>
          <cell r="K9">
            <v>117</v>
          </cell>
          <cell r="L9">
            <v>120</v>
          </cell>
          <cell r="M9">
            <v>80</v>
          </cell>
          <cell r="N9">
            <v>88</v>
          </cell>
          <cell r="O9">
            <v>95</v>
          </cell>
          <cell r="P9">
            <v>105</v>
          </cell>
          <cell r="Q9">
            <v>110</v>
          </cell>
          <cell r="R9">
            <v>115</v>
          </cell>
          <cell r="S9">
            <v>120</v>
          </cell>
          <cell r="T9">
            <v>125</v>
          </cell>
          <cell r="U9">
            <v>130</v>
          </cell>
          <cell r="V9">
            <v>135</v>
          </cell>
          <cell r="W9">
            <v>97</v>
          </cell>
          <cell r="X9">
            <v>105</v>
          </cell>
          <cell r="Y9">
            <v>118</v>
          </cell>
          <cell r="Z9">
            <v>125</v>
          </cell>
          <cell r="AA9">
            <v>135</v>
          </cell>
          <cell r="AB9">
            <v>142</v>
          </cell>
          <cell r="AC9">
            <v>147</v>
          </cell>
          <cell r="AD9">
            <v>152</v>
          </cell>
          <cell r="AE9">
            <v>155</v>
          </cell>
          <cell r="AF9">
            <v>160</v>
          </cell>
          <cell r="AG9">
            <v>110</v>
          </cell>
          <cell r="AH9">
            <v>122</v>
          </cell>
          <cell r="AI9">
            <v>138</v>
          </cell>
          <cell r="AJ9">
            <v>145</v>
          </cell>
          <cell r="AK9">
            <v>155</v>
          </cell>
          <cell r="AL9">
            <v>165</v>
          </cell>
          <cell r="AM9">
            <v>170</v>
          </cell>
          <cell r="AN9">
            <v>172</v>
          </cell>
          <cell r="AO9">
            <v>175</v>
          </cell>
          <cell r="AP9">
            <v>180</v>
          </cell>
          <cell r="AQ9">
            <v>115</v>
          </cell>
          <cell r="AR9">
            <v>130</v>
          </cell>
          <cell r="AS9">
            <v>150</v>
          </cell>
          <cell r="AT9">
            <v>170</v>
          </cell>
          <cell r="AU9">
            <v>180</v>
          </cell>
          <cell r="AV9">
            <v>190</v>
          </cell>
          <cell r="AW9">
            <v>200</v>
          </cell>
          <cell r="AX9">
            <v>205</v>
          </cell>
          <cell r="AY9">
            <v>210</v>
          </cell>
          <cell r="AZ9">
            <v>215</v>
          </cell>
          <cell r="BA9">
            <v>125</v>
          </cell>
          <cell r="BB9">
            <v>145</v>
          </cell>
          <cell r="BC9">
            <v>170</v>
          </cell>
          <cell r="BD9">
            <v>190</v>
          </cell>
          <cell r="BE9">
            <v>200</v>
          </cell>
          <cell r="BF9">
            <v>210</v>
          </cell>
          <cell r="BG9">
            <v>220</v>
          </cell>
          <cell r="BH9">
            <v>225</v>
          </cell>
          <cell r="BI9">
            <v>230</v>
          </cell>
          <cell r="BJ9">
            <v>235</v>
          </cell>
          <cell r="BK9">
            <v>170</v>
          </cell>
          <cell r="BL9">
            <v>190</v>
          </cell>
          <cell r="BM9">
            <v>218</v>
          </cell>
          <cell r="BN9">
            <v>230</v>
          </cell>
          <cell r="BO9">
            <v>245</v>
          </cell>
          <cell r="BP9">
            <v>255</v>
          </cell>
          <cell r="BQ9">
            <v>260</v>
          </cell>
          <cell r="BR9">
            <v>270</v>
          </cell>
          <cell r="BS9">
            <v>275</v>
          </cell>
          <cell r="BT9">
            <v>280</v>
          </cell>
          <cell r="BU9">
            <v>190</v>
          </cell>
          <cell r="BV9">
            <v>215</v>
          </cell>
          <cell r="BW9">
            <v>240</v>
          </cell>
          <cell r="BX9">
            <v>260</v>
          </cell>
          <cell r="BY9">
            <v>275</v>
          </cell>
          <cell r="BZ9">
            <v>287</v>
          </cell>
          <cell r="CA9">
            <v>295</v>
          </cell>
          <cell r="CB9">
            <v>302</v>
          </cell>
          <cell r="CC9">
            <v>310</v>
          </cell>
          <cell r="CD9">
            <v>315</v>
          </cell>
        </row>
        <row r="10">
          <cell r="C10">
            <v>80</v>
          </cell>
          <cell r="D10">
            <v>90</v>
          </cell>
          <cell r="E10">
            <v>100</v>
          </cell>
          <cell r="F10">
            <v>110</v>
          </cell>
          <cell r="G10">
            <v>115</v>
          </cell>
          <cell r="H10">
            <v>120</v>
          </cell>
          <cell r="I10">
            <v>125</v>
          </cell>
          <cell r="J10">
            <v>130</v>
          </cell>
          <cell r="K10">
            <v>132</v>
          </cell>
          <cell r="L10">
            <v>135</v>
          </cell>
          <cell r="M10">
            <v>90</v>
          </cell>
          <cell r="N10">
            <v>100</v>
          </cell>
          <cell r="O10">
            <v>110</v>
          </cell>
          <cell r="P10">
            <v>120</v>
          </cell>
          <cell r="Q10">
            <v>125</v>
          </cell>
          <cell r="R10">
            <v>130</v>
          </cell>
          <cell r="S10">
            <v>135</v>
          </cell>
          <cell r="T10">
            <v>140</v>
          </cell>
          <cell r="U10">
            <v>145</v>
          </cell>
          <cell r="V10">
            <v>150</v>
          </cell>
          <cell r="W10">
            <v>110</v>
          </cell>
          <cell r="X10">
            <v>120</v>
          </cell>
          <cell r="Y10">
            <v>138</v>
          </cell>
          <cell r="Z10">
            <v>145</v>
          </cell>
          <cell r="AA10">
            <v>155</v>
          </cell>
          <cell r="AB10">
            <v>162</v>
          </cell>
          <cell r="AC10">
            <v>167</v>
          </cell>
          <cell r="AD10">
            <v>172</v>
          </cell>
          <cell r="AE10">
            <v>175</v>
          </cell>
          <cell r="AF10">
            <v>180</v>
          </cell>
          <cell r="AG10">
            <v>125</v>
          </cell>
          <cell r="AH10">
            <v>140</v>
          </cell>
          <cell r="AI10">
            <v>155</v>
          </cell>
          <cell r="AJ10">
            <v>165</v>
          </cell>
          <cell r="AK10">
            <v>175</v>
          </cell>
          <cell r="AL10">
            <v>185</v>
          </cell>
          <cell r="AM10">
            <v>190</v>
          </cell>
          <cell r="AN10">
            <v>192</v>
          </cell>
          <cell r="AO10">
            <v>195</v>
          </cell>
          <cell r="AP10">
            <v>200</v>
          </cell>
          <cell r="AQ10">
            <v>130</v>
          </cell>
          <cell r="AR10">
            <v>150</v>
          </cell>
          <cell r="AS10">
            <v>170</v>
          </cell>
          <cell r="AT10">
            <v>190</v>
          </cell>
          <cell r="AU10">
            <v>200</v>
          </cell>
          <cell r="AV10">
            <v>210</v>
          </cell>
          <cell r="AW10">
            <v>220</v>
          </cell>
          <cell r="AX10">
            <v>225</v>
          </cell>
          <cell r="AY10">
            <v>230</v>
          </cell>
          <cell r="AZ10">
            <v>235</v>
          </cell>
          <cell r="BA10">
            <v>140</v>
          </cell>
          <cell r="BB10">
            <v>170</v>
          </cell>
          <cell r="BC10">
            <v>190</v>
          </cell>
          <cell r="BD10">
            <v>210</v>
          </cell>
          <cell r="BE10">
            <v>220</v>
          </cell>
          <cell r="BF10">
            <v>230</v>
          </cell>
          <cell r="BG10">
            <v>240</v>
          </cell>
          <cell r="BH10">
            <v>250</v>
          </cell>
          <cell r="BI10">
            <v>255</v>
          </cell>
          <cell r="BJ10">
            <v>260</v>
          </cell>
          <cell r="BK10">
            <v>190</v>
          </cell>
          <cell r="BL10">
            <v>210</v>
          </cell>
          <cell r="BM10">
            <v>240</v>
          </cell>
          <cell r="BN10">
            <v>250</v>
          </cell>
          <cell r="BO10">
            <v>270</v>
          </cell>
          <cell r="BP10">
            <v>285</v>
          </cell>
          <cell r="BQ10">
            <v>290</v>
          </cell>
          <cell r="BR10">
            <v>300</v>
          </cell>
          <cell r="BS10">
            <v>305</v>
          </cell>
          <cell r="BT10">
            <v>310</v>
          </cell>
          <cell r="BU10">
            <v>210</v>
          </cell>
          <cell r="BV10">
            <v>235</v>
          </cell>
          <cell r="BW10">
            <v>260</v>
          </cell>
          <cell r="BX10">
            <v>280</v>
          </cell>
          <cell r="BY10">
            <v>295</v>
          </cell>
          <cell r="BZ10">
            <v>310</v>
          </cell>
          <cell r="CA10">
            <v>320</v>
          </cell>
          <cell r="CB10">
            <v>330</v>
          </cell>
          <cell r="CC10">
            <v>335</v>
          </cell>
          <cell r="CD10">
            <v>340</v>
          </cell>
        </row>
        <row r="11">
          <cell r="C11">
            <v>90</v>
          </cell>
          <cell r="D11">
            <v>105</v>
          </cell>
          <cell r="E11">
            <v>115</v>
          </cell>
          <cell r="F11">
            <v>125</v>
          </cell>
          <cell r="G11">
            <v>130</v>
          </cell>
          <cell r="H11">
            <v>135</v>
          </cell>
          <cell r="I11">
            <v>140</v>
          </cell>
          <cell r="J11">
            <v>145</v>
          </cell>
          <cell r="K11">
            <v>147</v>
          </cell>
          <cell r="L11">
            <v>150</v>
          </cell>
          <cell r="M11">
            <v>105</v>
          </cell>
          <cell r="N11">
            <v>115</v>
          </cell>
          <cell r="O11">
            <v>125</v>
          </cell>
          <cell r="P11">
            <v>135</v>
          </cell>
          <cell r="Q11">
            <v>140</v>
          </cell>
          <cell r="R11">
            <v>145</v>
          </cell>
          <cell r="S11">
            <v>150</v>
          </cell>
          <cell r="T11">
            <v>160</v>
          </cell>
          <cell r="U11">
            <v>165</v>
          </cell>
          <cell r="V11">
            <v>170</v>
          </cell>
          <cell r="W11">
            <v>130</v>
          </cell>
          <cell r="X11">
            <v>140</v>
          </cell>
          <cell r="Y11">
            <v>160</v>
          </cell>
          <cell r="Z11">
            <v>165</v>
          </cell>
          <cell r="AA11">
            <v>175</v>
          </cell>
          <cell r="AB11">
            <v>182</v>
          </cell>
          <cell r="AC11">
            <v>187</v>
          </cell>
          <cell r="AD11">
            <v>192</v>
          </cell>
          <cell r="AE11">
            <v>195</v>
          </cell>
          <cell r="AF11">
            <v>200</v>
          </cell>
          <cell r="AG11">
            <v>145</v>
          </cell>
          <cell r="AH11">
            <v>160</v>
          </cell>
          <cell r="AI11">
            <v>175</v>
          </cell>
          <cell r="AJ11">
            <v>185</v>
          </cell>
          <cell r="AK11">
            <v>195</v>
          </cell>
          <cell r="AL11">
            <v>205</v>
          </cell>
          <cell r="AM11">
            <v>210</v>
          </cell>
          <cell r="AN11">
            <v>212</v>
          </cell>
          <cell r="AO11">
            <v>215</v>
          </cell>
          <cell r="AP11">
            <v>220</v>
          </cell>
          <cell r="AQ11">
            <v>145</v>
          </cell>
          <cell r="AR11">
            <v>170</v>
          </cell>
          <cell r="AS11">
            <v>190</v>
          </cell>
          <cell r="AT11">
            <v>210</v>
          </cell>
          <cell r="AU11">
            <v>220</v>
          </cell>
          <cell r="AV11">
            <v>230</v>
          </cell>
          <cell r="AW11">
            <v>240</v>
          </cell>
          <cell r="AX11">
            <v>245</v>
          </cell>
          <cell r="AY11">
            <v>250</v>
          </cell>
          <cell r="AZ11">
            <v>255</v>
          </cell>
          <cell r="BA11">
            <v>155</v>
          </cell>
          <cell r="BB11">
            <v>190</v>
          </cell>
          <cell r="BC11">
            <v>210</v>
          </cell>
          <cell r="BD11">
            <v>230</v>
          </cell>
          <cell r="BE11">
            <v>240</v>
          </cell>
          <cell r="BF11">
            <v>260</v>
          </cell>
          <cell r="BG11">
            <v>270</v>
          </cell>
          <cell r="BH11">
            <v>280</v>
          </cell>
          <cell r="BI11">
            <v>285</v>
          </cell>
          <cell r="BJ11">
            <v>290</v>
          </cell>
          <cell r="BK11">
            <v>210</v>
          </cell>
          <cell r="BL11">
            <v>230</v>
          </cell>
          <cell r="BM11">
            <v>260</v>
          </cell>
          <cell r="BN11">
            <v>275</v>
          </cell>
          <cell r="BO11">
            <v>295</v>
          </cell>
          <cell r="BP11">
            <v>310</v>
          </cell>
          <cell r="BQ11">
            <v>315</v>
          </cell>
          <cell r="BR11">
            <v>325</v>
          </cell>
          <cell r="BS11">
            <v>330</v>
          </cell>
          <cell r="BT11">
            <v>335</v>
          </cell>
          <cell r="BU11">
            <v>230</v>
          </cell>
          <cell r="BV11">
            <v>260</v>
          </cell>
          <cell r="BW11">
            <v>280</v>
          </cell>
          <cell r="BX11">
            <v>300</v>
          </cell>
          <cell r="BY11">
            <v>320</v>
          </cell>
          <cell r="BZ11">
            <v>330</v>
          </cell>
          <cell r="CA11">
            <v>340</v>
          </cell>
          <cell r="CB11">
            <v>350</v>
          </cell>
          <cell r="CC11">
            <v>360</v>
          </cell>
          <cell r="CD11">
            <v>365</v>
          </cell>
        </row>
        <row r="12">
          <cell r="C12">
            <v>175</v>
          </cell>
          <cell r="D12">
            <v>175</v>
          </cell>
          <cell r="E12">
            <v>175</v>
          </cell>
          <cell r="F12">
            <v>190</v>
          </cell>
          <cell r="G12">
            <v>200</v>
          </cell>
          <cell r="H12">
            <v>210</v>
          </cell>
          <cell r="I12">
            <v>225</v>
          </cell>
          <cell r="J12">
            <v>225</v>
          </cell>
          <cell r="K12">
            <v>230</v>
          </cell>
          <cell r="L12">
            <v>230</v>
          </cell>
          <cell r="M12">
            <v>175</v>
          </cell>
          <cell r="N12">
            <v>175</v>
          </cell>
          <cell r="O12">
            <v>175</v>
          </cell>
          <cell r="P12">
            <v>190</v>
          </cell>
          <cell r="Q12">
            <v>200</v>
          </cell>
          <cell r="R12">
            <v>210</v>
          </cell>
          <cell r="S12">
            <v>225</v>
          </cell>
          <cell r="T12">
            <v>225</v>
          </cell>
          <cell r="U12">
            <v>230</v>
          </cell>
          <cell r="V12">
            <v>230</v>
          </cell>
          <cell r="W12">
            <v>175</v>
          </cell>
          <cell r="X12">
            <v>175</v>
          </cell>
          <cell r="Y12">
            <v>190</v>
          </cell>
          <cell r="Z12">
            <v>200</v>
          </cell>
          <cell r="AA12">
            <v>210</v>
          </cell>
          <cell r="AB12">
            <v>225</v>
          </cell>
          <cell r="AC12">
            <v>225</v>
          </cell>
          <cell r="AD12">
            <v>230</v>
          </cell>
          <cell r="AE12">
            <v>230</v>
          </cell>
          <cell r="AF12">
            <v>235</v>
          </cell>
          <cell r="AG12">
            <v>175</v>
          </cell>
          <cell r="AH12">
            <v>175</v>
          </cell>
          <cell r="AI12">
            <v>190</v>
          </cell>
          <cell r="AJ12">
            <v>200</v>
          </cell>
          <cell r="AK12">
            <v>210</v>
          </cell>
          <cell r="AL12">
            <v>225</v>
          </cell>
          <cell r="AM12">
            <v>225</v>
          </cell>
          <cell r="AN12">
            <v>230</v>
          </cell>
          <cell r="AO12">
            <v>230</v>
          </cell>
          <cell r="AP12">
            <v>235</v>
          </cell>
          <cell r="AQ12">
            <v>275</v>
          </cell>
          <cell r="AR12">
            <v>275</v>
          </cell>
          <cell r="AS12">
            <v>275</v>
          </cell>
          <cell r="AT12">
            <v>295</v>
          </cell>
          <cell r="AU12">
            <v>315</v>
          </cell>
          <cell r="AV12">
            <v>335</v>
          </cell>
          <cell r="AW12">
            <v>360</v>
          </cell>
          <cell r="AX12">
            <v>360</v>
          </cell>
          <cell r="AY12">
            <v>380</v>
          </cell>
          <cell r="AZ12">
            <v>380</v>
          </cell>
          <cell r="BA12">
            <v>275</v>
          </cell>
          <cell r="BB12">
            <v>275</v>
          </cell>
          <cell r="BC12">
            <v>275</v>
          </cell>
          <cell r="BD12">
            <v>295</v>
          </cell>
          <cell r="BE12">
            <v>315</v>
          </cell>
          <cell r="BF12">
            <v>335</v>
          </cell>
          <cell r="BG12">
            <v>360</v>
          </cell>
          <cell r="BH12">
            <v>360</v>
          </cell>
          <cell r="BI12">
            <v>380</v>
          </cell>
          <cell r="BJ12">
            <v>380</v>
          </cell>
          <cell r="BK12">
            <v>275</v>
          </cell>
          <cell r="BL12">
            <v>275</v>
          </cell>
          <cell r="BM12">
            <v>295</v>
          </cell>
          <cell r="BN12">
            <v>315</v>
          </cell>
          <cell r="BO12">
            <v>335</v>
          </cell>
          <cell r="BP12">
            <v>360</v>
          </cell>
          <cell r="BQ12">
            <v>360</v>
          </cell>
          <cell r="BR12">
            <v>380</v>
          </cell>
          <cell r="BS12">
            <v>380</v>
          </cell>
          <cell r="BT12">
            <v>385</v>
          </cell>
          <cell r="BU12">
            <v>275</v>
          </cell>
          <cell r="BV12">
            <v>275</v>
          </cell>
          <cell r="BW12">
            <v>295</v>
          </cell>
          <cell r="BX12">
            <v>315</v>
          </cell>
          <cell r="BY12">
            <v>335</v>
          </cell>
          <cell r="BZ12">
            <v>360</v>
          </cell>
          <cell r="CA12">
            <v>360</v>
          </cell>
          <cell r="CB12">
            <v>380</v>
          </cell>
          <cell r="CC12">
            <v>380</v>
          </cell>
          <cell r="CD12">
            <v>385</v>
          </cell>
        </row>
        <row r="15">
          <cell r="B15" t="str">
            <v>MINIME</v>
          </cell>
          <cell r="C15" t="str">
            <v>CADET</v>
          </cell>
          <cell r="D15" t="str">
            <v>CADET</v>
          </cell>
          <cell r="E15" t="str">
            <v>JUNIOR</v>
          </cell>
          <cell r="F15" t="str">
            <v>SENIOR</v>
          </cell>
          <cell r="H15" t="str">
            <v>MINIME</v>
          </cell>
          <cell r="I15" t="str">
            <v>CADETTE</v>
          </cell>
          <cell r="J15" t="str">
            <v>CADETTE</v>
          </cell>
          <cell r="K15" t="str">
            <v>JUNIOR</v>
          </cell>
          <cell r="L15" t="str">
            <v>SENIOR</v>
          </cell>
        </row>
        <row r="16">
          <cell r="A16">
            <v>10</v>
          </cell>
          <cell r="B16" t="str">
            <v>NON</v>
          </cell>
          <cell r="C16" t="str">
            <v>U15 M49</v>
          </cell>
          <cell r="D16" t="str">
            <v>U17 M49</v>
          </cell>
          <cell r="E16" t="str">
            <v>U20 M55</v>
          </cell>
          <cell r="F16" t="str">
            <v>SE M55</v>
          </cell>
          <cell r="G16">
            <v>10</v>
          </cell>
          <cell r="H16" t="str">
            <v>NON</v>
          </cell>
          <cell r="I16" t="str">
            <v>U15 F40</v>
          </cell>
          <cell r="J16" t="str">
            <v>U17 F40</v>
          </cell>
          <cell r="K16" t="str">
            <v>U20 F45</v>
          </cell>
          <cell r="L16" t="str">
            <v>SE F45</v>
          </cell>
        </row>
        <row r="17">
          <cell r="A17">
            <v>35.01</v>
          </cell>
          <cell r="B17" t="str">
            <v>NON</v>
          </cell>
          <cell r="C17" t="str">
            <v>U15 M49</v>
          </cell>
          <cell r="D17" t="str">
            <v>U17 M49</v>
          </cell>
          <cell r="E17" t="str">
            <v>U20 M55</v>
          </cell>
          <cell r="F17" t="str">
            <v>SE M55</v>
          </cell>
          <cell r="G17">
            <v>35.01</v>
          </cell>
          <cell r="H17" t="str">
            <v>NON</v>
          </cell>
          <cell r="I17" t="str">
            <v>U15 F40</v>
          </cell>
          <cell r="J17" t="str">
            <v>U17 F40</v>
          </cell>
          <cell r="K17" t="str">
            <v>U20 F45</v>
          </cell>
          <cell r="L17" t="str">
            <v>SE F45</v>
          </cell>
        </row>
        <row r="18">
          <cell r="A18">
            <v>40.01</v>
          </cell>
          <cell r="B18" t="str">
            <v>NON</v>
          </cell>
          <cell r="C18" t="str">
            <v>U15 M49</v>
          </cell>
          <cell r="D18" t="str">
            <v>U17 M49</v>
          </cell>
          <cell r="E18" t="str">
            <v>U20 M55</v>
          </cell>
          <cell r="F18" t="str">
            <v>SE M55</v>
          </cell>
          <cell r="G18">
            <v>40.01</v>
          </cell>
          <cell r="H18" t="str">
            <v>NON</v>
          </cell>
          <cell r="I18" t="str">
            <v>U15 F45</v>
          </cell>
          <cell r="J18" t="str">
            <v>U17 F45</v>
          </cell>
          <cell r="K18" t="str">
            <v>U20 F45</v>
          </cell>
          <cell r="L18" t="str">
            <v>SE F45</v>
          </cell>
        </row>
        <row r="19">
          <cell r="A19">
            <v>45.01</v>
          </cell>
          <cell r="B19" t="str">
            <v>NON</v>
          </cell>
          <cell r="C19" t="str">
            <v>U15 M49</v>
          </cell>
          <cell r="D19" t="str">
            <v>U17 M49</v>
          </cell>
          <cell r="E19" t="str">
            <v>U20 M55</v>
          </cell>
          <cell r="F19" t="str">
            <v>SE M55</v>
          </cell>
          <cell r="G19">
            <v>45.01</v>
          </cell>
          <cell r="H19" t="str">
            <v>NON</v>
          </cell>
          <cell r="I19" t="str">
            <v>U15 F49</v>
          </cell>
          <cell r="J19" t="str">
            <v>U17 F49</v>
          </cell>
          <cell r="K19" t="str">
            <v>U20 F49</v>
          </cell>
          <cell r="L19" t="str">
            <v>SE F49</v>
          </cell>
        </row>
        <row r="20">
          <cell r="A20">
            <v>49.01</v>
          </cell>
          <cell r="B20" t="str">
            <v>NON</v>
          </cell>
          <cell r="C20" t="str">
            <v>U15 M55</v>
          </cell>
          <cell r="D20" t="str">
            <v>U17 M55</v>
          </cell>
          <cell r="E20" t="str">
            <v>U20 M55</v>
          </cell>
          <cell r="F20" t="str">
            <v>SE M55</v>
          </cell>
          <cell r="G20">
            <v>49.01</v>
          </cell>
          <cell r="H20" t="str">
            <v>NON</v>
          </cell>
          <cell r="I20" t="str">
            <v>U15 F55</v>
          </cell>
          <cell r="J20" t="str">
            <v>U17 F55</v>
          </cell>
          <cell r="K20" t="str">
            <v>U20 F55</v>
          </cell>
          <cell r="L20" t="str">
            <v>SE F55</v>
          </cell>
        </row>
        <row r="21">
          <cell r="A21">
            <v>55.01</v>
          </cell>
          <cell r="B21" t="str">
            <v>NON</v>
          </cell>
          <cell r="C21" t="str">
            <v>U15 M61</v>
          </cell>
          <cell r="D21" t="str">
            <v>U17 M61</v>
          </cell>
          <cell r="E21" t="str">
            <v>U20 M61</v>
          </cell>
          <cell r="F21" t="str">
            <v>SE M61</v>
          </cell>
          <cell r="G21">
            <v>55.01</v>
          </cell>
          <cell r="H21" t="str">
            <v>NON</v>
          </cell>
          <cell r="I21" t="str">
            <v>U15 F59</v>
          </cell>
          <cell r="J21" t="str">
            <v>U17 F59</v>
          </cell>
          <cell r="K21" t="str">
            <v>U20 F59</v>
          </cell>
          <cell r="L21" t="str">
            <v>SE F59</v>
          </cell>
        </row>
        <row r="22">
          <cell r="A22">
            <v>61.01</v>
          </cell>
          <cell r="B22" t="str">
            <v>NON</v>
          </cell>
          <cell r="C22" t="str">
            <v>U15 M67</v>
          </cell>
          <cell r="D22" t="str">
            <v>U17 M67</v>
          </cell>
          <cell r="E22" t="str">
            <v>U20 M67</v>
          </cell>
          <cell r="F22" t="str">
            <v>SE M67</v>
          </cell>
          <cell r="G22">
            <v>59.01</v>
          </cell>
          <cell r="H22" t="str">
            <v>NON</v>
          </cell>
          <cell r="I22" t="str">
            <v>U15 F64</v>
          </cell>
          <cell r="J22" t="str">
            <v>U17 F64</v>
          </cell>
          <cell r="K22" t="str">
            <v>U20 F64</v>
          </cell>
          <cell r="L22" t="str">
            <v>SE F64</v>
          </cell>
        </row>
        <row r="23">
          <cell r="A23">
            <v>67.010000000000005</v>
          </cell>
          <cell r="B23" t="str">
            <v>NON</v>
          </cell>
          <cell r="C23" t="str">
            <v>U15 M73</v>
          </cell>
          <cell r="D23" t="str">
            <v>U17 M73</v>
          </cell>
          <cell r="E23" t="str">
            <v>U20 M73</v>
          </cell>
          <cell r="F23" t="str">
            <v>SE M73</v>
          </cell>
          <cell r="G23">
            <v>64.010000000000005</v>
          </cell>
          <cell r="H23" t="str">
            <v>NON</v>
          </cell>
          <cell r="I23" t="str">
            <v>U15 F71</v>
          </cell>
          <cell r="J23" t="str">
            <v>U17 F71</v>
          </cell>
          <cell r="K23" t="str">
            <v>U20 F71</v>
          </cell>
          <cell r="L23" t="str">
            <v>SE F71</v>
          </cell>
        </row>
        <row r="24">
          <cell r="A24">
            <v>73.010000000000005</v>
          </cell>
          <cell r="B24" t="str">
            <v>NON</v>
          </cell>
          <cell r="C24" t="str">
            <v>U15 M81</v>
          </cell>
          <cell r="D24" t="str">
            <v>U17 M81</v>
          </cell>
          <cell r="E24" t="str">
            <v>U20 M81</v>
          </cell>
          <cell r="F24" t="str">
            <v>SE M81</v>
          </cell>
          <cell r="G24">
            <v>71.010000000000005</v>
          </cell>
          <cell r="H24" t="str">
            <v>NON</v>
          </cell>
          <cell r="I24" t="str">
            <v>U15 F76</v>
          </cell>
          <cell r="J24" t="str">
            <v>U17 F76</v>
          </cell>
          <cell r="K24" t="str">
            <v>U20 F76</v>
          </cell>
          <cell r="L24" t="str">
            <v>SE F76</v>
          </cell>
        </row>
        <row r="25">
          <cell r="A25">
            <v>81.010000000000005</v>
          </cell>
          <cell r="B25" t="str">
            <v>NON</v>
          </cell>
          <cell r="C25" t="str">
            <v>U15 M89</v>
          </cell>
          <cell r="D25" t="str">
            <v>U17 M89</v>
          </cell>
          <cell r="E25" t="str">
            <v>U20 M89</v>
          </cell>
          <cell r="F25" t="str">
            <v>SE M89</v>
          </cell>
          <cell r="G25">
            <v>76.010000000000005</v>
          </cell>
          <cell r="H25" t="str">
            <v>NON</v>
          </cell>
          <cell r="I25" t="str">
            <v>U15 F81</v>
          </cell>
          <cell r="J25" t="str">
            <v>U17 F81</v>
          </cell>
          <cell r="K25" t="str">
            <v>U20 F81</v>
          </cell>
          <cell r="L25" t="str">
            <v>SE F81</v>
          </cell>
        </row>
        <row r="26">
          <cell r="A26">
            <v>89.01</v>
          </cell>
          <cell r="B26" t="str">
            <v>NON</v>
          </cell>
          <cell r="C26" t="str">
            <v>U15 M96</v>
          </cell>
          <cell r="D26" t="str">
            <v>U17 M96</v>
          </cell>
          <cell r="E26" t="str">
            <v>U20 M96</v>
          </cell>
          <cell r="F26" t="str">
            <v>SE M96</v>
          </cell>
          <cell r="G26">
            <v>81.010000000000005</v>
          </cell>
          <cell r="H26" t="str">
            <v>NON</v>
          </cell>
          <cell r="I26" t="str">
            <v>U15 F&gt;81</v>
          </cell>
          <cell r="J26" t="str">
            <v>U17 F&gt;81</v>
          </cell>
          <cell r="K26" t="str">
            <v>U20 F87</v>
          </cell>
          <cell r="L26" t="str">
            <v>SE F87</v>
          </cell>
        </row>
        <row r="27">
          <cell r="A27">
            <v>96.01</v>
          </cell>
          <cell r="B27" t="str">
            <v>NON</v>
          </cell>
          <cell r="C27" t="str">
            <v>U15 M102</v>
          </cell>
          <cell r="D27" t="str">
            <v>U17 M102</v>
          </cell>
          <cell r="E27" t="str">
            <v>U20 M102</v>
          </cell>
          <cell r="F27" t="str">
            <v>SE M102</v>
          </cell>
          <cell r="G27">
            <v>87.01</v>
          </cell>
          <cell r="H27" t="str">
            <v>NON</v>
          </cell>
          <cell r="I27" t="str">
            <v>U15 F&gt;81</v>
          </cell>
          <cell r="J27" t="str">
            <v>U17 F&gt;81</v>
          </cell>
          <cell r="K27" t="str">
            <v>U20 F&gt;87</v>
          </cell>
          <cell r="L27" t="str">
            <v>SE F&gt;87</v>
          </cell>
        </row>
        <row r="28">
          <cell r="A28">
            <v>102.01</v>
          </cell>
          <cell r="B28" t="str">
            <v>NON</v>
          </cell>
          <cell r="C28" t="str">
            <v>U15 M&gt;102</v>
          </cell>
          <cell r="D28" t="str">
            <v>U17 M&gt;102</v>
          </cell>
          <cell r="E28" t="str">
            <v>U20 M109</v>
          </cell>
          <cell r="F28" t="str">
            <v>SE M109</v>
          </cell>
          <cell r="H28"/>
          <cell r="I28"/>
          <cell r="J28"/>
          <cell r="K28"/>
          <cell r="L28"/>
        </row>
        <row r="29">
          <cell r="A29">
            <v>109.1</v>
          </cell>
          <cell r="B29" t="str">
            <v>NON</v>
          </cell>
          <cell r="C29" t="str">
            <v>U15 M&gt;102</v>
          </cell>
          <cell r="D29" t="str">
            <v>U17 M&gt;102</v>
          </cell>
          <cell r="E29" t="str">
            <v>U20 M&gt;109</v>
          </cell>
          <cell r="F29" t="str">
            <v>SE M&gt;109</v>
          </cell>
          <cell r="H29"/>
          <cell r="I29"/>
          <cell r="J29"/>
          <cell r="K29"/>
          <cell r="L29"/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VIDUEL"/>
      <sheetName val="Minimas"/>
    </sheetNames>
    <sheetDataSet>
      <sheetData sheetId="0" refreshError="1"/>
      <sheetData sheetId="1" refreshError="1">
        <row r="3">
          <cell r="C3" t="str">
            <v>U15 F40</v>
          </cell>
          <cell r="D3" t="str">
            <v>U15 F45</v>
          </cell>
          <cell r="E3" t="str">
            <v>U15 F49</v>
          </cell>
          <cell r="F3" t="str">
            <v>U15 F55</v>
          </cell>
          <cell r="G3" t="str">
            <v>U15 F59</v>
          </cell>
          <cell r="H3" t="str">
            <v>U15 F64</v>
          </cell>
          <cell r="I3" t="str">
            <v>U15 F71</v>
          </cell>
          <cell r="J3" t="str">
            <v>U15 F76</v>
          </cell>
          <cell r="K3" t="str">
            <v>U15 F81</v>
          </cell>
          <cell r="L3" t="str">
            <v>U15 F&gt;81</v>
          </cell>
          <cell r="M3" t="str">
            <v>U17 F40</v>
          </cell>
          <cell r="N3" t="str">
            <v>U17 F45</v>
          </cell>
          <cell r="O3" t="str">
            <v>U17 F49</v>
          </cell>
          <cell r="P3" t="str">
            <v>U17 F55</v>
          </cell>
          <cell r="Q3" t="str">
            <v>U17 F59</v>
          </cell>
          <cell r="R3" t="str">
            <v>U17 F64</v>
          </cell>
          <cell r="S3" t="str">
            <v>U17 F71</v>
          </cell>
          <cell r="T3" t="str">
            <v>U17 F76</v>
          </cell>
          <cell r="U3" t="str">
            <v>U17 F81</v>
          </cell>
          <cell r="V3" t="str">
            <v>U17 F&gt;81</v>
          </cell>
          <cell r="W3" t="str">
            <v>U20 F45</v>
          </cell>
          <cell r="X3" t="str">
            <v>U20 F49</v>
          </cell>
          <cell r="Y3" t="str">
            <v>U20 F55</v>
          </cell>
          <cell r="Z3" t="str">
            <v>U20 F59</v>
          </cell>
          <cell r="AA3" t="str">
            <v>U20 F64</v>
          </cell>
          <cell r="AB3" t="str">
            <v>U20 F71</v>
          </cell>
          <cell r="AC3" t="str">
            <v>U20 F76</v>
          </cell>
          <cell r="AD3" t="str">
            <v>U20 F81</v>
          </cell>
          <cell r="AE3" t="str">
            <v>U20 F87</v>
          </cell>
          <cell r="AF3" t="str">
            <v>U20 F&gt;87</v>
          </cell>
          <cell r="AG3" t="str">
            <v>SE F45</v>
          </cell>
          <cell r="AH3" t="str">
            <v>SE F49</v>
          </cell>
          <cell r="AI3" t="str">
            <v>SE F55</v>
          </cell>
          <cell r="AJ3" t="str">
            <v>SE F59</v>
          </cell>
          <cell r="AK3" t="str">
            <v>SE F64</v>
          </cell>
          <cell r="AL3" t="str">
            <v>SE F71</v>
          </cell>
          <cell r="AM3" t="str">
            <v>SE F76</v>
          </cell>
          <cell r="AN3" t="str">
            <v>SE F81</v>
          </cell>
          <cell r="AO3" t="str">
            <v>SE F87</v>
          </cell>
          <cell r="AP3" t="str">
            <v>SE F&gt;87</v>
          </cell>
          <cell r="AQ3" t="str">
            <v>U15 M49</v>
          </cell>
          <cell r="AR3" t="str">
            <v>U15 M55</v>
          </cell>
          <cell r="AS3" t="str">
            <v>U15 M61</v>
          </cell>
          <cell r="AT3" t="str">
            <v>U15 M67</v>
          </cell>
          <cell r="AU3" t="str">
            <v>U15 M73</v>
          </cell>
          <cell r="AV3" t="str">
            <v>U15 M81</v>
          </cell>
          <cell r="AW3" t="str">
            <v>U15 M89</v>
          </cell>
          <cell r="AX3" t="str">
            <v>U15 M96</v>
          </cell>
          <cell r="AY3" t="str">
            <v>U15 M102</v>
          </cell>
          <cell r="AZ3" t="str">
            <v>U15 M&gt;102</v>
          </cell>
          <cell r="BA3" t="str">
            <v>U17 M49</v>
          </cell>
          <cell r="BB3" t="str">
            <v>U17 M55</v>
          </cell>
          <cell r="BC3" t="str">
            <v>U17 M61</v>
          </cell>
          <cell r="BD3" t="str">
            <v>U17 M67</v>
          </cell>
          <cell r="BE3" t="str">
            <v>U17 M73</v>
          </cell>
          <cell r="BF3" t="str">
            <v>U17 M81</v>
          </cell>
          <cell r="BG3" t="str">
            <v>U17 M89</v>
          </cell>
          <cell r="BH3" t="str">
            <v>U17 M96</v>
          </cell>
          <cell r="BI3" t="str">
            <v>U17 M102</v>
          </cell>
          <cell r="BJ3" t="str">
            <v>U17 M&gt;102</v>
          </cell>
          <cell r="BK3" t="str">
            <v>U20 M55</v>
          </cell>
          <cell r="BL3" t="str">
            <v>U20 M61</v>
          </cell>
          <cell r="BM3" t="str">
            <v>U20 M67</v>
          </cell>
          <cell r="BN3" t="str">
            <v>U20 M73</v>
          </cell>
          <cell r="BO3" t="str">
            <v>U20 M81</v>
          </cell>
          <cell r="BP3" t="str">
            <v>U20 M89</v>
          </cell>
          <cell r="BQ3" t="str">
            <v>U20 M96</v>
          </cell>
          <cell r="BR3" t="str">
            <v>U20 M102</v>
          </cell>
          <cell r="BS3" t="str">
            <v>U20 M109</v>
          </cell>
          <cell r="BT3" t="str">
            <v>U20 M&gt;109</v>
          </cell>
          <cell r="BU3" t="str">
            <v>SE M55</v>
          </cell>
          <cell r="BV3" t="str">
            <v>SE M61</v>
          </cell>
          <cell r="BW3" t="str">
            <v>SE M67</v>
          </cell>
          <cell r="BX3" t="str">
            <v>SE M73</v>
          </cell>
          <cell r="BY3" t="str">
            <v>SE M81</v>
          </cell>
          <cell r="BZ3" t="str">
            <v>SE M89</v>
          </cell>
          <cell r="CA3" t="str">
            <v>SE M96</v>
          </cell>
          <cell r="CB3" t="str">
            <v>SE M102</v>
          </cell>
          <cell r="CC3" t="str">
            <v>SE M109</v>
          </cell>
          <cell r="CD3" t="str">
            <v>SE M&gt;109</v>
          </cell>
        </row>
        <row r="4">
          <cell r="C4">
            <v>20</v>
          </cell>
          <cell r="D4">
            <v>25</v>
          </cell>
          <cell r="E4">
            <v>30</v>
          </cell>
          <cell r="F4">
            <v>35</v>
          </cell>
          <cell r="G4">
            <v>40</v>
          </cell>
          <cell r="H4">
            <v>45</v>
          </cell>
          <cell r="I4">
            <v>50</v>
          </cell>
          <cell r="J4">
            <v>55</v>
          </cell>
          <cell r="K4">
            <v>57</v>
          </cell>
          <cell r="L4">
            <v>60</v>
          </cell>
          <cell r="M4">
            <v>30</v>
          </cell>
          <cell r="N4">
            <v>35</v>
          </cell>
          <cell r="O4">
            <v>40</v>
          </cell>
          <cell r="P4">
            <v>45</v>
          </cell>
          <cell r="Q4">
            <v>50</v>
          </cell>
          <cell r="R4">
            <v>55</v>
          </cell>
          <cell r="S4">
            <v>60</v>
          </cell>
          <cell r="T4">
            <v>65</v>
          </cell>
          <cell r="U4">
            <v>67</v>
          </cell>
          <cell r="V4">
            <v>70</v>
          </cell>
          <cell r="W4">
            <v>40</v>
          </cell>
          <cell r="X4">
            <v>45</v>
          </cell>
          <cell r="Y4">
            <v>50</v>
          </cell>
          <cell r="Z4">
            <v>55</v>
          </cell>
          <cell r="AA4">
            <v>60</v>
          </cell>
          <cell r="AB4">
            <v>65</v>
          </cell>
          <cell r="AC4">
            <v>70</v>
          </cell>
          <cell r="AD4">
            <v>75</v>
          </cell>
          <cell r="AE4">
            <v>77</v>
          </cell>
          <cell r="AF4">
            <v>80</v>
          </cell>
          <cell r="AG4">
            <v>50</v>
          </cell>
          <cell r="AH4">
            <v>55</v>
          </cell>
          <cell r="AI4">
            <v>60</v>
          </cell>
          <cell r="AJ4">
            <v>65</v>
          </cell>
          <cell r="AK4">
            <v>70</v>
          </cell>
          <cell r="AL4">
            <v>75</v>
          </cell>
          <cell r="AM4">
            <v>80</v>
          </cell>
          <cell r="AN4">
            <v>85</v>
          </cell>
          <cell r="AO4">
            <v>87</v>
          </cell>
          <cell r="AP4">
            <v>90</v>
          </cell>
          <cell r="AQ4">
            <v>40</v>
          </cell>
          <cell r="AR4">
            <v>55</v>
          </cell>
          <cell r="AS4">
            <v>65</v>
          </cell>
          <cell r="AT4">
            <v>75</v>
          </cell>
          <cell r="AU4">
            <v>80</v>
          </cell>
          <cell r="AV4">
            <v>85</v>
          </cell>
          <cell r="AW4">
            <v>90</v>
          </cell>
          <cell r="AX4">
            <v>95</v>
          </cell>
          <cell r="AY4">
            <v>100</v>
          </cell>
          <cell r="AZ4">
            <v>105</v>
          </cell>
          <cell r="BA4">
            <v>50</v>
          </cell>
          <cell r="BB4">
            <v>65</v>
          </cell>
          <cell r="BC4">
            <v>80</v>
          </cell>
          <cell r="BD4">
            <v>90</v>
          </cell>
          <cell r="BE4">
            <v>100</v>
          </cell>
          <cell r="BF4">
            <v>110</v>
          </cell>
          <cell r="BG4">
            <v>115</v>
          </cell>
          <cell r="BH4">
            <v>120</v>
          </cell>
          <cell r="BI4">
            <v>125</v>
          </cell>
          <cell r="BJ4">
            <v>130</v>
          </cell>
          <cell r="BK4">
            <v>80</v>
          </cell>
          <cell r="BL4">
            <v>95</v>
          </cell>
          <cell r="BM4">
            <v>105</v>
          </cell>
          <cell r="BN4">
            <v>120</v>
          </cell>
          <cell r="BO4">
            <v>130</v>
          </cell>
          <cell r="BP4">
            <v>135</v>
          </cell>
          <cell r="BQ4">
            <v>140</v>
          </cell>
          <cell r="BR4">
            <v>145</v>
          </cell>
          <cell r="BS4">
            <v>150</v>
          </cell>
          <cell r="BT4">
            <v>155</v>
          </cell>
          <cell r="BU4">
            <v>95</v>
          </cell>
          <cell r="BV4">
            <v>110</v>
          </cell>
          <cell r="BW4">
            <v>125</v>
          </cell>
          <cell r="BX4">
            <v>135</v>
          </cell>
          <cell r="BY4">
            <v>145</v>
          </cell>
          <cell r="BZ4">
            <v>150</v>
          </cell>
          <cell r="CA4">
            <v>155</v>
          </cell>
          <cell r="CB4">
            <v>160</v>
          </cell>
          <cell r="CC4">
            <v>165</v>
          </cell>
          <cell r="CD4">
            <v>170</v>
          </cell>
        </row>
        <row r="5">
          <cell r="C5">
            <v>25</v>
          </cell>
          <cell r="D5">
            <v>35</v>
          </cell>
          <cell r="E5">
            <v>40</v>
          </cell>
          <cell r="F5">
            <v>45</v>
          </cell>
          <cell r="G5">
            <v>50</v>
          </cell>
          <cell r="H5">
            <v>55</v>
          </cell>
          <cell r="I5">
            <v>60</v>
          </cell>
          <cell r="J5">
            <v>65</v>
          </cell>
          <cell r="K5">
            <v>67</v>
          </cell>
          <cell r="L5">
            <v>70</v>
          </cell>
          <cell r="M5">
            <v>35</v>
          </cell>
          <cell r="N5">
            <v>42</v>
          </cell>
          <cell r="O5">
            <v>50</v>
          </cell>
          <cell r="P5">
            <v>55</v>
          </cell>
          <cell r="Q5">
            <v>60</v>
          </cell>
          <cell r="R5">
            <v>65</v>
          </cell>
          <cell r="S5">
            <v>70</v>
          </cell>
          <cell r="T5">
            <v>75</v>
          </cell>
          <cell r="U5">
            <v>77</v>
          </cell>
          <cell r="V5">
            <v>80</v>
          </cell>
          <cell r="W5">
            <v>50</v>
          </cell>
          <cell r="X5">
            <v>55</v>
          </cell>
          <cell r="Y5">
            <v>62</v>
          </cell>
          <cell r="Z5">
            <v>70</v>
          </cell>
          <cell r="AA5">
            <v>75</v>
          </cell>
          <cell r="AB5">
            <v>80</v>
          </cell>
          <cell r="AC5">
            <v>85</v>
          </cell>
          <cell r="AD5">
            <v>90</v>
          </cell>
          <cell r="AE5">
            <v>92</v>
          </cell>
          <cell r="AF5">
            <v>95</v>
          </cell>
          <cell r="AG5">
            <v>60</v>
          </cell>
          <cell r="AH5">
            <v>67</v>
          </cell>
          <cell r="AI5">
            <v>75</v>
          </cell>
          <cell r="AJ5">
            <v>80</v>
          </cell>
          <cell r="AK5">
            <v>85</v>
          </cell>
          <cell r="AL5">
            <v>90</v>
          </cell>
          <cell r="AM5">
            <v>95</v>
          </cell>
          <cell r="AN5">
            <v>100</v>
          </cell>
          <cell r="AO5">
            <v>102</v>
          </cell>
          <cell r="AP5">
            <v>105</v>
          </cell>
          <cell r="AQ5">
            <v>55</v>
          </cell>
          <cell r="AR5">
            <v>70</v>
          </cell>
          <cell r="AS5">
            <v>80</v>
          </cell>
          <cell r="AT5">
            <v>95</v>
          </cell>
          <cell r="AU5">
            <v>100</v>
          </cell>
          <cell r="AV5">
            <v>105</v>
          </cell>
          <cell r="AW5">
            <v>110</v>
          </cell>
          <cell r="AX5">
            <v>115</v>
          </cell>
          <cell r="AY5">
            <v>120</v>
          </cell>
          <cell r="AZ5">
            <v>125</v>
          </cell>
          <cell r="BA5">
            <v>65</v>
          </cell>
          <cell r="BB5">
            <v>85</v>
          </cell>
          <cell r="BC5">
            <v>100</v>
          </cell>
          <cell r="BD5">
            <v>110</v>
          </cell>
          <cell r="BE5">
            <v>120</v>
          </cell>
          <cell r="BF5">
            <v>130</v>
          </cell>
          <cell r="BG5">
            <v>135</v>
          </cell>
          <cell r="BH5">
            <v>140</v>
          </cell>
          <cell r="BI5">
            <v>145</v>
          </cell>
          <cell r="BJ5">
            <v>150</v>
          </cell>
          <cell r="BK5">
            <v>100</v>
          </cell>
          <cell r="BL5">
            <v>115</v>
          </cell>
          <cell r="BM5">
            <v>125</v>
          </cell>
          <cell r="BN5">
            <v>140</v>
          </cell>
          <cell r="BO5">
            <v>150</v>
          </cell>
          <cell r="BP5">
            <v>160</v>
          </cell>
          <cell r="BQ5">
            <v>165</v>
          </cell>
          <cell r="BR5">
            <v>170</v>
          </cell>
          <cell r="BS5">
            <v>175</v>
          </cell>
          <cell r="BT5">
            <v>180</v>
          </cell>
          <cell r="BU5">
            <v>115</v>
          </cell>
          <cell r="BV5">
            <v>130</v>
          </cell>
          <cell r="BW5">
            <v>145</v>
          </cell>
          <cell r="BX5">
            <v>160</v>
          </cell>
          <cell r="BY5">
            <v>170</v>
          </cell>
          <cell r="BZ5">
            <v>175</v>
          </cell>
          <cell r="CA5">
            <v>180</v>
          </cell>
          <cell r="CB5">
            <v>185</v>
          </cell>
          <cell r="CC5">
            <v>190</v>
          </cell>
          <cell r="CD5">
            <v>195</v>
          </cell>
        </row>
        <row r="6">
          <cell r="C6">
            <v>35</v>
          </cell>
          <cell r="D6">
            <v>45</v>
          </cell>
          <cell r="E6">
            <v>50</v>
          </cell>
          <cell r="F6">
            <v>57</v>
          </cell>
          <cell r="G6">
            <v>62</v>
          </cell>
          <cell r="H6">
            <v>67</v>
          </cell>
          <cell r="I6">
            <v>72</v>
          </cell>
          <cell r="J6">
            <v>75</v>
          </cell>
          <cell r="K6">
            <v>77</v>
          </cell>
          <cell r="L6">
            <v>80</v>
          </cell>
          <cell r="M6">
            <v>45</v>
          </cell>
          <cell r="N6">
            <v>50</v>
          </cell>
          <cell r="O6">
            <v>57</v>
          </cell>
          <cell r="P6">
            <v>65</v>
          </cell>
          <cell r="Q6">
            <v>70</v>
          </cell>
          <cell r="R6">
            <v>75</v>
          </cell>
          <cell r="S6">
            <v>80</v>
          </cell>
          <cell r="T6">
            <v>85</v>
          </cell>
          <cell r="U6">
            <v>90</v>
          </cell>
          <cell r="V6">
            <v>95</v>
          </cell>
          <cell r="W6">
            <v>60</v>
          </cell>
          <cell r="X6">
            <v>65</v>
          </cell>
          <cell r="Y6">
            <v>75</v>
          </cell>
          <cell r="Z6">
            <v>82</v>
          </cell>
          <cell r="AA6">
            <v>90</v>
          </cell>
          <cell r="AB6">
            <v>95</v>
          </cell>
          <cell r="AC6">
            <v>100</v>
          </cell>
          <cell r="AD6">
            <v>105</v>
          </cell>
          <cell r="AE6">
            <v>107</v>
          </cell>
          <cell r="AF6">
            <v>110</v>
          </cell>
          <cell r="AG6">
            <v>70</v>
          </cell>
          <cell r="AH6">
            <v>80</v>
          </cell>
          <cell r="AI6">
            <v>87</v>
          </cell>
          <cell r="AJ6">
            <v>92</v>
          </cell>
          <cell r="AK6">
            <v>100</v>
          </cell>
          <cell r="AL6">
            <v>107</v>
          </cell>
          <cell r="AM6">
            <v>115</v>
          </cell>
          <cell r="AN6">
            <v>120</v>
          </cell>
          <cell r="AO6">
            <v>122</v>
          </cell>
          <cell r="AP6">
            <v>125</v>
          </cell>
          <cell r="AQ6">
            <v>70</v>
          </cell>
          <cell r="AR6">
            <v>85</v>
          </cell>
          <cell r="AS6">
            <v>100</v>
          </cell>
          <cell r="AT6">
            <v>110</v>
          </cell>
          <cell r="AU6">
            <v>120</v>
          </cell>
          <cell r="AV6">
            <v>130</v>
          </cell>
          <cell r="AW6">
            <v>135</v>
          </cell>
          <cell r="AX6">
            <v>140</v>
          </cell>
          <cell r="AY6">
            <v>145</v>
          </cell>
          <cell r="AZ6">
            <v>150</v>
          </cell>
          <cell r="BA6">
            <v>80</v>
          </cell>
          <cell r="BB6">
            <v>100</v>
          </cell>
          <cell r="BC6">
            <v>120</v>
          </cell>
          <cell r="BD6">
            <v>130</v>
          </cell>
          <cell r="BE6">
            <v>140</v>
          </cell>
          <cell r="BF6">
            <v>150</v>
          </cell>
          <cell r="BG6">
            <v>160</v>
          </cell>
          <cell r="BH6">
            <v>165</v>
          </cell>
          <cell r="BI6">
            <v>170</v>
          </cell>
          <cell r="BJ6">
            <v>175</v>
          </cell>
          <cell r="BK6">
            <v>115</v>
          </cell>
          <cell r="BL6">
            <v>130</v>
          </cell>
          <cell r="BM6">
            <v>150</v>
          </cell>
          <cell r="BN6">
            <v>160</v>
          </cell>
          <cell r="BO6">
            <v>170</v>
          </cell>
          <cell r="BP6">
            <v>180</v>
          </cell>
          <cell r="BQ6">
            <v>185</v>
          </cell>
          <cell r="BR6">
            <v>190</v>
          </cell>
          <cell r="BS6">
            <v>195</v>
          </cell>
          <cell r="BT6">
            <v>200</v>
          </cell>
          <cell r="BU6">
            <v>130</v>
          </cell>
          <cell r="BV6">
            <v>150</v>
          </cell>
          <cell r="BW6">
            <v>170</v>
          </cell>
          <cell r="BX6">
            <v>185</v>
          </cell>
          <cell r="BY6">
            <v>195</v>
          </cell>
          <cell r="BZ6">
            <v>200</v>
          </cell>
          <cell r="CA6">
            <v>205</v>
          </cell>
          <cell r="CB6">
            <v>210</v>
          </cell>
          <cell r="CC6">
            <v>215</v>
          </cell>
          <cell r="CD6">
            <v>220</v>
          </cell>
        </row>
        <row r="7">
          <cell r="C7">
            <v>45</v>
          </cell>
          <cell r="D7">
            <v>55</v>
          </cell>
          <cell r="E7">
            <v>60</v>
          </cell>
          <cell r="F7">
            <v>67</v>
          </cell>
          <cell r="G7">
            <v>72</v>
          </cell>
          <cell r="H7">
            <v>77</v>
          </cell>
          <cell r="I7">
            <v>82</v>
          </cell>
          <cell r="J7">
            <v>85</v>
          </cell>
          <cell r="K7">
            <v>87</v>
          </cell>
          <cell r="L7">
            <v>90</v>
          </cell>
          <cell r="M7">
            <v>55</v>
          </cell>
          <cell r="N7">
            <v>60</v>
          </cell>
          <cell r="O7">
            <v>67</v>
          </cell>
          <cell r="P7">
            <v>77</v>
          </cell>
          <cell r="Q7">
            <v>82</v>
          </cell>
          <cell r="R7">
            <v>87</v>
          </cell>
          <cell r="S7">
            <v>92</v>
          </cell>
          <cell r="T7">
            <v>97</v>
          </cell>
          <cell r="U7">
            <v>100</v>
          </cell>
          <cell r="V7">
            <v>105</v>
          </cell>
          <cell r="W7">
            <v>70</v>
          </cell>
          <cell r="X7">
            <v>77</v>
          </cell>
          <cell r="Y7">
            <v>87</v>
          </cell>
          <cell r="Z7">
            <v>95</v>
          </cell>
          <cell r="AA7">
            <v>105</v>
          </cell>
          <cell r="AB7">
            <v>110</v>
          </cell>
          <cell r="AC7">
            <v>115</v>
          </cell>
          <cell r="AD7">
            <v>120</v>
          </cell>
          <cell r="AE7">
            <v>122</v>
          </cell>
          <cell r="AF7">
            <v>125</v>
          </cell>
          <cell r="AG7">
            <v>82</v>
          </cell>
          <cell r="AH7">
            <v>92</v>
          </cell>
          <cell r="AI7">
            <v>102</v>
          </cell>
          <cell r="AJ7">
            <v>107</v>
          </cell>
          <cell r="AK7">
            <v>117</v>
          </cell>
          <cell r="AL7">
            <v>122</v>
          </cell>
          <cell r="AM7">
            <v>130</v>
          </cell>
          <cell r="AN7">
            <v>135</v>
          </cell>
          <cell r="AO7">
            <v>137</v>
          </cell>
          <cell r="AP7">
            <v>140</v>
          </cell>
          <cell r="AQ7">
            <v>85</v>
          </cell>
          <cell r="AR7">
            <v>100</v>
          </cell>
          <cell r="AS7">
            <v>115</v>
          </cell>
          <cell r="AT7">
            <v>130</v>
          </cell>
          <cell r="AU7">
            <v>140</v>
          </cell>
          <cell r="AV7">
            <v>150</v>
          </cell>
          <cell r="AW7">
            <v>155</v>
          </cell>
          <cell r="AX7">
            <v>160</v>
          </cell>
          <cell r="AY7">
            <v>165</v>
          </cell>
          <cell r="AZ7">
            <v>170</v>
          </cell>
          <cell r="BA7">
            <v>95</v>
          </cell>
          <cell r="BB7">
            <v>115</v>
          </cell>
          <cell r="BC7">
            <v>135</v>
          </cell>
          <cell r="BD7">
            <v>150</v>
          </cell>
          <cell r="BE7">
            <v>160</v>
          </cell>
          <cell r="BF7">
            <v>170</v>
          </cell>
          <cell r="BG7">
            <v>180</v>
          </cell>
          <cell r="BH7">
            <v>185</v>
          </cell>
          <cell r="BI7">
            <v>190</v>
          </cell>
          <cell r="BJ7">
            <v>195</v>
          </cell>
          <cell r="BK7">
            <v>130</v>
          </cell>
          <cell r="BL7">
            <v>150</v>
          </cell>
          <cell r="BM7">
            <v>170</v>
          </cell>
          <cell r="BN7">
            <v>180</v>
          </cell>
          <cell r="BO7">
            <v>190</v>
          </cell>
          <cell r="BP7">
            <v>200</v>
          </cell>
          <cell r="BQ7">
            <v>210</v>
          </cell>
          <cell r="BR7">
            <v>215</v>
          </cell>
          <cell r="BS7">
            <v>220</v>
          </cell>
          <cell r="BT7">
            <v>225</v>
          </cell>
          <cell r="BU7">
            <v>145</v>
          </cell>
          <cell r="BV7">
            <v>170</v>
          </cell>
          <cell r="BW7">
            <v>195</v>
          </cell>
          <cell r="BX7">
            <v>210</v>
          </cell>
          <cell r="BY7">
            <v>220</v>
          </cell>
          <cell r="BZ7">
            <v>230</v>
          </cell>
          <cell r="CA7">
            <v>235</v>
          </cell>
          <cell r="CB7">
            <v>240</v>
          </cell>
          <cell r="CC7">
            <v>245</v>
          </cell>
          <cell r="CD7">
            <v>250</v>
          </cell>
        </row>
        <row r="8">
          <cell r="C8">
            <v>55</v>
          </cell>
          <cell r="D8">
            <v>65</v>
          </cell>
          <cell r="E8">
            <v>72</v>
          </cell>
          <cell r="F8">
            <v>82</v>
          </cell>
          <cell r="G8">
            <v>87</v>
          </cell>
          <cell r="H8">
            <v>92</v>
          </cell>
          <cell r="I8">
            <v>97</v>
          </cell>
          <cell r="J8">
            <v>100</v>
          </cell>
          <cell r="K8">
            <v>102</v>
          </cell>
          <cell r="L8">
            <v>105</v>
          </cell>
          <cell r="M8">
            <v>68</v>
          </cell>
          <cell r="N8">
            <v>75</v>
          </cell>
          <cell r="O8">
            <v>82</v>
          </cell>
          <cell r="P8">
            <v>92</v>
          </cell>
          <cell r="Q8">
            <v>97</v>
          </cell>
          <cell r="R8">
            <v>102</v>
          </cell>
          <cell r="S8">
            <v>107</v>
          </cell>
          <cell r="T8">
            <v>110</v>
          </cell>
          <cell r="U8">
            <v>112</v>
          </cell>
          <cell r="V8">
            <v>115</v>
          </cell>
          <cell r="W8">
            <v>83</v>
          </cell>
          <cell r="X8">
            <v>90</v>
          </cell>
          <cell r="Y8">
            <v>103</v>
          </cell>
          <cell r="Z8">
            <v>110</v>
          </cell>
          <cell r="AA8">
            <v>118</v>
          </cell>
          <cell r="AB8">
            <v>123</v>
          </cell>
          <cell r="AC8">
            <v>127</v>
          </cell>
          <cell r="AD8">
            <v>132</v>
          </cell>
          <cell r="AE8">
            <v>135</v>
          </cell>
          <cell r="AF8">
            <v>140</v>
          </cell>
          <cell r="AG8">
            <v>95</v>
          </cell>
          <cell r="AH8">
            <v>107</v>
          </cell>
          <cell r="AI8">
            <v>123</v>
          </cell>
          <cell r="AJ8">
            <v>130</v>
          </cell>
          <cell r="AK8">
            <v>137</v>
          </cell>
          <cell r="AL8">
            <v>142</v>
          </cell>
          <cell r="AM8">
            <v>147</v>
          </cell>
          <cell r="AN8">
            <v>150</v>
          </cell>
          <cell r="AO8">
            <v>152</v>
          </cell>
          <cell r="AP8">
            <v>155</v>
          </cell>
          <cell r="AQ8">
            <v>100</v>
          </cell>
          <cell r="AR8">
            <v>115</v>
          </cell>
          <cell r="AS8">
            <v>130</v>
          </cell>
          <cell r="AT8">
            <v>150</v>
          </cell>
          <cell r="AU8">
            <v>160</v>
          </cell>
          <cell r="AV8">
            <v>170</v>
          </cell>
          <cell r="AW8">
            <v>175</v>
          </cell>
          <cell r="AX8">
            <v>180</v>
          </cell>
          <cell r="AY8">
            <v>185</v>
          </cell>
          <cell r="AZ8">
            <v>190</v>
          </cell>
          <cell r="BA8">
            <v>110</v>
          </cell>
          <cell r="BB8">
            <v>130</v>
          </cell>
          <cell r="BC8">
            <v>150</v>
          </cell>
          <cell r="BD8">
            <v>170</v>
          </cell>
          <cell r="BE8">
            <v>180</v>
          </cell>
          <cell r="BF8">
            <v>190</v>
          </cell>
          <cell r="BG8">
            <v>200</v>
          </cell>
          <cell r="BH8">
            <v>205</v>
          </cell>
          <cell r="BI8">
            <v>210</v>
          </cell>
          <cell r="BJ8">
            <v>215</v>
          </cell>
          <cell r="BK8">
            <v>145</v>
          </cell>
          <cell r="BL8">
            <v>170</v>
          </cell>
          <cell r="BM8">
            <v>190</v>
          </cell>
          <cell r="BN8">
            <v>200</v>
          </cell>
          <cell r="BO8">
            <v>215</v>
          </cell>
          <cell r="BP8">
            <v>225</v>
          </cell>
          <cell r="BQ8">
            <v>230</v>
          </cell>
          <cell r="BR8">
            <v>240</v>
          </cell>
          <cell r="BS8">
            <v>245</v>
          </cell>
          <cell r="BT8">
            <v>250</v>
          </cell>
          <cell r="BU8">
            <v>170</v>
          </cell>
          <cell r="BV8">
            <v>195</v>
          </cell>
          <cell r="BW8">
            <v>225</v>
          </cell>
          <cell r="BX8">
            <v>240</v>
          </cell>
          <cell r="BY8">
            <v>250</v>
          </cell>
          <cell r="BZ8">
            <v>260</v>
          </cell>
          <cell r="CA8">
            <v>265</v>
          </cell>
          <cell r="CB8">
            <v>270</v>
          </cell>
          <cell r="CC8">
            <v>275</v>
          </cell>
          <cell r="CD8">
            <v>280</v>
          </cell>
        </row>
        <row r="9">
          <cell r="C9">
            <v>68</v>
          </cell>
          <cell r="D9">
            <v>78</v>
          </cell>
          <cell r="E9">
            <v>85</v>
          </cell>
          <cell r="F9">
            <v>95</v>
          </cell>
          <cell r="G9">
            <v>100</v>
          </cell>
          <cell r="H9">
            <v>105</v>
          </cell>
          <cell r="I9">
            <v>110</v>
          </cell>
          <cell r="J9">
            <v>115</v>
          </cell>
          <cell r="K9">
            <v>117</v>
          </cell>
          <cell r="L9">
            <v>120</v>
          </cell>
          <cell r="M9">
            <v>80</v>
          </cell>
          <cell r="N9">
            <v>88</v>
          </cell>
          <cell r="O9">
            <v>95</v>
          </cell>
          <cell r="P9">
            <v>105</v>
          </cell>
          <cell r="Q9">
            <v>110</v>
          </cell>
          <cell r="R9">
            <v>115</v>
          </cell>
          <cell r="S9">
            <v>120</v>
          </cell>
          <cell r="T9">
            <v>125</v>
          </cell>
          <cell r="U9">
            <v>130</v>
          </cell>
          <cell r="V9">
            <v>135</v>
          </cell>
          <cell r="W9">
            <v>97</v>
          </cell>
          <cell r="X9">
            <v>105</v>
          </cell>
          <cell r="Y9">
            <v>118</v>
          </cell>
          <cell r="Z9">
            <v>125</v>
          </cell>
          <cell r="AA9">
            <v>135</v>
          </cell>
          <cell r="AB9">
            <v>142</v>
          </cell>
          <cell r="AC9">
            <v>147</v>
          </cell>
          <cell r="AD9">
            <v>152</v>
          </cell>
          <cell r="AE9">
            <v>155</v>
          </cell>
          <cell r="AF9">
            <v>160</v>
          </cell>
          <cell r="AG9">
            <v>110</v>
          </cell>
          <cell r="AH9">
            <v>122</v>
          </cell>
          <cell r="AI9">
            <v>138</v>
          </cell>
          <cell r="AJ9">
            <v>145</v>
          </cell>
          <cell r="AK9">
            <v>155</v>
          </cell>
          <cell r="AL9">
            <v>165</v>
          </cell>
          <cell r="AM9">
            <v>170</v>
          </cell>
          <cell r="AN9">
            <v>172</v>
          </cell>
          <cell r="AO9">
            <v>175</v>
          </cell>
          <cell r="AP9">
            <v>180</v>
          </cell>
          <cell r="AQ9">
            <v>115</v>
          </cell>
          <cell r="AR9">
            <v>130</v>
          </cell>
          <cell r="AS9">
            <v>150</v>
          </cell>
          <cell r="AT9">
            <v>170</v>
          </cell>
          <cell r="AU9">
            <v>180</v>
          </cell>
          <cell r="AV9">
            <v>190</v>
          </cell>
          <cell r="AW9">
            <v>200</v>
          </cell>
          <cell r="AX9">
            <v>205</v>
          </cell>
          <cell r="AY9">
            <v>210</v>
          </cell>
          <cell r="AZ9">
            <v>215</v>
          </cell>
          <cell r="BA9">
            <v>125</v>
          </cell>
          <cell r="BB9">
            <v>145</v>
          </cell>
          <cell r="BC9">
            <v>170</v>
          </cell>
          <cell r="BD9">
            <v>190</v>
          </cell>
          <cell r="BE9">
            <v>200</v>
          </cell>
          <cell r="BF9">
            <v>210</v>
          </cell>
          <cell r="BG9">
            <v>220</v>
          </cell>
          <cell r="BH9">
            <v>225</v>
          </cell>
          <cell r="BI9">
            <v>230</v>
          </cell>
          <cell r="BJ9">
            <v>235</v>
          </cell>
          <cell r="BK9">
            <v>170</v>
          </cell>
          <cell r="BL9">
            <v>190</v>
          </cell>
          <cell r="BM9">
            <v>218</v>
          </cell>
          <cell r="BN9">
            <v>230</v>
          </cell>
          <cell r="BO9">
            <v>245</v>
          </cell>
          <cell r="BP9">
            <v>255</v>
          </cell>
          <cell r="BQ9">
            <v>260</v>
          </cell>
          <cell r="BR9">
            <v>270</v>
          </cell>
          <cell r="BS9">
            <v>275</v>
          </cell>
          <cell r="BT9">
            <v>280</v>
          </cell>
          <cell r="BU9">
            <v>190</v>
          </cell>
          <cell r="BV9">
            <v>215</v>
          </cell>
          <cell r="BW9">
            <v>240</v>
          </cell>
          <cell r="BX9">
            <v>260</v>
          </cell>
          <cell r="BY9">
            <v>275</v>
          </cell>
          <cell r="BZ9">
            <v>287</v>
          </cell>
          <cell r="CA9">
            <v>295</v>
          </cell>
          <cell r="CB9">
            <v>302</v>
          </cell>
          <cell r="CC9">
            <v>310</v>
          </cell>
          <cell r="CD9">
            <v>315</v>
          </cell>
        </row>
        <row r="10">
          <cell r="C10">
            <v>80</v>
          </cell>
          <cell r="D10">
            <v>90</v>
          </cell>
          <cell r="E10">
            <v>100</v>
          </cell>
          <cell r="F10">
            <v>110</v>
          </cell>
          <cell r="G10">
            <v>115</v>
          </cell>
          <cell r="H10">
            <v>120</v>
          </cell>
          <cell r="I10">
            <v>125</v>
          </cell>
          <cell r="J10">
            <v>130</v>
          </cell>
          <cell r="K10">
            <v>132</v>
          </cell>
          <cell r="L10">
            <v>135</v>
          </cell>
          <cell r="M10">
            <v>90</v>
          </cell>
          <cell r="N10">
            <v>100</v>
          </cell>
          <cell r="O10">
            <v>110</v>
          </cell>
          <cell r="P10">
            <v>120</v>
          </cell>
          <cell r="Q10">
            <v>125</v>
          </cell>
          <cell r="R10">
            <v>130</v>
          </cell>
          <cell r="S10">
            <v>135</v>
          </cell>
          <cell r="T10">
            <v>140</v>
          </cell>
          <cell r="U10">
            <v>145</v>
          </cell>
          <cell r="V10">
            <v>150</v>
          </cell>
          <cell r="W10">
            <v>110</v>
          </cell>
          <cell r="X10">
            <v>120</v>
          </cell>
          <cell r="Y10">
            <v>138</v>
          </cell>
          <cell r="Z10">
            <v>145</v>
          </cell>
          <cell r="AA10">
            <v>155</v>
          </cell>
          <cell r="AB10">
            <v>162</v>
          </cell>
          <cell r="AC10">
            <v>167</v>
          </cell>
          <cell r="AD10">
            <v>172</v>
          </cell>
          <cell r="AE10">
            <v>175</v>
          </cell>
          <cell r="AF10">
            <v>180</v>
          </cell>
          <cell r="AG10">
            <v>125</v>
          </cell>
          <cell r="AH10">
            <v>140</v>
          </cell>
          <cell r="AI10">
            <v>155</v>
          </cell>
          <cell r="AJ10">
            <v>165</v>
          </cell>
          <cell r="AK10">
            <v>175</v>
          </cell>
          <cell r="AL10">
            <v>185</v>
          </cell>
          <cell r="AM10">
            <v>190</v>
          </cell>
          <cell r="AN10">
            <v>192</v>
          </cell>
          <cell r="AO10">
            <v>195</v>
          </cell>
          <cell r="AP10">
            <v>200</v>
          </cell>
          <cell r="AQ10">
            <v>130</v>
          </cell>
          <cell r="AR10">
            <v>150</v>
          </cell>
          <cell r="AS10">
            <v>170</v>
          </cell>
          <cell r="AT10">
            <v>190</v>
          </cell>
          <cell r="AU10">
            <v>200</v>
          </cell>
          <cell r="AV10">
            <v>210</v>
          </cell>
          <cell r="AW10">
            <v>220</v>
          </cell>
          <cell r="AX10">
            <v>225</v>
          </cell>
          <cell r="AY10">
            <v>230</v>
          </cell>
          <cell r="AZ10">
            <v>235</v>
          </cell>
          <cell r="BA10">
            <v>140</v>
          </cell>
          <cell r="BB10">
            <v>170</v>
          </cell>
          <cell r="BC10">
            <v>190</v>
          </cell>
          <cell r="BD10">
            <v>210</v>
          </cell>
          <cell r="BE10">
            <v>220</v>
          </cell>
          <cell r="BF10">
            <v>230</v>
          </cell>
          <cell r="BG10">
            <v>240</v>
          </cell>
          <cell r="BH10">
            <v>250</v>
          </cell>
          <cell r="BI10">
            <v>255</v>
          </cell>
          <cell r="BJ10">
            <v>260</v>
          </cell>
          <cell r="BK10">
            <v>190</v>
          </cell>
          <cell r="BL10">
            <v>210</v>
          </cell>
          <cell r="BM10">
            <v>240</v>
          </cell>
          <cell r="BN10">
            <v>250</v>
          </cell>
          <cell r="BO10">
            <v>270</v>
          </cell>
          <cell r="BP10">
            <v>285</v>
          </cell>
          <cell r="BQ10">
            <v>290</v>
          </cell>
          <cell r="BR10">
            <v>300</v>
          </cell>
          <cell r="BS10">
            <v>305</v>
          </cell>
          <cell r="BT10">
            <v>310</v>
          </cell>
          <cell r="BU10">
            <v>210</v>
          </cell>
          <cell r="BV10">
            <v>235</v>
          </cell>
          <cell r="BW10">
            <v>260</v>
          </cell>
          <cell r="BX10">
            <v>280</v>
          </cell>
          <cell r="BY10">
            <v>295</v>
          </cell>
          <cell r="BZ10">
            <v>310</v>
          </cell>
          <cell r="CA10">
            <v>320</v>
          </cell>
          <cell r="CB10">
            <v>330</v>
          </cell>
          <cell r="CC10">
            <v>335</v>
          </cell>
          <cell r="CD10">
            <v>340</v>
          </cell>
        </row>
        <row r="11">
          <cell r="C11">
            <v>90</v>
          </cell>
          <cell r="D11">
            <v>105</v>
          </cell>
          <cell r="E11">
            <v>115</v>
          </cell>
          <cell r="F11">
            <v>125</v>
          </cell>
          <cell r="G11">
            <v>130</v>
          </cell>
          <cell r="H11">
            <v>135</v>
          </cell>
          <cell r="I11">
            <v>140</v>
          </cell>
          <cell r="J11">
            <v>145</v>
          </cell>
          <cell r="K11">
            <v>147</v>
          </cell>
          <cell r="L11">
            <v>150</v>
          </cell>
          <cell r="M11">
            <v>105</v>
          </cell>
          <cell r="N11">
            <v>115</v>
          </cell>
          <cell r="O11">
            <v>125</v>
          </cell>
          <cell r="P11">
            <v>135</v>
          </cell>
          <cell r="Q11">
            <v>140</v>
          </cell>
          <cell r="R11">
            <v>145</v>
          </cell>
          <cell r="S11">
            <v>150</v>
          </cell>
          <cell r="T11">
            <v>160</v>
          </cell>
          <cell r="U11">
            <v>165</v>
          </cell>
          <cell r="V11">
            <v>170</v>
          </cell>
          <cell r="W11">
            <v>130</v>
          </cell>
          <cell r="X11">
            <v>140</v>
          </cell>
          <cell r="Y11">
            <v>160</v>
          </cell>
          <cell r="Z11">
            <v>165</v>
          </cell>
          <cell r="AA11">
            <v>175</v>
          </cell>
          <cell r="AB11">
            <v>182</v>
          </cell>
          <cell r="AC11">
            <v>187</v>
          </cell>
          <cell r="AD11">
            <v>192</v>
          </cell>
          <cell r="AE11">
            <v>195</v>
          </cell>
          <cell r="AF11">
            <v>200</v>
          </cell>
          <cell r="AG11">
            <v>145</v>
          </cell>
          <cell r="AH11">
            <v>160</v>
          </cell>
          <cell r="AI11">
            <v>175</v>
          </cell>
          <cell r="AJ11">
            <v>185</v>
          </cell>
          <cell r="AK11">
            <v>195</v>
          </cell>
          <cell r="AL11">
            <v>205</v>
          </cell>
          <cell r="AM11">
            <v>210</v>
          </cell>
          <cell r="AN11">
            <v>212</v>
          </cell>
          <cell r="AO11">
            <v>215</v>
          </cell>
          <cell r="AP11">
            <v>220</v>
          </cell>
          <cell r="AQ11">
            <v>145</v>
          </cell>
          <cell r="AR11">
            <v>170</v>
          </cell>
          <cell r="AS11">
            <v>190</v>
          </cell>
          <cell r="AT11">
            <v>210</v>
          </cell>
          <cell r="AU11">
            <v>220</v>
          </cell>
          <cell r="AV11">
            <v>230</v>
          </cell>
          <cell r="AW11">
            <v>240</v>
          </cell>
          <cell r="AX11">
            <v>245</v>
          </cell>
          <cell r="AY11">
            <v>250</v>
          </cell>
          <cell r="AZ11">
            <v>255</v>
          </cell>
          <cell r="BA11">
            <v>155</v>
          </cell>
          <cell r="BB11">
            <v>190</v>
          </cell>
          <cell r="BC11">
            <v>210</v>
          </cell>
          <cell r="BD11">
            <v>230</v>
          </cell>
          <cell r="BE11">
            <v>240</v>
          </cell>
          <cell r="BF11">
            <v>260</v>
          </cell>
          <cell r="BG11">
            <v>270</v>
          </cell>
          <cell r="BH11">
            <v>280</v>
          </cell>
          <cell r="BI11">
            <v>285</v>
          </cell>
          <cell r="BJ11">
            <v>290</v>
          </cell>
          <cell r="BK11">
            <v>210</v>
          </cell>
          <cell r="BL11">
            <v>230</v>
          </cell>
          <cell r="BM11">
            <v>260</v>
          </cell>
          <cell r="BN11">
            <v>275</v>
          </cell>
          <cell r="BO11">
            <v>295</v>
          </cell>
          <cell r="BP11">
            <v>310</v>
          </cell>
          <cell r="BQ11">
            <v>315</v>
          </cell>
          <cell r="BR11">
            <v>325</v>
          </cell>
          <cell r="BS11">
            <v>330</v>
          </cell>
          <cell r="BT11">
            <v>335</v>
          </cell>
          <cell r="BU11">
            <v>230</v>
          </cell>
          <cell r="BV11">
            <v>260</v>
          </cell>
          <cell r="BW11">
            <v>280</v>
          </cell>
          <cell r="BX11">
            <v>300</v>
          </cell>
          <cell r="BY11">
            <v>320</v>
          </cell>
          <cell r="BZ11">
            <v>330</v>
          </cell>
          <cell r="CA11">
            <v>340</v>
          </cell>
          <cell r="CB11">
            <v>350</v>
          </cell>
          <cell r="CC11">
            <v>360</v>
          </cell>
          <cell r="CD11">
            <v>365</v>
          </cell>
        </row>
        <row r="12">
          <cell r="C12">
            <v>175</v>
          </cell>
          <cell r="D12">
            <v>175</v>
          </cell>
          <cell r="E12">
            <v>175</v>
          </cell>
          <cell r="F12">
            <v>190</v>
          </cell>
          <cell r="G12">
            <v>200</v>
          </cell>
          <cell r="H12">
            <v>210</v>
          </cell>
          <cell r="I12">
            <v>225</v>
          </cell>
          <cell r="J12">
            <v>225</v>
          </cell>
          <cell r="K12">
            <v>230</v>
          </cell>
          <cell r="L12">
            <v>230</v>
          </cell>
          <cell r="M12">
            <v>175</v>
          </cell>
          <cell r="N12">
            <v>175</v>
          </cell>
          <cell r="O12">
            <v>175</v>
          </cell>
          <cell r="P12">
            <v>190</v>
          </cell>
          <cell r="Q12">
            <v>200</v>
          </cell>
          <cell r="R12">
            <v>210</v>
          </cell>
          <cell r="S12">
            <v>225</v>
          </cell>
          <cell r="T12">
            <v>225</v>
          </cell>
          <cell r="U12">
            <v>230</v>
          </cell>
          <cell r="V12">
            <v>230</v>
          </cell>
          <cell r="W12">
            <v>175</v>
          </cell>
          <cell r="X12">
            <v>175</v>
          </cell>
          <cell r="Y12">
            <v>190</v>
          </cell>
          <cell r="Z12">
            <v>200</v>
          </cell>
          <cell r="AA12">
            <v>210</v>
          </cell>
          <cell r="AB12">
            <v>225</v>
          </cell>
          <cell r="AC12">
            <v>225</v>
          </cell>
          <cell r="AD12">
            <v>230</v>
          </cell>
          <cell r="AE12">
            <v>230</v>
          </cell>
          <cell r="AF12">
            <v>235</v>
          </cell>
          <cell r="AG12">
            <v>175</v>
          </cell>
          <cell r="AH12">
            <v>175</v>
          </cell>
          <cell r="AI12">
            <v>190</v>
          </cell>
          <cell r="AJ12">
            <v>200</v>
          </cell>
          <cell r="AK12">
            <v>210</v>
          </cell>
          <cell r="AL12">
            <v>225</v>
          </cell>
          <cell r="AM12">
            <v>225</v>
          </cell>
          <cell r="AN12">
            <v>230</v>
          </cell>
          <cell r="AO12">
            <v>230</v>
          </cell>
          <cell r="AP12">
            <v>235</v>
          </cell>
          <cell r="AQ12">
            <v>275</v>
          </cell>
          <cell r="AR12">
            <v>275</v>
          </cell>
          <cell r="AS12">
            <v>275</v>
          </cell>
          <cell r="AT12">
            <v>295</v>
          </cell>
          <cell r="AU12">
            <v>315</v>
          </cell>
          <cell r="AV12">
            <v>335</v>
          </cell>
          <cell r="AW12">
            <v>360</v>
          </cell>
          <cell r="AX12">
            <v>360</v>
          </cell>
          <cell r="AY12">
            <v>380</v>
          </cell>
          <cell r="AZ12">
            <v>380</v>
          </cell>
          <cell r="BA12">
            <v>275</v>
          </cell>
          <cell r="BB12">
            <v>275</v>
          </cell>
          <cell r="BC12">
            <v>275</v>
          </cell>
          <cell r="BD12">
            <v>295</v>
          </cell>
          <cell r="BE12">
            <v>315</v>
          </cell>
          <cell r="BF12">
            <v>335</v>
          </cell>
          <cell r="BG12">
            <v>360</v>
          </cell>
          <cell r="BH12">
            <v>360</v>
          </cell>
          <cell r="BI12">
            <v>380</v>
          </cell>
          <cell r="BJ12">
            <v>380</v>
          </cell>
          <cell r="BK12">
            <v>275</v>
          </cell>
          <cell r="BL12">
            <v>275</v>
          </cell>
          <cell r="BM12">
            <v>295</v>
          </cell>
          <cell r="BN12">
            <v>315</v>
          </cell>
          <cell r="BO12">
            <v>335</v>
          </cell>
          <cell r="BP12">
            <v>360</v>
          </cell>
          <cell r="BQ12">
            <v>360</v>
          </cell>
          <cell r="BR12">
            <v>380</v>
          </cell>
          <cell r="BS12">
            <v>380</v>
          </cell>
          <cell r="BT12">
            <v>385</v>
          </cell>
          <cell r="BU12">
            <v>275</v>
          </cell>
          <cell r="BV12">
            <v>275</v>
          </cell>
          <cell r="BW12">
            <v>295</v>
          </cell>
          <cell r="BX12">
            <v>315</v>
          </cell>
          <cell r="BY12">
            <v>335</v>
          </cell>
          <cell r="BZ12">
            <v>360</v>
          </cell>
          <cell r="CA12">
            <v>360</v>
          </cell>
          <cell r="CB12">
            <v>380</v>
          </cell>
          <cell r="CC12">
            <v>380</v>
          </cell>
          <cell r="CD12">
            <v>385</v>
          </cell>
        </row>
        <row r="15">
          <cell r="B15" t="str">
            <v>MINIME</v>
          </cell>
          <cell r="C15" t="str">
            <v>CADET</v>
          </cell>
          <cell r="D15" t="str">
            <v>CADET</v>
          </cell>
          <cell r="E15" t="str">
            <v>JUNIOR</v>
          </cell>
          <cell r="F15" t="str">
            <v>SENIOR</v>
          </cell>
          <cell r="H15" t="str">
            <v>MINIME</v>
          </cell>
          <cell r="I15" t="str">
            <v>CADETTE</v>
          </cell>
          <cell r="J15" t="str">
            <v>CADETTE</v>
          </cell>
          <cell r="K15" t="str">
            <v>JUNIOR</v>
          </cell>
          <cell r="L15" t="str">
            <v>SENIOR</v>
          </cell>
        </row>
        <row r="16">
          <cell r="A16">
            <v>10</v>
          </cell>
          <cell r="B16" t="str">
            <v>NON</v>
          </cell>
          <cell r="C16" t="str">
            <v>U15 M49</v>
          </cell>
          <cell r="D16" t="str">
            <v>U17 M49</v>
          </cell>
          <cell r="E16" t="str">
            <v>U20 M55</v>
          </cell>
          <cell r="F16" t="str">
            <v>SE M55</v>
          </cell>
          <cell r="G16">
            <v>10</v>
          </cell>
          <cell r="H16" t="str">
            <v>NON</v>
          </cell>
          <cell r="I16" t="str">
            <v>U15 F40</v>
          </cell>
          <cell r="J16" t="str">
            <v>U17 F40</v>
          </cell>
          <cell r="K16" t="str">
            <v>U20 F45</v>
          </cell>
          <cell r="L16" t="str">
            <v>SE F45</v>
          </cell>
        </row>
        <row r="17">
          <cell r="A17">
            <v>35.01</v>
          </cell>
          <cell r="B17" t="str">
            <v>NON</v>
          </cell>
          <cell r="C17" t="str">
            <v>U15 M49</v>
          </cell>
          <cell r="D17" t="str">
            <v>U17 M49</v>
          </cell>
          <cell r="E17" t="str">
            <v>U20 M55</v>
          </cell>
          <cell r="F17" t="str">
            <v>SE M55</v>
          </cell>
          <cell r="G17">
            <v>35.01</v>
          </cell>
          <cell r="H17" t="str">
            <v>NON</v>
          </cell>
          <cell r="I17" t="str">
            <v>U15 F40</v>
          </cell>
          <cell r="J17" t="str">
            <v>U17 F40</v>
          </cell>
          <cell r="K17" t="str">
            <v>U20 F45</v>
          </cell>
          <cell r="L17" t="str">
            <v>SE F45</v>
          </cell>
        </row>
        <row r="18">
          <cell r="A18">
            <v>40.01</v>
          </cell>
          <cell r="B18" t="str">
            <v>NON</v>
          </cell>
          <cell r="C18" t="str">
            <v>U15 M49</v>
          </cell>
          <cell r="D18" t="str">
            <v>U17 M49</v>
          </cell>
          <cell r="E18" t="str">
            <v>U20 M55</v>
          </cell>
          <cell r="F18" t="str">
            <v>SE M55</v>
          </cell>
          <cell r="G18">
            <v>40.01</v>
          </cell>
          <cell r="H18" t="str">
            <v>NON</v>
          </cell>
          <cell r="I18" t="str">
            <v>U15 F45</v>
          </cell>
          <cell r="J18" t="str">
            <v>U17 F45</v>
          </cell>
          <cell r="K18" t="str">
            <v>U20 F45</v>
          </cell>
          <cell r="L18" t="str">
            <v>SE F45</v>
          </cell>
        </row>
        <row r="19">
          <cell r="A19">
            <v>45.01</v>
          </cell>
          <cell r="B19" t="str">
            <v>NON</v>
          </cell>
          <cell r="C19" t="str">
            <v>U15 M49</v>
          </cell>
          <cell r="D19" t="str">
            <v>U17 M49</v>
          </cell>
          <cell r="E19" t="str">
            <v>U20 M55</v>
          </cell>
          <cell r="F19" t="str">
            <v>SE M55</v>
          </cell>
          <cell r="G19">
            <v>45.01</v>
          </cell>
          <cell r="H19" t="str">
            <v>NON</v>
          </cell>
          <cell r="I19" t="str">
            <v>U15 F49</v>
          </cell>
          <cell r="J19" t="str">
            <v>U17 F49</v>
          </cell>
          <cell r="K19" t="str">
            <v>U20 F49</v>
          </cell>
          <cell r="L19" t="str">
            <v>SE F49</v>
          </cell>
        </row>
        <row r="20">
          <cell r="A20">
            <v>49.01</v>
          </cell>
          <cell r="B20" t="str">
            <v>NON</v>
          </cell>
          <cell r="C20" t="str">
            <v>U15 M55</v>
          </cell>
          <cell r="D20" t="str">
            <v>U17 M55</v>
          </cell>
          <cell r="E20" t="str">
            <v>U20 M55</v>
          </cell>
          <cell r="F20" t="str">
            <v>SE M55</v>
          </cell>
          <cell r="G20">
            <v>49.01</v>
          </cell>
          <cell r="H20" t="str">
            <v>NON</v>
          </cell>
          <cell r="I20" t="str">
            <v>U15 F55</v>
          </cell>
          <cell r="J20" t="str">
            <v>U17 F55</v>
          </cell>
          <cell r="K20" t="str">
            <v>U20 F55</v>
          </cell>
          <cell r="L20" t="str">
            <v>SE F55</v>
          </cell>
        </row>
        <row r="21">
          <cell r="A21">
            <v>55.01</v>
          </cell>
          <cell r="B21" t="str">
            <v>NON</v>
          </cell>
          <cell r="C21" t="str">
            <v>U15 M61</v>
          </cell>
          <cell r="D21" t="str">
            <v>U17 M61</v>
          </cell>
          <cell r="E21" t="str">
            <v>U20 M61</v>
          </cell>
          <cell r="F21" t="str">
            <v>SE M61</v>
          </cell>
          <cell r="G21">
            <v>55.01</v>
          </cell>
          <cell r="H21" t="str">
            <v>NON</v>
          </cell>
          <cell r="I21" t="str">
            <v>U15 F59</v>
          </cell>
          <cell r="J21" t="str">
            <v>U17 F59</v>
          </cell>
          <cell r="K21" t="str">
            <v>U20 F59</v>
          </cell>
          <cell r="L21" t="str">
            <v>SE F59</v>
          </cell>
        </row>
        <row r="22">
          <cell r="A22">
            <v>61.01</v>
          </cell>
          <cell r="B22" t="str">
            <v>NON</v>
          </cell>
          <cell r="C22" t="str">
            <v>U15 M67</v>
          </cell>
          <cell r="D22" t="str">
            <v>U17 M67</v>
          </cell>
          <cell r="E22" t="str">
            <v>U20 M67</v>
          </cell>
          <cell r="F22" t="str">
            <v>SE M67</v>
          </cell>
          <cell r="G22">
            <v>59.01</v>
          </cell>
          <cell r="H22" t="str">
            <v>NON</v>
          </cell>
          <cell r="I22" t="str">
            <v>U15 F64</v>
          </cell>
          <cell r="J22" t="str">
            <v>U17 F64</v>
          </cell>
          <cell r="K22" t="str">
            <v>U20 F64</v>
          </cell>
          <cell r="L22" t="str">
            <v>SE F64</v>
          </cell>
        </row>
        <row r="23">
          <cell r="A23">
            <v>67.010000000000005</v>
          </cell>
          <cell r="B23" t="str">
            <v>NON</v>
          </cell>
          <cell r="C23" t="str">
            <v>U15 M73</v>
          </cell>
          <cell r="D23" t="str">
            <v>U17 M73</v>
          </cell>
          <cell r="E23" t="str">
            <v>U20 M73</v>
          </cell>
          <cell r="F23" t="str">
            <v>SE M73</v>
          </cell>
          <cell r="G23">
            <v>64.010000000000005</v>
          </cell>
          <cell r="H23" t="str">
            <v>NON</v>
          </cell>
          <cell r="I23" t="str">
            <v>U15 F71</v>
          </cell>
          <cell r="J23" t="str">
            <v>U17 F71</v>
          </cell>
          <cell r="K23" t="str">
            <v>U20 F71</v>
          </cell>
          <cell r="L23" t="str">
            <v>SE F71</v>
          </cell>
        </row>
        <row r="24">
          <cell r="A24">
            <v>73.010000000000005</v>
          </cell>
          <cell r="B24" t="str">
            <v>NON</v>
          </cell>
          <cell r="C24" t="str">
            <v>U15 M81</v>
          </cell>
          <cell r="D24" t="str">
            <v>U17 M81</v>
          </cell>
          <cell r="E24" t="str">
            <v>U20 M81</v>
          </cell>
          <cell r="F24" t="str">
            <v>SE M81</v>
          </cell>
          <cell r="G24">
            <v>71.010000000000005</v>
          </cell>
          <cell r="H24" t="str">
            <v>NON</v>
          </cell>
          <cell r="I24" t="str">
            <v>U15 F76</v>
          </cell>
          <cell r="J24" t="str">
            <v>U17 F76</v>
          </cell>
          <cell r="K24" t="str">
            <v>U20 F76</v>
          </cell>
          <cell r="L24" t="str">
            <v>SE F76</v>
          </cell>
        </row>
        <row r="25">
          <cell r="A25">
            <v>81.010000000000005</v>
          </cell>
          <cell r="B25" t="str">
            <v>NON</v>
          </cell>
          <cell r="C25" t="str">
            <v>U15 M89</v>
          </cell>
          <cell r="D25" t="str">
            <v>U17 M89</v>
          </cell>
          <cell r="E25" t="str">
            <v>U20 M89</v>
          </cell>
          <cell r="F25" t="str">
            <v>SE M89</v>
          </cell>
          <cell r="G25">
            <v>76.010000000000005</v>
          </cell>
          <cell r="H25" t="str">
            <v>NON</v>
          </cell>
          <cell r="I25" t="str">
            <v>U15 F81</v>
          </cell>
          <cell r="J25" t="str">
            <v>U17 F81</v>
          </cell>
          <cell r="K25" t="str">
            <v>U20 F81</v>
          </cell>
          <cell r="L25" t="str">
            <v>SE F81</v>
          </cell>
        </row>
        <row r="26">
          <cell r="A26">
            <v>89.01</v>
          </cell>
          <cell r="B26" t="str">
            <v>NON</v>
          </cell>
          <cell r="C26" t="str">
            <v>U15 M96</v>
          </cell>
          <cell r="D26" t="str">
            <v>U17 M96</v>
          </cell>
          <cell r="E26" t="str">
            <v>U20 M96</v>
          </cell>
          <cell r="F26" t="str">
            <v>SE M96</v>
          </cell>
          <cell r="G26">
            <v>81.010000000000005</v>
          </cell>
          <cell r="H26" t="str">
            <v>NON</v>
          </cell>
          <cell r="I26" t="str">
            <v>U15 F&gt;81</v>
          </cell>
          <cell r="J26" t="str">
            <v>U17 F&gt;81</v>
          </cell>
          <cell r="K26" t="str">
            <v>U20 F87</v>
          </cell>
          <cell r="L26" t="str">
            <v>SE F87</v>
          </cell>
        </row>
        <row r="27">
          <cell r="A27">
            <v>96.01</v>
          </cell>
          <cell r="B27" t="str">
            <v>NON</v>
          </cell>
          <cell r="C27" t="str">
            <v>U15 M102</v>
          </cell>
          <cell r="D27" t="str">
            <v>U17 M102</v>
          </cell>
          <cell r="E27" t="str">
            <v>U20 M102</v>
          </cell>
          <cell r="F27" t="str">
            <v>SE M102</v>
          </cell>
          <cell r="G27">
            <v>87.01</v>
          </cell>
          <cell r="H27" t="str">
            <v>NON</v>
          </cell>
          <cell r="I27" t="str">
            <v>U15 F&gt;81</v>
          </cell>
          <cell r="J27" t="str">
            <v>U17 F&gt;81</v>
          </cell>
          <cell r="K27" t="str">
            <v>U20 F&gt;87</v>
          </cell>
          <cell r="L27" t="str">
            <v>SE F&gt;87</v>
          </cell>
        </row>
        <row r="28">
          <cell r="A28">
            <v>102.01</v>
          </cell>
          <cell r="B28" t="str">
            <v>NON</v>
          </cell>
          <cell r="C28" t="str">
            <v>U15 M&gt;102</v>
          </cell>
          <cell r="D28" t="str">
            <v>U17 M&gt;102</v>
          </cell>
          <cell r="E28" t="str">
            <v>U20 M109</v>
          </cell>
          <cell r="F28" t="str">
            <v>SE M109</v>
          </cell>
        </row>
        <row r="29">
          <cell r="A29">
            <v>109.1</v>
          </cell>
          <cell r="B29" t="str">
            <v>NON</v>
          </cell>
          <cell r="C29" t="str">
            <v>U15 M&gt;102</v>
          </cell>
          <cell r="D29" t="str">
            <v>U17 M&gt;102</v>
          </cell>
          <cell r="E29" t="str">
            <v>U20 M&gt;109</v>
          </cell>
          <cell r="F29" t="str">
            <v>SE M&gt;109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VIDUEL"/>
      <sheetName val="Minimas"/>
    </sheetNames>
    <sheetDataSet>
      <sheetData sheetId="0" refreshError="1"/>
      <sheetData sheetId="1">
        <row r="15">
          <cell r="B15" t="str">
            <v>MINIME</v>
          </cell>
          <cell r="C15" t="str">
            <v>CADET</v>
          </cell>
          <cell r="D15" t="str">
            <v>CADET</v>
          </cell>
          <cell r="E15" t="str">
            <v>JUNIOR</v>
          </cell>
          <cell r="F15" t="str">
            <v>SENIOR</v>
          </cell>
          <cell r="H15" t="str">
            <v>MINIME</v>
          </cell>
          <cell r="I15" t="str">
            <v>CADETTE</v>
          </cell>
          <cell r="J15" t="str">
            <v>CADETTE</v>
          </cell>
          <cell r="K15" t="str">
            <v>JUNIOR</v>
          </cell>
          <cell r="L15" t="str">
            <v>SENIOR</v>
          </cell>
        </row>
        <row r="16">
          <cell r="A16">
            <v>10</v>
          </cell>
          <cell r="B16" t="str">
            <v>NON</v>
          </cell>
          <cell r="C16" t="str">
            <v>U15 M49</v>
          </cell>
          <cell r="D16" t="str">
            <v>U17 M49</v>
          </cell>
          <cell r="E16" t="str">
            <v>U20 M55</v>
          </cell>
          <cell r="F16" t="str">
            <v>SE M55</v>
          </cell>
          <cell r="G16">
            <v>10</v>
          </cell>
          <cell r="H16" t="str">
            <v>NON</v>
          </cell>
          <cell r="I16" t="str">
            <v>U15 F40</v>
          </cell>
          <cell r="J16" t="str">
            <v>U17 F40</v>
          </cell>
          <cell r="K16" t="str">
            <v>U20 F45</v>
          </cell>
          <cell r="L16" t="str">
            <v>SE F45</v>
          </cell>
        </row>
        <row r="17">
          <cell r="A17">
            <v>35.01</v>
          </cell>
          <cell r="B17" t="str">
            <v>NON</v>
          </cell>
          <cell r="C17" t="str">
            <v>U15 M49</v>
          </cell>
          <cell r="D17" t="str">
            <v>U17 M49</v>
          </cell>
          <cell r="E17" t="str">
            <v>U20 M55</v>
          </cell>
          <cell r="F17" t="str">
            <v>SE M55</v>
          </cell>
          <cell r="G17">
            <v>35.01</v>
          </cell>
          <cell r="H17" t="str">
            <v>NON</v>
          </cell>
          <cell r="I17" t="str">
            <v>U15 F40</v>
          </cell>
          <cell r="J17" t="str">
            <v>U17 F40</v>
          </cell>
          <cell r="K17" t="str">
            <v>U20 F45</v>
          </cell>
          <cell r="L17" t="str">
            <v>SE F45</v>
          </cell>
        </row>
        <row r="18">
          <cell r="A18">
            <v>40.01</v>
          </cell>
          <cell r="B18" t="str">
            <v>NON</v>
          </cell>
          <cell r="C18" t="str">
            <v>U15 M49</v>
          </cell>
          <cell r="D18" t="str">
            <v>U17 M49</v>
          </cell>
          <cell r="E18" t="str">
            <v>U20 M55</v>
          </cell>
          <cell r="F18" t="str">
            <v>SE M55</v>
          </cell>
          <cell r="G18">
            <v>40.01</v>
          </cell>
          <cell r="H18" t="str">
            <v>NON</v>
          </cell>
          <cell r="I18" t="str">
            <v>U15 F45</v>
          </cell>
          <cell r="J18" t="str">
            <v>U17 F45</v>
          </cell>
          <cell r="K18" t="str">
            <v>U20 F45</v>
          </cell>
          <cell r="L18" t="str">
            <v>SE F45</v>
          </cell>
        </row>
        <row r="19">
          <cell r="A19">
            <v>45.01</v>
          </cell>
          <cell r="B19" t="str">
            <v>NON</v>
          </cell>
          <cell r="C19" t="str">
            <v>U15 M49</v>
          </cell>
          <cell r="D19" t="str">
            <v>U17 M49</v>
          </cell>
          <cell r="E19" t="str">
            <v>U20 M55</v>
          </cell>
          <cell r="F19" t="str">
            <v>SE M55</v>
          </cell>
          <cell r="G19">
            <v>45.01</v>
          </cell>
          <cell r="H19" t="str">
            <v>NON</v>
          </cell>
          <cell r="I19" t="str">
            <v>U15 F49</v>
          </cell>
          <cell r="J19" t="str">
            <v>U17 F49</v>
          </cell>
          <cell r="K19" t="str">
            <v>U20 F49</v>
          </cell>
          <cell r="L19" t="str">
            <v>SE F49</v>
          </cell>
        </row>
        <row r="20">
          <cell r="A20">
            <v>49.01</v>
          </cell>
          <cell r="B20" t="str">
            <v>NON</v>
          </cell>
          <cell r="C20" t="str">
            <v>U15 M55</v>
          </cell>
          <cell r="D20" t="str">
            <v>U17 M55</v>
          </cell>
          <cell r="E20" t="str">
            <v>U20 M55</v>
          </cell>
          <cell r="F20" t="str">
            <v>SE M55</v>
          </cell>
          <cell r="G20">
            <v>49.01</v>
          </cell>
          <cell r="H20" t="str">
            <v>NON</v>
          </cell>
          <cell r="I20" t="str">
            <v>U15 F55</v>
          </cell>
          <cell r="J20" t="str">
            <v>U17 F55</v>
          </cell>
          <cell r="K20" t="str">
            <v>U20 F55</v>
          </cell>
          <cell r="L20" t="str">
            <v>SE F55</v>
          </cell>
        </row>
        <row r="21">
          <cell r="A21">
            <v>55.01</v>
          </cell>
          <cell r="B21" t="str">
            <v>NON</v>
          </cell>
          <cell r="C21" t="str">
            <v>U15 M61</v>
          </cell>
          <cell r="D21" t="str">
            <v>U17 M61</v>
          </cell>
          <cell r="E21" t="str">
            <v>U20 M61</v>
          </cell>
          <cell r="F21" t="str">
            <v>SE M61</v>
          </cell>
          <cell r="G21">
            <v>55.01</v>
          </cell>
          <cell r="H21" t="str">
            <v>NON</v>
          </cell>
          <cell r="I21" t="str">
            <v>U15 F59</v>
          </cell>
          <cell r="J21" t="str">
            <v>U17 F59</v>
          </cell>
          <cell r="K21" t="str">
            <v>U20 F59</v>
          </cell>
          <cell r="L21" t="str">
            <v>SE F59</v>
          </cell>
        </row>
        <row r="22">
          <cell r="A22">
            <v>61.01</v>
          </cell>
          <cell r="B22" t="str">
            <v>NON</v>
          </cell>
          <cell r="C22" t="str">
            <v>U15 M67</v>
          </cell>
          <cell r="D22" t="str">
            <v>U17 M67</v>
          </cell>
          <cell r="E22" t="str">
            <v>U20 M67</v>
          </cell>
          <cell r="F22" t="str">
            <v>SE M67</v>
          </cell>
          <cell r="G22">
            <v>59.01</v>
          </cell>
          <cell r="H22" t="str">
            <v>NON</v>
          </cell>
          <cell r="I22" t="str">
            <v>U15 F64</v>
          </cell>
          <cell r="J22" t="str">
            <v>U17 F64</v>
          </cell>
          <cell r="K22" t="str">
            <v>U20 F64</v>
          </cell>
          <cell r="L22" t="str">
            <v>SE F64</v>
          </cell>
        </row>
        <row r="23">
          <cell r="A23">
            <v>67.010000000000005</v>
          </cell>
          <cell r="B23" t="str">
            <v>NON</v>
          </cell>
          <cell r="C23" t="str">
            <v>U15 M73</v>
          </cell>
          <cell r="D23" t="str">
            <v>U17 M73</v>
          </cell>
          <cell r="E23" t="str">
            <v>U20 M73</v>
          </cell>
          <cell r="F23" t="str">
            <v>SE M73</v>
          </cell>
          <cell r="G23">
            <v>64.010000000000005</v>
          </cell>
          <cell r="H23" t="str">
            <v>NON</v>
          </cell>
          <cell r="I23" t="str">
            <v>U15 F71</v>
          </cell>
          <cell r="J23" t="str">
            <v>U17 F71</v>
          </cell>
          <cell r="K23" t="str">
            <v>U20 F71</v>
          </cell>
          <cell r="L23" t="str">
            <v>SE F71</v>
          </cell>
        </row>
        <row r="24">
          <cell r="A24">
            <v>73.010000000000005</v>
          </cell>
          <cell r="B24" t="str">
            <v>NON</v>
          </cell>
          <cell r="C24" t="str">
            <v>U15 M81</v>
          </cell>
          <cell r="D24" t="str">
            <v>U17 M81</v>
          </cell>
          <cell r="E24" t="str">
            <v>U20 M81</v>
          </cell>
          <cell r="F24" t="str">
            <v>SE M81</v>
          </cell>
          <cell r="G24">
            <v>71.010000000000005</v>
          </cell>
          <cell r="H24" t="str">
            <v>NON</v>
          </cell>
          <cell r="I24" t="str">
            <v>U15 F76</v>
          </cell>
          <cell r="J24" t="str">
            <v>U17 F76</v>
          </cell>
          <cell r="K24" t="str">
            <v>U20 F76</v>
          </cell>
          <cell r="L24" t="str">
            <v>SE F76</v>
          </cell>
        </row>
        <row r="25">
          <cell r="A25">
            <v>81.010000000000005</v>
          </cell>
          <cell r="B25" t="str">
            <v>NON</v>
          </cell>
          <cell r="C25" t="str">
            <v>U15 M89</v>
          </cell>
          <cell r="D25" t="str">
            <v>U17 M89</v>
          </cell>
          <cell r="E25" t="str">
            <v>U20 M89</v>
          </cell>
          <cell r="F25" t="str">
            <v>SE M89</v>
          </cell>
          <cell r="G25">
            <v>76.010000000000005</v>
          </cell>
          <cell r="H25" t="str">
            <v>NON</v>
          </cell>
          <cell r="I25" t="str">
            <v>U15 F81</v>
          </cell>
          <cell r="J25" t="str">
            <v>U17 F81</v>
          </cell>
          <cell r="K25" t="str">
            <v>U20 F81</v>
          </cell>
          <cell r="L25" t="str">
            <v>SE F81</v>
          </cell>
        </row>
        <row r="26">
          <cell r="A26">
            <v>89.01</v>
          </cell>
          <cell r="B26" t="str">
            <v>NON</v>
          </cell>
          <cell r="C26" t="str">
            <v>U15 M96</v>
          </cell>
          <cell r="D26" t="str">
            <v>U17 M96</v>
          </cell>
          <cell r="E26" t="str">
            <v>U20 M96</v>
          </cell>
          <cell r="F26" t="str">
            <v>SE M96</v>
          </cell>
          <cell r="G26">
            <v>81.010000000000005</v>
          </cell>
          <cell r="H26" t="str">
            <v>NON</v>
          </cell>
          <cell r="I26" t="str">
            <v>U15 F&gt;81</v>
          </cell>
          <cell r="J26" t="str">
            <v>U17 F&gt;81</v>
          </cell>
          <cell r="K26" t="str">
            <v>U20 F87</v>
          </cell>
          <cell r="L26" t="str">
            <v>SE F87</v>
          </cell>
        </row>
        <row r="27">
          <cell r="A27">
            <v>96.01</v>
          </cell>
          <cell r="B27" t="str">
            <v>NON</v>
          </cell>
          <cell r="C27" t="str">
            <v>U15 M102</v>
          </cell>
          <cell r="D27" t="str">
            <v>U17 M102</v>
          </cell>
          <cell r="E27" t="str">
            <v>U20 M102</v>
          </cell>
          <cell r="F27" t="str">
            <v>SE M102</v>
          </cell>
          <cell r="G27">
            <v>87.01</v>
          </cell>
          <cell r="H27" t="str">
            <v>NON</v>
          </cell>
          <cell r="I27" t="str">
            <v>U15 F&gt;81</v>
          </cell>
          <cell r="J27" t="str">
            <v>U17 F&gt;81</v>
          </cell>
          <cell r="K27" t="str">
            <v>U20 F&gt;87</v>
          </cell>
          <cell r="L27" t="str">
            <v>SE F&gt;87</v>
          </cell>
        </row>
        <row r="28">
          <cell r="A28">
            <v>102.01</v>
          </cell>
          <cell r="B28" t="str">
            <v>NON</v>
          </cell>
          <cell r="C28" t="str">
            <v>U15 M&gt;102</v>
          </cell>
          <cell r="D28" t="str">
            <v>U17 M&gt;102</v>
          </cell>
          <cell r="E28" t="str">
            <v>U20 M109</v>
          </cell>
          <cell r="F28" t="str">
            <v>SE M109</v>
          </cell>
        </row>
        <row r="29">
          <cell r="A29">
            <v>109.1</v>
          </cell>
          <cell r="B29" t="str">
            <v>NON</v>
          </cell>
          <cell r="C29" t="str">
            <v>U15 M&gt;102</v>
          </cell>
          <cell r="D29" t="str">
            <v>U17 M&gt;102</v>
          </cell>
          <cell r="E29" t="str">
            <v>U20 M&gt;109</v>
          </cell>
          <cell r="F29" t="str">
            <v>SE M&gt;109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VIDUEL"/>
      <sheetName val="Minimas"/>
    </sheetNames>
    <sheetDataSet>
      <sheetData sheetId="0" refreshError="1"/>
      <sheetData sheetId="1">
        <row r="15">
          <cell r="B15" t="str">
            <v>MINIME</v>
          </cell>
          <cell r="C15" t="str">
            <v>CADET</v>
          </cell>
          <cell r="D15" t="str">
            <v>CADET</v>
          </cell>
          <cell r="E15" t="str">
            <v>JUNIOR</v>
          </cell>
          <cell r="F15" t="str">
            <v>SENIOR</v>
          </cell>
          <cell r="H15" t="str">
            <v>MINIME</v>
          </cell>
          <cell r="I15" t="str">
            <v>CADETTE</v>
          </cell>
          <cell r="J15" t="str">
            <v>CADETTE</v>
          </cell>
          <cell r="K15" t="str">
            <v>JUNIOR</v>
          </cell>
          <cell r="L15" t="str">
            <v>SENIOR</v>
          </cell>
        </row>
        <row r="16">
          <cell r="A16">
            <v>10</v>
          </cell>
          <cell r="B16" t="str">
            <v>NON</v>
          </cell>
          <cell r="C16" t="str">
            <v>U15 M49</v>
          </cell>
          <cell r="D16" t="str">
            <v>U17 M49</v>
          </cell>
          <cell r="E16" t="str">
            <v>U20 M55</v>
          </cell>
          <cell r="F16" t="str">
            <v>SE M55</v>
          </cell>
          <cell r="G16">
            <v>10</v>
          </cell>
          <cell r="H16" t="str">
            <v>NON</v>
          </cell>
          <cell r="I16" t="str">
            <v>U15 F40</v>
          </cell>
          <cell r="J16" t="str">
            <v>U17 F40</v>
          </cell>
          <cell r="K16" t="str">
            <v>U20 F45</v>
          </cell>
          <cell r="L16" t="str">
            <v>SE F45</v>
          </cell>
        </row>
        <row r="17">
          <cell r="A17">
            <v>35.01</v>
          </cell>
          <cell r="B17" t="str">
            <v>NON</v>
          </cell>
          <cell r="C17" t="str">
            <v>U15 M49</v>
          </cell>
          <cell r="D17" t="str">
            <v>U17 M49</v>
          </cell>
          <cell r="E17" t="str">
            <v>U20 M55</v>
          </cell>
          <cell r="F17" t="str">
            <v>SE M55</v>
          </cell>
          <cell r="G17">
            <v>35.01</v>
          </cell>
          <cell r="H17" t="str">
            <v>NON</v>
          </cell>
          <cell r="I17" t="str">
            <v>U15 F40</v>
          </cell>
          <cell r="J17" t="str">
            <v>U17 F40</v>
          </cell>
          <cell r="K17" t="str">
            <v>U20 F45</v>
          </cell>
          <cell r="L17" t="str">
            <v>SE F45</v>
          </cell>
        </row>
        <row r="18">
          <cell r="A18">
            <v>40.01</v>
          </cell>
          <cell r="B18" t="str">
            <v>NON</v>
          </cell>
          <cell r="C18" t="str">
            <v>U15 M49</v>
          </cell>
          <cell r="D18" t="str">
            <v>U17 M49</v>
          </cell>
          <cell r="E18" t="str">
            <v>U20 M55</v>
          </cell>
          <cell r="F18" t="str">
            <v>SE M55</v>
          </cell>
          <cell r="G18">
            <v>40.01</v>
          </cell>
          <cell r="H18" t="str">
            <v>NON</v>
          </cell>
          <cell r="I18" t="str">
            <v>U15 F45</v>
          </cell>
          <cell r="J18" t="str">
            <v>U17 F45</v>
          </cell>
          <cell r="K18" t="str">
            <v>U20 F45</v>
          </cell>
          <cell r="L18" t="str">
            <v>SE F45</v>
          </cell>
        </row>
        <row r="19">
          <cell r="A19">
            <v>45.01</v>
          </cell>
          <cell r="B19" t="str">
            <v>NON</v>
          </cell>
          <cell r="C19" t="str">
            <v>U15 M49</v>
          </cell>
          <cell r="D19" t="str">
            <v>U17 M49</v>
          </cell>
          <cell r="E19" t="str">
            <v>U20 M55</v>
          </cell>
          <cell r="F19" t="str">
            <v>SE M55</v>
          </cell>
          <cell r="G19">
            <v>45.01</v>
          </cell>
          <cell r="H19" t="str">
            <v>NON</v>
          </cell>
          <cell r="I19" t="str">
            <v>U15 F49</v>
          </cell>
          <cell r="J19" t="str">
            <v>U17 F49</v>
          </cell>
          <cell r="K19" t="str">
            <v>U20 F49</v>
          </cell>
          <cell r="L19" t="str">
            <v>SE F49</v>
          </cell>
        </row>
        <row r="20">
          <cell r="A20">
            <v>49.01</v>
          </cell>
          <cell r="B20" t="str">
            <v>NON</v>
          </cell>
          <cell r="C20" t="str">
            <v>U15 M55</v>
          </cell>
          <cell r="D20" t="str">
            <v>U17 M55</v>
          </cell>
          <cell r="E20" t="str">
            <v>U20 M55</v>
          </cell>
          <cell r="F20" t="str">
            <v>SE M55</v>
          </cell>
          <cell r="G20">
            <v>49.01</v>
          </cell>
          <cell r="H20" t="str">
            <v>NON</v>
          </cell>
          <cell r="I20" t="str">
            <v>U15 F55</v>
          </cell>
          <cell r="J20" t="str">
            <v>U17 F55</v>
          </cell>
          <cell r="K20" t="str">
            <v>U20 F55</v>
          </cell>
          <cell r="L20" t="str">
            <v>SE F55</v>
          </cell>
        </row>
        <row r="21">
          <cell r="A21">
            <v>55.01</v>
          </cell>
          <cell r="B21" t="str">
            <v>NON</v>
          </cell>
          <cell r="C21" t="str">
            <v>U15 M61</v>
          </cell>
          <cell r="D21" t="str">
            <v>U17 M61</v>
          </cell>
          <cell r="E21" t="str">
            <v>U20 M61</v>
          </cell>
          <cell r="F21" t="str">
            <v>SE M61</v>
          </cell>
          <cell r="G21">
            <v>55.01</v>
          </cell>
          <cell r="H21" t="str">
            <v>NON</v>
          </cell>
          <cell r="I21" t="str">
            <v>U15 F59</v>
          </cell>
          <cell r="J21" t="str">
            <v>U17 F59</v>
          </cell>
          <cell r="K21" t="str">
            <v>U20 F59</v>
          </cell>
          <cell r="L21" t="str">
            <v>SE F59</v>
          </cell>
        </row>
        <row r="22">
          <cell r="A22">
            <v>61.01</v>
          </cell>
          <cell r="B22" t="str">
            <v>NON</v>
          </cell>
          <cell r="C22" t="str">
            <v>U15 M67</v>
          </cell>
          <cell r="D22" t="str">
            <v>U17 M67</v>
          </cell>
          <cell r="E22" t="str">
            <v>U20 M67</v>
          </cell>
          <cell r="F22" t="str">
            <v>SE M67</v>
          </cell>
          <cell r="G22">
            <v>59.01</v>
          </cell>
          <cell r="H22" t="str">
            <v>NON</v>
          </cell>
          <cell r="I22" t="str">
            <v>U15 F64</v>
          </cell>
          <cell r="J22" t="str">
            <v>U17 F64</v>
          </cell>
          <cell r="K22" t="str">
            <v>U20 F64</v>
          </cell>
          <cell r="L22" t="str">
            <v>SE F64</v>
          </cell>
        </row>
        <row r="23">
          <cell r="A23">
            <v>67.010000000000005</v>
          </cell>
          <cell r="B23" t="str">
            <v>NON</v>
          </cell>
          <cell r="C23" t="str">
            <v>U15 M73</v>
          </cell>
          <cell r="D23" t="str">
            <v>U17 M73</v>
          </cell>
          <cell r="E23" t="str">
            <v>U20 M73</v>
          </cell>
          <cell r="F23" t="str">
            <v>SE M73</v>
          </cell>
          <cell r="G23">
            <v>64.010000000000005</v>
          </cell>
          <cell r="H23" t="str">
            <v>NON</v>
          </cell>
          <cell r="I23" t="str">
            <v>U15 F71</v>
          </cell>
          <cell r="J23" t="str">
            <v>U17 F71</v>
          </cell>
          <cell r="K23" t="str">
            <v>U20 F71</v>
          </cell>
          <cell r="L23" t="str">
            <v>SE F71</v>
          </cell>
        </row>
        <row r="24">
          <cell r="A24">
            <v>73.010000000000005</v>
          </cell>
          <cell r="B24" t="str">
            <v>NON</v>
          </cell>
          <cell r="C24" t="str">
            <v>U15 M81</v>
          </cell>
          <cell r="D24" t="str">
            <v>U17 M81</v>
          </cell>
          <cell r="E24" t="str">
            <v>U20 M81</v>
          </cell>
          <cell r="F24" t="str">
            <v>SE M81</v>
          </cell>
          <cell r="G24">
            <v>71.010000000000005</v>
          </cell>
          <cell r="H24" t="str">
            <v>NON</v>
          </cell>
          <cell r="I24" t="str">
            <v>U15 F76</v>
          </cell>
          <cell r="J24" t="str">
            <v>U17 F76</v>
          </cell>
          <cell r="K24" t="str">
            <v>U20 F76</v>
          </cell>
          <cell r="L24" t="str">
            <v>SE F76</v>
          </cell>
        </row>
        <row r="25">
          <cell r="A25">
            <v>81.010000000000005</v>
          </cell>
          <cell r="B25" t="str">
            <v>NON</v>
          </cell>
          <cell r="C25" t="str">
            <v>U15 M89</v>
          </cell>
          <cell r="D25" t="str">
            <v>U17 M89</v>
          </cell>
          <cell r="E25" t="str">
            <v>U20 M89</v>
          </cell>
          <cell r="F25" t="str">
            <v>SE M89</v>
          </cell>
          <cell r="G25">
            <v>76.010000000000005</v>
          </cell>
          <cell r="H25" t="str">
            <v>NON</v>
          </cell>
          <cell r="I25" t="str">
            <v>U15 F81</v>
          </cell>
          <cell r="J25" t="str">
            <v>U17 F81</v>
          </cell>
          <cell r="K25" t="str">
            <v>U20 F81</v>
          </cell>
          <cell r="L25" t="str">
            <v>SE F81</v>
          </cell>
        </row>
        <row r="26">
          <cell r="A26">
            <v>89.01</v>
          </cell>
          <cell r="B26" t="str">
            <v>NON</v>
          </cell>
          <cell r="C26" t="str">
            <v>U15 M96</v>
          </cell>
          <cell r="D26" t="str">
            <v>U17 M96</v>
          </cell>
          <cell r="E26" t="str">
            <v>U20 M96</v>
          </cell>
          <cell r="F26" t="str">
            <v>SE M96</v>
          </cell>
          <cell r="G26">
            <v>81.010000000000005</v>
          </cell>
          <cell r="H26" t="str">
            <v>NON</v>
          </cell>
          <cell r="I26" t="str">
            <v>U15 F&gt;81</v>
          </cell>
          <cell r="J26" t="str">
            <v>U17 F&gt;81</v>
          </cell>
          <cell r="K26" t="str">
            <v>U20 F87</v>
          </cell>
          <cell r="L26" t="str">
            <v>SE F87</v>
          </cell>
        </row>
        <row r="27">
          <cell r="A27">
            <v>96.01</v>
          </cell>
          <cell r="B27" t="str">
            <v>NON</v>
          </cell>
          <cell r="C27" t="str">
            <v>U15 M102</v>
          </cell>
          <cell r="D27" t="str">
            <v>U17 M102</v>
          </cell>
          <cell r="E27" t="str">
            <v>U20 M102</v>
          </cell>
          <cell r="F27" t="str">
            <v>SE M102</v>
          </cell>
          <cell r="G27">
            <v>87.01</v>
          </cell>
          <cell r="H27" t="str">
            <v>NON</v>
          </cell>
          <cell r="I27" t="str">
            <v>U15 F&gt;81</v>
          </cell>
          <cell r="J27" t="str">
            <v>U17 F&gt;81</v>
          </cell>
          <cell r="K27" t="str">
            <v>U20 F&gt;87</v>
          </cell>
          <cell r="L27" t="str">
            <v>SE F&gt;87</v>
          </cell>
        </row>
        <row r="28">
          <cell r="A28">
            <v>102.01</v>
          </cell>
          <cell r="B28" t="str">
            <v>NON</v>
          </cell>
          <cell r="C28" t="str">
            <v>U15 M&gt;102</v>
          </cell>
          <cell r="D28" t="str">
            <v>U17 M&gt;102</v>
          </cell>
          <cell r="E28" t="str">
            <v>U20 M109</v>
          </cell>
          <cell r="F28" t="str">
            <v>SE M109</v>
          </cell>
        </row>
        <row r="29">
          <cell r="A29">
            <v>109.1</v>
          </cell>
          <cell r="B29" t="str">
            <v>NON</v>
          </cell>
          <cell r="C29" t="str">
            <v>U15 M&gt;102</v>
          </cell>
          <cell r="D29" t="str">
            <v>U17 M&gt;102</v>
          </cell>
          <cell r="E29" t="str">
            <v>U20 M&gt;109</v>
          </cell>
          <cell r="F29" t="str">
            <v>SE M&gt;109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VIDUEL"/>
      <sheetName val="Minimas"/>
    </sheetNames>
    <sheetDataSet>
      <sheetData sheetId="0" refreshError="1"/>
      <sheetData sheetId="1">
        <row r="15">
          <cell r="B15" t="str">
            <v>MINIME</v>
          </cell>
          <cell r="C15" t="str">
            <v>CADET</v>
          </cell>
          <cell r="D15" t="str">
            <v>CADET</v>
          </cell>
          <cell r="E15" t="str">
            <v>JUNIOR</v>
          </cell>
          <cell r="F15" t="str">
            <v>SENIOR</v>
          </cell>
          <cell r="H15" t="str">
            <v>MINIME</v>
          </cell>
          <cell r="I15" t="str">
            <v>CADETTE</v>
          </cell>
          <cell r="J15" t="str">
            <v>CADETTE</v>
          </cell>
          <cell r="K15" t="str">
            <v>JUNIOR</v>
          </cell>
          <cell r="L15" t="str">
            <v>SENIOR</v>
          </cell>
        </row>
        <row r="16">
          <cell r="A16">
            <v>10</v>
          </cell>
          <cell r="B16" t="str">
            <v>NON</v>
          </cell>
          <cell r="C16" t="str">
            <v>U15 M49</v>
          </cell>
          <cell r="D16" t="str">
            <v>U17 M49</v>
          </cell>
          <cell r="E16" t="str">
            <v>U20 M55</v>
          </cell>
          <cell r="F16" t="str">
            <v>SE M55</v>
          </cell>
          <cell r="G16">
            <v>10</v>
          </cell>
          <cell r="H16" t="str">
            <v>NON</v>
          </cell>
          <cell r="I16" t="str">
            <v>U15 F40</v>
          </cell>
          <cell r="J16" t="str">
            <v>U17 F40</v>
          </cell>
          <cell r="K16" t="str">
            <v>U20 F45</v>
          </cell>
          <cell r="L16" t="str">
            <v>SE F45</v>
          </cell>
        </row>
        <row r="17">
          <cell r="A17">
            <v>35.01</v>
          </cell>
          <cell r="B17" t="str">
            <v>NON</v>
          </cell>
          <cell r="C17" t="str">
            <v>U15 M49</v>
          </cell>
          <cell r="D17" t="str">
            <v>U17 M49</v>
          </cell>
          <cell r="E17" t="str">
            <v>U20 M55</v>
          </cell>
          <cell r="F17" t="str">
            <v>SE M55</v>
          </cell>
          <cell r="G17">
            <v>35.01</v>
          </cell>
          <cell r="H17" t="str">
            <v>NON</v>
          </cell>
          <cell r="I17" t="str">
            <v>U15 F40</v>
          </cell>
          <cell r="J17" t="str">
            <v>U17 F40</v>
          </cell>
          <cell r="K17" t="str">
            <v>U20 F45</v>
          </cell>
          <cell r="L17" t="str">
            <v>SE F45</v>
          </cell>
        </row>
        <row r="18">
          <cell r="A18">
            <v>40.01</v>
          </cell>
          <cell r="B18" t="str">
            <v>NON</v>
          </cell>
          <cell r="C18" t="str">
            <v>U15 M49</v>
          </cell>
          <cell r="D18" t="str">
            <v>U17 M49</v>
          </cell>
          <cell r="E18" t="str">
            <v>U20 M55</v>
          </cell>
          <cell r="F18" t="str">
            <v>SE M55</v>
          </cell>
          <cell r="G18">
            <v>40.01</v>
          </cell>
          <cell r="H18" t="str">
            <v>NON</v>
          </cell>
          <cell r="I18" t="str">
            <v>U15 F45</v>
          </cell>
          <cell r="J18" t="str">
            <v>U17 F45</v>
          </cell>
          <cell r="K18" t="str">
            <v>U20 F45</v>
          </cell>
          <cell r="L18" t="str">
            <v>SE F45</v>
          </cell>
        </row>
        <row r="19">
          <cell r="A19">
            <v>45.01</v>
          </cell>
          <cell r="B19" t="str">
            <v>NON</v>
          </cell>
          <cell r="C19" t="str">
            <v>U15 M49</v>
          </cell>
          <cell r="D19" t="str">
            <v>U17 M49</v>
          </cell>
          <cell r="E19" t="str">
            <v>U20 M55</v>
          </cell>
          <cell r="F19" t="str">
            <v>SE M55</v>
          </cell>
          <cell r="G19">
            <v>45.01</v>
          </cell>
          <cell r="H19" t="str">
            <v>NON</v>
          </cell>
          <cell r="I19" t="str">
            <v>U15 F49</v>
          </cell>
          <cell r="J19" t="str">
            <v>U17 F49</v>
          </cell>
          <cell r="K19" t="str">
            <v>U20 F49</v>
          </cell>
          <cell r="L19" t="str">
            <v>SE F49</v>
          </cell>
        </row>
        <row r="20">
          <cell r="A20">
            <v>49.01</v>
          </cell>
          <cell r="B20" t="str">
            <v>NON</v>
          </cell>
          <cell r="C20" t="str">
            <v>U15 M55</v>
          </cell>
          <cell r="D20" t="str">
            <v>U17 M55</v>
          </cell>
          <cell r="E20" t="str">
            <v>U20 M55</v>
          </cell>
          <cell r="F20" t="str">
            <v>SE M55</v>
          </cell>
          <cell r="G20">
            <v>49.01</v>
          </cell>
          <cell r="H20" t="str">
            <v>NON</v>
          </cell>
          <cell r="I20" t="str">
            <v>U15 F55</v>
          </cell>
          <cell r="J20" t="str">
            <v>U17 F55</v>
          </cell>
          <cell r="K20" t="str">
            <v>U20 F55</v>
          </cell>
          <cell r="L20" t="str">
            <v>SE F55</v>
          </cell>
        </row>
        <row r="21">
          <cell r="A21">
            <v>55.01</v>
          </cell>
          <cell r="B21" t="str">
            <v>NON</v>
          </cell>
          <cell r="C21" t="str">
            <v>U15 M61</v>
          </cell>
          <cell r="D21" t="str">
            <v>U17 M61</v>
          </cell>
          <cell r="E21" t="str">
            <v>U20 M61</v>
          </cell>
          <cell r="F21" t="str">
            <v>SE M61</v>
          </cell>
          <cell r="G21">
            <v>55.01</v>
          </cell>
          <cell r="H21" t="str">
            <v>NON</v>
          </cell>
          <cell r="I21" t="str">
            <v>U15 F59</v>
          </cell>
          <cell r="J21" t="str">
            <v>U17 F59</v>
          </cell>
          <cell r="K21" t="str">
            <v>U20 F59</v>
          </cell>
          <cell r="L21" t="str">
            <v>SE F59</v>
          </cell>
        </row>
        <row r="22">
          <cell r="A22">
            <v>61.01</v>
          </cell>
          <cell r="B22" t="str">
            <v>NON</v>
          </cell>
          <cell r="C22" t="str">
            <v>U15 M67</v>
          </cell>
          <cell r="D22" t="str">
            <v>U17 M67</v>
          </cell>
          <cell r="E22" t="str">
            <v>U20 M67</v>
          </cell>
          <cell r="F22" t="str">
            <v>SE M67</v>
          </cell>
          <cell r="G22">
            <v>59.01</v>
          </cell>
          <cell r="H22" t="str">
            <v>NON</v>
          </cell>
          <cell r="I22" t="str">
            <v>U15 F64</v>
          </cell>
          <cell r="J22" t="str">
            <v>U17 F64</v>
          </cell>
          <cell r="K22" t="str">
            <v>U20 F64</v>
          </cell>
          <cell r="L22" t="str">
            <v>SE F64</v>
          </cell>
        </row>
        <row r="23">
          <cell r="A23">
            <v>67.010000000000005</v>
          </cell>
          <cell r="B23" t="str">
            <v>NON</v>
          </cell>
          <cell r="C23" t="str">
            <v>U15 M73</v>
          </cell>
          <cell r="D23" t="str">
            <v>U17 M73</v>
          </cell>
          <cell r="E23" t="str">
            <v>U20 M73</v>
          </cell>
          <cell r="F23" t="str">
            <v>SE M73</v>
          </cell>
          <cell r="G23">
            <v>64.010000000000005</v>
          </cell>
          <cell r="H23" t="str">
            <v>NON</v>
          </cell>
          <cell r="I23" t="str">
            <v>U15 F71</v>
          </cell>
          <cell r="J23" t="str">
            <v>U17 F71</v>
          </cell>
          <cell r="K23" t="str">
            <v>U20 F71</v>
          </cell>
          <cell r="L23" t="str">
            <v>SE F71</v>
          </cell>
        </row>
        <row r="24">
          <cell r="A24">
            <v>73.010000000000005</v>
          </cell>
          <cell r="B24" t="str">
            <v>NON</v>
          </cell>
          <cell r="C24" t="str">
            <v>U15 M81</v>
          </cell>
          <cell r="D24" t="str">
            <v>U17 M81</v>
          </cell>
          <cell r="E24" t="str">
            <v>U20 M81</v>
          </cell>
          <cell r="F24" t="str">
            <v>SE M81</v>
          </cell>
          <cell r="G24">
            <v>71.010000000000005</v>
          </cell>
          <cell r="H24" t="str">
            <v>NON</v>
          </cell>
          <cell r="I24" t="str">
            <v>U15 F76</v>
          </cell>
          <cell r="J24" t="str">
            <v>U17 F76</v>
          </cell>
          <cell r="K24" t="str">
            <v>U20 F76</v>
          </cell>
          <cell r="L24" t="str">
            <v>SE F76</v>
          </cell>
        </row>
        <row r="25">
          <cell r="A25">
            <v>81.010000000000005</v>
          </cell>
          <cell r="B25" t="str">
            <v>NON</v>
          </cell>
          <cell r="C25" t="str">
            <v>U15 M89</v>
          </cell>
          <cell r="D25" t="str">
            <v>U17 M89</v>
          </cell>
          <cell r="E25" t="str">
            <v>U20 M89</v>
          </cell>
          <cell r="F25" t="str">
            <v>SE M89</v>
          </cell>
          <cell r="G25">
            <v>76.010000000000005</v>
          </cell>
          <cell r="H25" t="str">
            <v>NON</v>
          </cell>
          <cell r="I25" t="str">
            <v>U15 F81</v>
          </cell>
          <cell r="J25" t="str">
            <v>U17 F81</v>
          </cell>
          <cell r="K25" t="str">
            <v>U20 F81</v>
          </cell>
          <cell r="L25" t="str">
            <v>SE F81</v>
          </cell>
        </row>
        <row r="26">
          <cell r="A26">
            <v>89.01</v>
          </cell>
          <cell r="B26" t="str">
            <v>NON</v>
          </cell>
          <cell r="C26" t="str">
            <v>U15 M96</v>
          </cell>
          <cell r="D26" t="str">
            <v>U17 M96</v>
          </cell>
          <cell r="E26" t="str">
            <v>U20 M96</v>
          </cell>
          <cell r="F26" t="str">
            <v>SE M96</v>
          </cell>
          <cell r="G26">
            <v>81.010000000000005</v>
          </cell>
          <cell r="H26" t="str">
            <v>NON</v>
          </cell>
          <cell r="I26" t="str">
            <v>U15 F&gt;81</v>
          </cell>
          <cell r="J26" t="str">
            <v>U17 F&gt;81</v>
          </cell>
          <cell r="K26" t="str">
            <v>U20 F87</v>
          </cell>
          <cell r="L26" t="str">
            <v>SE F87</v>
          </cell>
        </row>
        <row r="27">
          <cell r="A27">
            <v>96.01</v>
          </cell>
          <cell r="B27" t="str">
            <v>NON</v>
          </cell>
          <cell r="C27" t="str">
            <v>U15 M102</v>
          </cell>
          <cell r="D27" t="str">
            <v>U17 M102</v>
          </cell>
          <cell r="E27" t="str">
            <v>U20 M102</v>
          </cell>
          <cell r="F27" t="str">
            <v>SE M102</v>
          </cell>
          <cell r="G27">
            <v>87.01</v>
          </cell>
          <cell r="H27" t="str">
            <v>NON</v>
          </cell>
          <cell r="I27" t="str">
            <v>U15 F&gt;81</v>
          </cell>
          <cell r="J27" t="str">
            <v>U17 F&gt;81</v>
          </cell>
          <cell r="K27" t="str">
            <v>U20 F&gt;87</v>
          </cell>
          <cell r="L27" t="str">
            <v>SE F&gt;87</v>
          </cell>
        </row>
        <row r="28">
          <cell r="A28">
            <v>102.01</v>
          </cell>
          <cell r="B28" t="str">
            <v>NON</v>
          </cell>
          <cell r="C28" t="str">
            <v>U15 M&gt;102</v>
          </cell>
          <cell r="D28" t="str">
            <v>U17 M&gt;102</v>
          </cell>
          <cell r="E28" t="str">
            <v>U20 M109</v>
          </cell>
          <cell r="F28" t="str">
            <v>SE M109</v>
          </cell>
        </row>
        <row r="29">
          <cell r="A29">
            <v>109.1</v>
          </cell>
          <cell r="B29" t="str">
            <v>NON</v>
          </cell>
          <cell r="C29" t="str">
            <v>U15 M&gt;102</v>
          </cell>
          <cell r="D29" t="str">
            <v>U17 M&gt;102</v>
          </cell>
          <cell r="E29" t="str">
            <v>U20 M&gt;109</v>
          </cell>
          <cell r="F29" t="str">
            <v>SE M&gt;109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VIDUEL"/>
      <sheetName val="Minimas"/>
    </sheetNames>
    <sheetDataSet>
      <sheetData sheetId="0" refreshError="1"/>
      <sheetData sheetId="1">
        <row r="15">
          <cell r="C15" t="str">
            <v>MINIME</v>
          </cell>
          <cell r="J15" t="str">
            <v>MINIME</v>
          </cell>
        </row>
        <row r="16">
          <cell r="A16">
            <v>10</v>
          </cell>
          <cell r="B16" t="str">
            <v>BENJ</v>
          </cell>
          <cell r="C16" t="str">
            <v>U13 M35</v>
          </cell>
          <cell r="H16">
            <v>10</v>
          </cell>
          <cell r="I16" t="str">
            <v>BENJ</v>
          </cell>
          <cell r="J16" t="str">
            <v>U13 F35</v>
          </cell>
        </row>
        <row r="17">
          <cell r="A17">
            <v>35.01</v>
          </cell>
          <cell r="B17" t="str">
            <v>BENJ</v>
          </cell>
          <cell r="C17" t="str">
            <v>U13 M40</v>
          </cell>
          <cell r="H17">
            <v>35.01</v>
          </cell>
          <cell r="I17" t="str">
            <v>BENJ</v>
          </cell>
          <cell r="J17" t="str">
            <v>U13 F40</v>
          </cell>
        </row>
        <row r="18">
          <cell r="A18">
            <v>40.01</v>
          </cell>
          <cell r="B18" t="str">
            <v>BENJ</v>
          </cell>
          <cell r="C18" t="str">
            <v>U13 M45</v>
          </cell>
          <cell r="H18">
            <v>40.01</v>
          </cell>
          <cell r="I18" t="str">
            <v>BENJ</v>
          </cell>
          <cell r="J18" t="str">
            <v>U13 F45</v>
          </cell>
        </row>
        <row r="19">
          <cell r="A19">
            <v>45.01</v>
          </cell>
          <cell r="B19" t="str">
            <v>BENJ</v>
          </cell>
          <cell r="C19" t="str">
            <v>U13 M49</v>
          </cell>
          <cell r="H19">
            <v>45.01</v>
          </cell>
          <cell r="I19" t="str">
            <v>BENJ</v>
          </cell>
          <cell r="J19" t="str">
            <v>U13 F49</v>
          </cell>
        </row>
        <row r="20">
          <cell r="A20">
            <v>49.01</v>
          </cell>
          <cell r="B20" t="str">
            <v>BENJ</v>
          </cell>
          <cell r="C20" t="str">
            <v>U13 M55</v>
          </cell>
          <cell r="H20">
            <v>49.01</v>
          </cell>
          <cell r="I20" t="str">
            <v>BENJ</v>
          </cell>
          <cell r="J20" t="str">
            <v>U13 F55</v>
          </cell>
        </row>
        <row r="21">
          <cell r="A21">
            <v>55.01</v>
          </cell>
          <cell r="B21" t="str">
            <v>BENJ</v>
          </cell>
          <cell r="C21" t="str">
            <v>U13 M61</v>
          </cell>
          <cell r="H21">
            <v>55.01</v>
          </cell>
          <cell r="I21" t="str">
            <v>BENJ</v>
          </cell>
          <cell r="J21" t="str">
            <v>U13 F59</v>
          </cell>
        </row>
        <row r="22">
          <cell r="A22">
            <v>61.01</v>
          </cell>
          <cell r="B22" t="str">
            <v>BENJ</v>
          </cell>
          <cell r="C22" t="str">
            <v>U13 M67</v>
          </cell>
          <cell r="H22">
            <v>59.01</v>
          </cell>
          <cell r="I22" t="str">
            <v>BENJ</v>
          </cell>
          <cell r="J22" t="str">
            <v>U13 F64</v>
          </cell>
        </row>
        <row r="23">
          <cell r="A23">
            <v>67.010000000000005</v>
          </cell>
          <cell r="B23" t="str">
            <v>BENJ</v>
          </cell>
          <cell r="C23" t="str">
            <v>U13 M73</v>
          </cell>
          <cell r="H23">
            <v>64.010000000000005</v>
          </cell>
          <cell r="I23" t="str">
            <v>BENJ</v>
          </cell>
          <cell r="J23" t="str">
            <v>U13 F71</v>
          </cell>
        </row>
        <row r="24">
          <cell r="A24">
            <v>73.010000000000005</v>
          </cell>
          <cell r="B24" t="str">
            <v>BENJ</v>
          </cell>
          <cell r="C24" t="str">
            <v>U13 M&gt;73</v>
          </cell>
          <cell r="H24">
            <v>71.010000000000005</v>
          </cell>
          <cell r="I24" t="str">
            <v>BENJ</v>
          </cell>
          <cell r="J24" t="str">
            <v>U13 F&gt;71</v>
          </cell>
        </row>
        <row r="25">
          <cell r="A25">
            <v>81.010000000000005</v>
          </cell>
          <cell r="B25" t="str">
            <v>BENJ</v>
          </cell>
          <cell r="C25" t="str">
            <v>U13 M&gt;73</v>
          </cell>
          <cell r="H25">
            <v>76.010000000000005</v>
          </cell>
          <cell r="I25" t="str">
            <v>BENJ</v>
          </cell>
          <cell r="J25" t="str">
            <v>U13 F&gt;71</v>
          </cell>
        </row>
        <row r="26">
          <cell r="A26">
            <v>89.01</v>
          </cell>
          <cell r="B26" t="str">
            <v>BENJ</v>
          </cell>
          <cell r="C26" t="str">
            <v>U13 M&gt;73</v>
          </cell>
          <cell r="H26">
            <v>81.010000000000005</v>
          </cell>
          <cell r="I26" t="str">
            <v>BENJ</v>
          </cell>
          <cell r="J26" t="str">
            <v>U13 F&gt;71</v>
          </cell>
        </row>
        <row r="27">
          <cell r="A27">
            <v>96.01</v>
          </cell>
          <cell r="B27" t="str">
            <v>BENJ</v>
          </cell>
          <cell r="C27" t="str">
            <v>U13 M&gt;73</v>
          </cell>
          <cell r="H27">
            <v>87.01</v>
          </cell>
          <cell r="I27" t="str">
            <v>BENJ</v>
          </cell>
          <cell r="J27" t="str">
            <v>U13 F&gt;71</v>
          </cell>
        </row>
        <row r="28">
          <cell r="A28">
            <v>102.01</v>
          </cell>
          <cell r="B28" t="str">
            <v>BENJ</v>
          </cell>
          <cell r="C28" t="str">
            <v>U13 M&gt;73</v>
          </cell>
        </row>
        <row r="29">
          <cell r="A29">
            <v>109.1</v>
          </cell>
          <cell r="B29" t="str">
            <v>BENJ</v>
          </cell>
          <cell r="C29" t="str">
            <v>U13 M&gt;73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VIDUEL"/>
      <sheetName val="Minimas"/>
    </sheetNames>
    <sheetDataSet>
      <sheetData sheetId="0"/>
      <sheetData sheetId="1">
        <row r="15">
          <cell r="B15" t="str">
            <v>MINIME</v>
          </cell>
          <cell r="C15" t="str">
            <v>CADET</v>
          </cell>
          <cell r="D15" t="str">
            <v>CADET</v>
          </cell>
          <cell r="E15" t="str">
            <v>JUNIOR</v>
          </cell>
          <cell r="F15" t="str">
            <v>SENIOR</v>
          </cell>
          <cell r="H15" t="str">
            <v>MINIME</v>
          </cell>
          <cell r="I15" t="str">
            <v>CADETTE</v>
          </cell>
          <cell r="J15" t="str">
            <v>CADETTE</v>
          </cell>
          <cell r="K15" t="str">
            <v>JUNIOR</v>
          </cell>
          <cell r="L15" t="str">
            <v>SENIOR</v>
          </cell>
        </row>
        <row r="16">
          <cell r="A16">
            <v>10</v>
          </cell>
          <cell r="B16" t="str">
            <v>NON</v>
          </cell>
          <cell r="C16" t="str">
            <v>U15 M49</v>
          </cell>
          <cell r="D16" t="str">
            <v>U17 M49</v>
          </cell>
          <cell r="E16" t="str">
            <v>U20 M55</v>
          </cell>
          <cell r="F16" t="str">
            <v>SE M55</v>
          </cell>
          <cell r="G16">
            <v>10</v>
          </cell>
          <cell r="H16" t="str">
            <v>NON</v>
          </cell>
          <cell r="I16" t="str">
            <v>U15 F40</v>
          </cell>
          <cell r="J16" t="str">
            <v>U17 F40</v>
          </cell>
          <cell r="K16" t="str">
            <v>U20 F45</v>
          </cell>
          <cell r="L16" t="str">
            <v>SE F45</v>
          </cell>
        </row>
        <row r="17">
          <cell r="A17">
            <v>35.01</v>
          </cell>
          <cell r="B17" t="str">
            <v>NON</v>
          </cell>
          <cell r="C17" t="str">
            <v>U15 M49</v>
          </cell>
          <cell r="D17" t="str">
            <v>U17 M49</v>
          </cell>
          <cell r="E17" t="str">
            <v>U20 M55</v>
          </cell>
          <cell r="F17" t="str">
            <v>SE M55</v>
          </cell>
          <cell r="G17">
            <v>35.01</v>
          </cell>
          <cell r="H17" t="str">
            <v>NON</v>
          </cell>
          <cell r="I17" t="str">
            <v>U15 F40</v>
          </cell>
          <cell r="J17" t="str">
            <v>U17 F40</v>
          </cell>
          <cell r="K17" t="str">
            <v>U20 F45</v>
          </cell>
          <cell r="L17" t="str">
            <v>SE F45</v>
          </cell>
        </row>
        <row r="18">
          <cell r="A18">
            <v>40.01</v>
          </cell>
          <cell r="B18" t="str">
            <v>NON</v>
          </cell>
          <cell r="C18" t="str">
            <v>U15 M49</v>
          </cell>
          <cell r="D18" t="str">
            <v>U17 M49</v>
          </cell>
          <cell r="E18" t="str">
            <v>U20 M55</v>
          </cell>
          <cell r="F18" t="str">
            <v>SE M55</v>
          </cell>
          <cell r="G18">
            <v>40.01</v>
          </cell>
          <cell r="H18" t="str">
            <v>NON</v>
          </cell>
          <cell r="I18" t="str">
            <v>U15 F45</v>
          </cell>
          <cell r="J18" t="str">
            <v>U17 F45</v>
          </cell>
          <cell r="K18" t="str">
            <v>U20 F45</v>
          </cell>
          <cell r="L18" t="str">
            <v>SE F45</v>
          </cell>
        </row>
        <row r="19">
          <cell r="A19">
            <v>45.01</v>
          </cell>
          <cell r="B19" t="str">
            <v>NON</v>
          </cell>
          <cell r="C19" t="str">
            <v>U15 M49</v>
          </cell>
          <cell r="D19" t="str">
            <v>U17 M49</v>
          </cell>
          <cell r="E19" t="str">
            <v>U20 M55</v>
          </cell>
          <cell r="F19" t="str">
            <v>SE M55</v>
          </cell>
          <cell r="G19">
            <v>45.01</v>
          </cell>
          <cell r="H19" t="str">
            <v>NON</v>
          </cell>
          <cell r="I19" t="str">
            <v>U15 F49</v>
          </cell>
          <cell r="J19" t="str">
            <v>U17 F49</v>
          </cell>
          <cell r="K19" t="str">
            <v>U20 F49</v>
          </cell>
          <cell r="L19" t="str">
            <v>SE F49</v>
          </cell>
        </row>
        <row r="20">
          <cell r="A20">
            <v>49.01</v>
          </cell>
          <cell r="B20" t="str">
            <v>NON</v>
          </cell>
          <cell r="C20" t="str">
            <v>U15 M55</v>
          </cell>
          <cell r="D20" t="str">
            <v>U17 M55</v>
          </cell>
          <cell r="E20" t="str">
            <v>U20 M55</v>
          </cell>
          <cell r="F20" t="str">
            <v>SE M55</v>
          </cell>
          <cell r="G20">
            <v>49.01</v>
          </cell>
          <cell r="H20" t="str">
            <v>NON</v>
          </cell>
          <cell r="I20" t="str">
            <v>U15 F55</v>
          </cell>
          <cell r="J20" t="str">
            <v>U17 F55</v>
          </cell>
          <cell r="K20" t="str">
            <v>U20 F55</v>
          </cell>
          <cell r="L20" t="str">
            <v>SE F55</v>
          </cell>
        </row>
        <row r="21">
          <cell r="A21">
            <v>55.01</v>
          </cell>
          <cell r="B21" t="str">
            <v>NON</v>
          </cell>
          <cell r="C21" t="str">
            <v>U15 M61</v>
          </cell>
          <cell r="D21" t="str">
            <v>U17 M61</v>
          </cell>
          <cell r="E21" t="str">
            <v>U20 M61</v>
          </cell>
          <cell r="F21" t="str">
            <v>SE M61</v>
          </cell>
          <cell r="G21">
            <v>55.01</v>
          </cell>
          <cell r="H21" t="str">
            <v>NON</v>
          </cell>
          <cell r="I21" t="str">
            <v>U15 F59</v>
          </cell>
          <cell r="J21" t="str">
            <v>U17 F59</v>
          </cell>
          <cell r="K21" t="str">
            <v>U20 F59</v>
          </cell>
          <cell r="L21" t="str">
            <v>SE F59</v>
          </cell>
        </row>
        <row r="22">
          <cell r="A22">
            <v>61.01</v>
          </cell>
          <cell r="B22" t="str">
            <v>NON</v>
          </cell>
          <cell r="C22" t="str">
            <v>U15 M67</v>
          </cell>
          <cell r="D22" t="str">
            <v>U17 M67</v>
          </cell>
          <cell r="E22" t="str">
            <v>U20 M67</v>
          </cell>
          <cell r="F22" t="str">
            <v>SE M67</v>
          </cell>
          <cell r="G22">
            <v>59.01</v>
          </cell>
          <cell r="H22" t="str">
            <v>NON</v>
          </cell>
          <cell r="I22" t="str">
            <v>U15 F64</v>
          </cell>
          <cell r="J22" t="str">
            <v>U17 F64</v>
          </cell>
          <cell r="K22" t="str">
            <v>U20 F64</v>
          </cell>
          <cell r="L22" t="str">
            <v>SE F64</v>
          </cell>
        </row>
        <row r="23">
          <cell r="A23">
            <v>67.010000000000005</v>
          </cell>
          <cell r="B23" t="str">
            <v>NON</v>
          </cell>
          <cell r="C23" t="str">
            <v>U15 M73</v>
          </cell>
          <cell r="D23" t="str">
            <v>U17 M73</v>
          </cell>
          <cell r="E23" t="str">
            <v>U20 M73</v>
          </cell>
          <cell r="F23" t="str">
            <v>SE M73</v>
          </cell>
          <cell r="G23">
            <v>64.010000000000005</v>
          </cell>
          <cell r="H23" t="str">
            <v>NON</v>
          </cell>
          <cell r="I23" t="str">
            <v>U15 F71</v>
          </cell>
          <cell r="J23" t="str">
            <v>U17 F71</v>
          </cell>
          <cell r="K23" t="str">
            <v>U20 F71</v>
          </cell>
          <cell r="L23" t="str">
            <v>SE F71</v>
          </cell>
        </row>
        <row r="24">
          <cell r="A24">
            <v>73.010000000000005</v>
          </cell>
          <cell r="B24" t="str">
            <v>NON</v>
          </cell>
          <cell r="C24" t="str">
            <v>U15 M81</v>
          </cell>
          <cell r="D24" t="str">
            <v>U17 M81</v>
          </cell>
          <cell r="E24" t="str">
            <v>U20 M81</v>
          </cell>
          <cell r="F24" t="str">
            <v>SE M81</v>
          </cell>
          <cell r="G24">
            <v>71.010000000000005</v>
          </cell>
          <cell r="H24" t="str">
            <v>NON</v>
          </cell>
          <cell r="I24" t="str">
            <v>U15 F76</v>
          </cell>
          <cell r="J24" t="str">
            <v>U17 F76</v>
          </cell>
          <cell r="K24" t="str">
            <v>U20 F76</v>
          </cell>
          <cell r="L24" t="str">
            <v>SE F76</v>
          </cell>
        </row>
        <row r="25">
          <cell r="A25">
            <v>81.010000000000005</v>
          </cell>
          <cell r="B25" t="str">
            <v>NON</v>
          </cell>
          <cell r="C25" t="str">
            <v>U15 M89</v>
          </cell>
          <cell r="D25" t="str">
            <v>U17 M89</v>
          </cell>
          <cell r="E25" t="str">
            <v>U20 M89</v>
          </cell>
          <cell r="F25" t="str">
            <v>SE M89</v>
          </cell>
          <cell r="G25">
            <v>76.010000000000005</v>
          </cell>
          <cell r="H25" t="str">
            <v>NON</v>
          </cell>
          <cell r="I25" t="str">
            <v>U15 F81</v>
          </cell>
          <cell r="J25" t="str">
            <v>U17 F81</v>
          </cell>
          <cell r="K25" t="str">
            <v>U20 F81</v>
          </cell>
          <cell r="L25" t="str">
            <v>SE F81</v>
          </cell>
        </row>
        <row r="26">
          <cell r="A26">
            <v>89.01</v>
          </cell>
          <cell r="B26" t="str">
            <v>NON</v>
          </cell>
          <cell r="C26" t="str">
            <v>U15 M96</v>
          </cell>
          <cell r="D26" t="str">
            <v>U17 M96</v>
          </cell>
          <cell r="E26" t="str">
            <v>U20 M96</v>
          </cell>
          <cell r="F26" t="str">
            <v>SE M96</v>
          </cell>
          <cell r="G26">
            <v>81.010000000000005</v>
          </cell>
          <cell r="H26" t="str">
            <v>NON</v>
          </cell>
          <cell r="I26" t="str">
            <v>U15 F&gt;81</v>
          </cell>
          <cell r="J26" t="str">
            <v>U17 F&gt;81</v>
          </cell>
          <cell r="K26" t="str">
            <v>U20 F87</v>
          </cell>
          <cell r="L26" t="str">
            <v>SE F87</v>
          </cell>
        </row>
        <row r="27">
          <cell r="A27">
            <v>96.01</v>
          </cell>
          <cell r="B27" t="str">
            <v>NON</v>
          </cell>
          <cell r="C27" t="str">
            <v>U15 M102</v>
          </cell>
          <cell r="D27" t="str">
            <v>U17 M102</v>
          </cell>
          <cell r="E27" t="str">
            <v>U20 M102</v>
          </cell>
          <cell r="F27" t="str">
            <v>SE M102</v>
          </cell>
          <cell r="G27">
            <v>87.01</v>
          </cell>
          <cell r="H27" t="str">
            <v>NON</v>
          </cell>
          <cell r="I27" t="str">
            <v>U15 F&gt;81</v>
          </cell>
          <cell r="J27" t="str">
            <v>U17 F&gt;81</v>
          </cell>
          <cell r="K27" t="str">
            <v>U20 F&gt;87</v>
          </cell>
          <cell r="L27" t="str">
            <v>SE F&gt;87</v>
          </cell>
        </row>
        <row r="28">
          <cell r="A28">
            <v>102.01</v>
          </cell>
          <cell r="B28" t="str">
            <v>NON</v>
          </cell>
          <cell r="C28" t="str">
            <v>U15 M&gt;102</v>
          </cell>
          <cell r="D28" t="str">
            <v>U17 M&gt;102</v>
          </cell>
          <cell r="E28" t="str">
            <v>U20 M109</v>
          </cell>
          <cell r="F28" t="str">
            <v>SE M109</v>
          </cell>
          <cell r="H28"/>
          <cell r="I28"/>
          <cell r="J28"/>
          <cell r="K28"/>
          <cell r="L28"/>
        </row>
        <row r="29">
          <cell r="A29">
            <v>109.1</v>
          </cell>
          <cell r="B29" t="str">
            <v>NON</v>
          </cell>
          <cell r="C29" t="str">
            <v>U15 M&gt;102</v>
          </cell>
          <cell r="D29" t="str">
            <v>U17 M&gt;102</v>
          </cell>
          <cell r="E29" t="str">
            <v>U20 M&gt;109</v>
          </cell>
          <cell r="F29" t="str">
            <v>SE M&gt;109</v>
          </cell>
          <cell r="H29"/>
          <cell r="I29"/>
          <cell r="J29"/>
          <cell r="K29"/>
          <cell r="L29"/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VIDUEL"/>
      <sheetName val="Minimas"/>
    </sheetNames>
    <sheetDataSet>
      <sheetData sheetId="0" refreshError="1"/>
      <sheetData sheetId="1">
        <row r="15">
          <cell r="C15" t="str">
            <v>MINIME</v>
          </cell>
          <cell r="J15" t="str">
            <v>MINIME</v>
          </cell>
        </row>
        <row r="16">
          <cell r="A16">
            <v>10</v>
          </cell>
          <cell r="B16" t="str">
            <v>BENJ</v>
          </cell>
          <cell r="C16" t="str">
            <v>U13 M35</v>
          </cell>
          <cell r="H16">
            <v>10</v>
          </cell>
          <cell r="I16" t="str">
            <v>BENJ</v>
          </cell>
          <cell r="J16" t="str">
            <v>U13 F35</v>
          </cell>
        </row>
        <row r="17">
          <cell r="A17">
            <v>35.01</v>
          </cell>
          <cell r="B17" t="str">
            <v>BENJ</v>
          </cell>
          <cell r="C17" t="str">
            <v>U13 M40</v>
          </cell>
          <cell r="H17">
            <v>35.01</v>
          </cell>
          <cell r="I17" t="str">
            <v>BENJ</v>
          </cell>
          <cell r="J17" t="str">
            <v>U13 F40</v>
          </cell>
        </row>
        <row r="18">
          <cell r="A18">
            <v>40.01</v>
          </cell>
          <cell r="B18" t="str">
            <v>BENJ</v>
          </cell>
          <cell r="C18" t="str">
            <v>U13 M45</v>
          </cell>
          <cell r="H18">
            <v>40.01</v>
          </cell>
          <cell r="I18" t="str">
            <v>BENJ</v>
          </cell>
          <cell r="J18" t="str">
            <v>U13 F45</v>
          </cell>
        </row>
        <row r="19">
          <cell r="A19">
            <v>45.01</v>
          </cell>
          <cell r="B19" t="str">
            <v>BENJ</v>
          </cell>
          <cell r="C19" t="str">
            <v>U13 M49</v>
          </cell>
          <cell r="H19">
            <v>45.01</v>
          </cell>
          <cell r="I19" t="str">
            <v>BENJ</v>
          </cell>
          <cell r="J19" t="str">
            <v>U13 F49</v>
          </cell>
        </row>
        <row r="20">
          <cell r="A20">
            <v>49.01</v>
          </cell>
          <cell r="B20" t="str">
            <v>BENJ</v>
          </cell>
          <cell r="C20" t="str">
            <v>U13 M55</v>
          </cell>
          <cell r="H20">
            <v>49.01</v>
          </cell>
          <cell r="I20" t="str">
            <v>BENJ</v>
          </cell>
          <cell r="J20" t="str">
            <v>U13 F55</v>
          </cell>
        </row>
        <row r="21">
          <cell r="A21">
            <v>55.01</v>
          </cell>
          <cell r="B21" t="str">
            <v>BENJ</v>
          </cell>
          <cell r="C21" t="str">
            <v>U13 M61</v>
          </cell>
          <cell r="H21">
            <v>55.01</v>
          </cell>
          <cell r="I21" t="str">
            <v>BENJ</v>
          </cell>
          <cell r="J21" t="str">
            <v>U13 F59</v>
          </cell>
        </row>
        <row r="22">
          <cell r="A22">
            <v>61.01</v>
          </cell>
          <cell r="B22" t="str">
            <v>BENJ</v>
          </cell>
          <cell r="C22" t="str">
            <v>U13 M67</v>
          </cell>
          <cell r="H22">
            <v>59.01</v>
          </cell>
          <cell r="I22" t="str">
            <v>BENJ</v>
          </cell>
          <cell r="J22" t="str">
            <v>U13 F64</v>
          </cell>
        </row>
        <row r="23">
          <cell r="A23">
            <v>67.010000000000005</v>
          </cell>
          <cell r="B23" t="str">
            <v>BENJ</v>
          </cell>
          <cell r="C23" t="str">
            <v>U13 M73</v>
          </cell>
          <cell r="H23">
            <v>64.010000000000005</v>
          </cell>
          <cell r="I23" t="str">
            <v>BENJ</v>
          </cell>
          <cell r="J23" t="str">
            <v>U13 F71</v>
          </cell>
        </row>
        <row r="24">
          <cell r="A24">
            <v>73.010000000000005</v>
          </cell>
          <cell r="B24" t="str">
            <v>BENJ</v>
          </cell>
          <cell r="C24" t="str">
            <v>U13 M&gt;73</v>
          </cell>
          <cell r="H24">
            <v>71.010000000000005</v>
          </cell>
          <cell r="I24" t="str">
            <v>BENJ</v>
          </cell>
          <cell r="J24" t="str">
            <v>U13 F&gt;71</v>
          </cell>
        </row>
        <row r="25">
          <cell r="A25">
            <v>81.010000000000005</v>
          </cell>
          <cell r="B25" t="str">
            <v>BENJ</v>
          </cell>
          <cell r="C25" t="str">
            <v>U13 M&gt;73</v>
          </cell>
          <cell r="H25">
            <v>76.010000000000005</v>
          </cell>
          <cell r="I25" t="str">
            <v>BENJ</v>
          </cell>
          <cell r="J25" t="str">
            <v>U13 F&gt;71</v>
          </cell>
        </row>
        <row r="26">
          <cell r="A26">
            <v>89.01</v>
          </cell>
          <cell r="B26" t="str">
            <v>BENJ</v>
          </cell>
          <cell r="C26" t="str">
            <v>U13 M&gt;73</v>
          </cell>
          <cell r="H26">
            <v>81.010000000000005</v>
          </cell>
          <cell r="I26" t="str">
            <v>BENJ</v>
          </cell>
          <cell r="J26" t="str">
            <v>U13 F&gt;71</v>
          </cell>
        </row>
        <row r="27">
          <cell r="A27">
            <v>96.01</v>
          </cell>
          <cell r="B27" t="str">
            <v>BENJ</v>
          </cell>
          <cell r="C27" t="str">
            <v>U13 M&gt;73</v>
          </cell>
          <cell r="H27">
            <v>87.01</v>
          </cell>
          <cell r="I27" t="str">
            <v>BENJ</v>
          </cell>
          <cell r="J27" t="str">
            <v>U13 F&gt;71</v>
          </cell>
        </row>
        <row r="28">
          <cell r="A28">
            <v>102.01</v>
          </cell>
          <cell r="B28" t="str">
            <v>BENJ</v>
          </cell>
          <cell r="C28" t="str">
            <v>U13 M&gt;73</v>
          </cell>
        </row>
        <row r="29">
          <cell r="A29">
            <v>109.1</v>
          </cell>
          <cell r="B29" t="str">
            <v>BENJ</v>
          </cell>
          <cell r="C29" t="str">
            <v>U13 M&gt;73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VIDUEL"/>
      <sheetName val="Minimas"/>
    </sheetNames>
    <sheetDataSet>
      <sheetData sheetId="0" refreshError="1"/>
      <sheetData sheetId="1">
        <row r="15">
          <cell r="B15" t="str">
            <v>MINIME</v>
          </cell>
          <cell r="C15" t="str">
            <v>CADET</v>
          </cell>
          <cell r="D15" t="str">
            <v>CADET</v>
          </cell>
          <cell r="E15" t="str">
            <v>JUNIOR</v>
          </cell>
          <cell r="F15" t="str">
            <v>SENIOR</v>
          </cell>
          <cell r="H15" t="str">
            <v>MINIME</v>
          </cell>
          <cell r="I15" t="str">
            <v>CADETTE</v>
          </cell>
          <cell r="J15" t="str">
            <v>CADETTE</v>
          </cell>
          <cell r="K15" t="str">
            <v>JUNIOR</v>
          </cell>
          <cell r="L15" t="str">
            <v>SENIOR</v>
          </cell>
        </row>
        <row r="16">
          <cell r="A16">
            <v>10</v>
          </cell>
          <cell r="B16" t="str">
            <v>NON</v>
          </cell>
          <cell r="C16" t="str">
            <v>U15 M49</v>
          </cell>
          <cell r="D16" t="str">
            <v>U17 M49</v>
          </cell>
          <cell r="E16" t="str">
            <v>U20 M55</v>
          </cell>
          <cell r="F16" t="str">
            <v>SE M55</v>
          </cell>
          <cell r="G16">
            <v>10</v>
          </cell>
          <cell r="H16" t="str">
            <v>NON</v>
          </cell>
          <cell r="I16" t="str">
            <v>U15 F40</v>
          </cell>
          <cell r="J16" t="str">
            <v>U17 F40</v>
          </cell>
          <cell r="K16" t="str">
            <v>U20 F45</v>
          </cell>
          <cell r="L16" t="str">
            <v>SE F45</v>
          </cell>
        </row>
        <row r="17">
          <cell r="A17">
            <v>35.01</v>
          </cell>
          <cell r="B17" t="str">
            <v>NON</v>
          </cell>
          <cell r="C17" t="str">
            <v>U15 M49</v>
          </cell>
          <cell r="D17" t="str">
            <v>U17 M49</v>
          </cell>
          <cell r="E17" t="str">
            <v>U20 M55</v>
          </cell>
          <cell r="F17" t="str">
            <v>SE M55</v>
          </cell>
          <cell r="G17">
            <v>35.01</v>
          </cell>
          <cell r="H17" t="str">
            <v>NON</v>
          </cell>
          <cell r="I17" t="str">
            <v>U15 F40</v>
          </cell>
          <cell r="J17" t="str">
            <v>U17 F40</v>
          </cell>
          <cell r="K17" t="str">
            <v>U20 F45</v>
          </cell>
          <cell r="L17" t="str">
            <v>SE F45</v>
          </cell>
        </row>
        <row r="18">
          <cell r="A18">
            <v>40.01</v>
          </cell>
          <cell r="B18" t="str">
            <v>NON</v>
          </cell>
          <cell r="C18" t="str">
            <v>U15 M49</v>
          </cell>
          <cell r="D18" t="str">
            <v>U17 M49</v>
          </cell>
          <cell r="E18" t="str">
            <v>U20 M55</v>
          </cell>
          <cell r="F18" t="str">
            <v>SE M55</v>
          </cell>
          <cell r="G18">
            <v>40.01</v>
          </cell>
          <cell r="H18" t="str">
            <v>NON</v>
          </cell>
          <cell r="I18" t="str">
            <v>U15 F45</v>
          </cell>
          <cell r="J18" t="str">
            <v>U17 F45</v>
          </cell>
          <cell r="K18" t="str">
            <v>U20 F45</v>
          </cell>
          <cell r="L18" t="str">
            <v>SE F45</v>
          </cell>
        </row>
        <row r="19">
          <cell r="A19">
            <v>45.01</v>
          </cell>
          <cell r="B19" t="str">
            <v>NON</v>
          </cell>
          <cell r="C19" t="str">
            <v>U15 M49</v>
          </cell>
          <cell r="D19" t="str">
            <v>U17 M49</v>
          </cell>
          <cell r="E19" t="str">
            <v>U20 M55</v>
          </cell>
          <cell r="F19" t="str">
            <v>SE M55</v>
          </cell>
          <cell r="G19">
            <v>45.01</v>
          </cell>
          <cell r="H19" t="str">
            <v>NON</v>
          </cell>
          <cell r="I19" t="str">
            <v>U15 F49</v>
          </cell>
          <cell r="J19" t="str">
            <v>U17 F49</v>
          </cell>
          <cell r="K19" t="str">
            <v>U20 F49</v>
          </cell>
          <cell r="L19" t="str">
            <v>SE F49</v>
          </cell>
        </row>
        <row r="20">
          <cell r="A20">
            <v>49.01</v>
          </cell>
          <cell r="B20" t="str">
            <v>NON</v>
          </cell>
          <cell r="C20" t="str">
            <v>U15 M55</v>
          </cell>
          <cell r="D20" t="str">
            <v>U17 M55</v>
          </cell>
          <cell r="E20" t="str">
            <v>U20 M55</v>
          </cell>
          <cell r="F20" t="str">
            <v>SE M55</v>
          </cell>
          <cell r="G20">
            <v>49.01</v>
          </cell>
          <cell r="H20" t="str">
            <v>NON</v>
          </cell>
          <cell r="I20" t="str">
            <v>U15 F55</v>
          </cell>
          <cell r="J20" t="str">
            <v>U17 F55</v>
          </cell>
          <cell r="K20" t="str">
            <v>U20 F55</v>
          </cell>
          <cell r="L20" t="str">
            <v>SE F55</v>
          </cell>
        </row>
        <row r="21">
          <cell r="A21">
            <v>55.01</v>
          </cell>
          <cell r="B21" t="str">
            <v>NON</v>
          </cell>
          <cell r="C21" t="str">
            <v>U15 M61</v>
          </cell>
          <cell r="D21" t="str">
            <v>U17 M61</v>
          </cell>
          <cell r="E21" t="str">
            <v>U20 M61</v>
          </cell>
          <cell r="F21" t="str">
            <v>SE M61</v>
          </cell>
          <cell r="G21">
            <v>55.01</v>
          </cell>
          <cell r="H21" t="str">
            <v>NON</v>
          </cell>
          <cell r="I21" t="str">
            <v>U15 F59</v>
          </cell>
          <cell r="J21" t="str">
            <v>U17 F59</v>
          </cell>
          <cell r="K21" t="str">
            <v>U20 F59</v>
          </cell>
          <cell r="L21" t="str">
            <v>SE F59</v>
          </cell>
        </row>
        <row r="22">
          <cell r="A22">
            <v>61.01</v>
          </cell>
          <cell r="B22" t="str">
            <v>NON</v>
          </cell>
          <cell r="C22" t="str">
            <v>U15 M67</v>
          </cell>
          <cell r="D22" t="str">
            <v>U17 M67</v>
          </cell>
          <cell r="E22" t="str">
            <v>U20 M67</v>
          </cell>
          <cell r="F22" t="str">
            <v>SE M67</v>
          </cell>
          <cell r="G22">
            <v>59.01</v>
          </cell>
          <cell r="H22" t="str">
            <v>NON</v>
          </cell>
          <cell r="I22" t="str">
            <v>U15 F64</v>
          </cell>
          <cell r="J22" t="str">
            <v>U17 F64</v>
          </cell>
          <cell r="K22" t="str">
            <v>U20 F64</v>
          </cell>
          <cell r="L22" t="str">
            <v>SE F64</v>
          </cell>
        </row>
        <row r="23">
          <cell r="A23">
            <v>67.010000000000005</v>
          </cell>
          <cell r="B23" t="str">
            <v>NON</v>
          </cell>
          <cell r="C23" t="str">
            <v>U15 M73</v>
          </cell>
          <cell r="D23" t="str">
            <v>U17 M73</v>
          </cell>
          <cell r="E23" t="str">
            <v>U20 M73</v>
          </cell>
          <cell r="F23" t="str">
            <v>SE M73</v>
          </cell>
          <cell r="G23">
            <v>64.010000000000005</v>
          </cell>
          <cell r="H23" t="str">
            <v>NON</v>
          </cell>
          <cell r="I23" t="str">
            <v>U15 F71</v>
          </cell>
          <cell r="J23" t="str">
            <v>U17 F71</v>
          </cell>
          <cell r="K23" t="str">
            <v>U20 F71</v>
          </cell>
          <cell r="L23" t="str">
            <v>SE F71</v>
          </cell>
        </row>
        <row r="24">
          <cell r="A24">
            <v>73.010000000000005</v>
          </cell>
          <cell r="B24" t="str">
            <v>NON</v>
          </cell>
          <cell r="C24" t="str">
            <v>U15 M81</v>
          </cell>
          <cell r="D24" t="str">
            <v>U17 M81</v>
          </cell>
          <cell r="E24" t="str">
            <v>U20 M81</v>
          </cell>
          <cell r="F24" t="str">
            <v>SE M81</v>
          </cell>
          <cell r="G24">
            <v>71.010000000000005</v>
          </cell>
          <cell r="H24" t="str">
            <v>NON</v>
          </cell>
          <cell r="I24" t="str">
            <v>U15 F76</v>
          </cell>
          <cell r="J24" t="str">
            <v>U17 F76</v>
          </cell>
          <cell r="K24" t="str">
            <v>U20 F76</v>
          </cell>
          <cell r="L24" t="str">
            <v>SE F76</v>
          </cell>
        </row>
        <row r="25">
          <cell r="A25">
            <v>81.010000000000005</v>
          </cell>
          <cell r="B25" t="str">
            <v>NON</v>
          </cell>
          <cell r="C25" t="str">
            <v>U15 M89</v>
          </cell>
          <cell r="D25" t="str">
            <v>U17 M89</v>
          </cell>
          <cell r="E25" t="str">
            <v>U20 M89</v>
          </cell>
          <cell r="F25" t="str">
            <v>SE M89</v>
          </cell>
          <cell r="G25">
            <v>76.010000000000005</v>
          </cell>
          <cell r="H25" t="str">
            <v>NON</v>
          </cell>
          <cell r="I25" t="str">
            <v>U15 F81</v>
          </cell>
          <cell r="J25" t="str">
            <v>U17 F81</v>
          </cell>
          <cell r="K25" t="str">
            <v>U20 F81</v>
          </cell>
          <cell r="L25" t="str">
            <v>SE F81</v>
          </cell>
        </row>
        <row r="26">
          <cell r="A26">
            <v>89.01</v>
          </cell>
          <cell r="B26" t="str">
            <v>NON</v>
          </cell>
          <cell r="C26" t="str">
            <v>U15 M96</v>
          </cell>
          <cell r="D26" t="str">
            <v>U17 M96</v>
          </cell>
          <cell r="E26" t="str">
            <v>U20 M96</v>
          </cell>
          <cell r="F26" t="str">
            <v>SE M96</v>
          </cell>
          <cell r="G26">
            <v>81.010000000000005</v>
          </cell>
          <cell r="H26" t="str">
            <v>NON</v>
          </cell>
          <cell r="I26" t="str">
            <v>U15 F&gt;81</v>
          </cell>
          <cell r="J26" t="str">
            <v>U17 F&gt;81</v>
          </cell>
          <cell r="K26" t="str">
            <v>U20 F87</v>
          </cell>
          <cell r="L26" t="str">
            <v>SE F87</v>
          </cell>
        </row>
        <row r="27">
          <cell r="A27">
            <v>96.01</v>
          </cell>
          <cell r="B27" t="str">
            <v>NON</v>
          </cell>
          <cell r="C27" t="str">
            <v>U15 M102</v>
          </cell>
          <cell r="D27" t="str">
            <v>U17 M102</v>
          </cell>
          <cell r="E27" t="str">
            <v>U20 M102</v>
          </cell>
          <cell r="F27" t="str">
            <v>SE M102</v>
          </cell>
          <cell r="G27">
            <v>87.01</v>
          </cell>
          <cell r="H27" t="str">
            <v>NON</v>
          </cell>
          <cell r="I27" t="str">
            <v>U15 F&gt;81</v>
          </cell>
          <cell r="J27" t="str">
            <v>U17 F&gt;81</v>
          </cell>
          <cell r="K27" t="str">
            <v>U20 F&gt;87</v>
          </cell>
          <cell r="L27" t="str">
            <v>SE F&gt;87</v>
          </cell>
        </row>
        <row r="28">
          <cell r="A28">
            <v>102.01</v>
          </cell>
          <cell r="B28" t="str">
            <v>NON</v>
          </cell>
          <cell r="C28" t="str">
            <v>U15 M&gt;102</v>
          </cell>
          <cell r="D28" t="str">
            <v>U17 M&gt;102</v>
          </cell>
          <cell r="E28" t="str">
            <v>U20 M109</v>
          </cell>
          <cell r="F28" t="str">
            <v>SE M109</v>
          </cell>
        </row>
        <row r="29">
          <cell r="A29">
            <v>109.1</v>
          </cell>
          <cell r="B29" t="str">
            <v>NON</v>
          </cell>
          <cell r="C29" t="str">
            <v>U15 M&gt;102</v>
          </cell>
          <cell r="D29" t="str">
            <v>U17 M&gt;102</v>
          </cell>
          <cell r="E29" t="str">
            <v>U20 M&gt;109</v>
          </cell>
          <cell r="F29" t="str">
            <v>SE M&gt;109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VIDUEL"/>
      <sheetName val="Minimas"/>
    </sheetNames>
    <sheetDataSet>
      <sheetData sheetId="0" refreshError="1"/>
      <sheetData sheetId="1">
        <row r="15">
          <cell r="B15" t="str">
            <v>MINIME</v>
          </cell>
          <cell r="C15" t="str">
            <v>CADET</v>
          </cell>
          <cell r="D15" t="str">
            <v>CADET</v>
          </cell>
          <cell r="E15" t="str">
            <v>JUNIOR</v>
          </cell>
          <cell r="F15" t="str">
            <v>SENIOR</v>
          </cell>
          <cell r="H15" t="str">
            <v>MINIME</v>
          </cell>
          <cell r="I15" t="str">
            <v>CADETTE</v>
          </cell>
          <cell r="J15" t="str">
            <v>CADETTE</v>
          </cell>
          <cell r="K15" t="str">
            <v>JUNIOR</v>
          </cell>
          <cell r="L15" t="str">
            <v>SENIOR</v>
          </cell>
        </row>
        <row r="16">
          <cell r="A16">
            <v>10</v>
          </cell>
          <cell r="B16" t="str">
            <v>NON</v>
          </cell>
          <cell r="C16" t="str">
            <v>U15 M49</v>
          </cell>
          <cell r="D16" t="str">
            <v>U17 M49</v>
          </cell>
          <cell r="E16" t="str">
            <v>U20 M55</v>
          </cell>
          <cell r="F16" t="str">
            <v>SE M55</v>
          </cell>
          <cell r="G16">
            <v>10</v>
          </cell>
          <cell r="H16" t="str">
            <v>NON</v>
          </cell>
          <cell r="I16" t="str">
            <v>U15 F40</v>
          </cell>
          <cell r="J16" t="str">
            <v>U17 F40</v>
          </cell>
          <cell r="K16" t="str">
            <v>U20 F45</v>
          </cell>
          <cell r="L16" t="str">
            <v>SE F45</v>
          </cell>
        </row>
        <row r="17">
          <cell r="A17">
            <v>35.01</v>
          </cell>
          <cell r="B17" t="str">
            <v>NON</v>
          </cell>
          <cell r="C17" t="str">
            <v>U15 M49</v>
          </cell>
          <cell r="D17" t="str">
            <v>U17 M49</v>
          </cell>
          <cell r="E17" t="str">
            <v>U20 M55</v>
          </cell>
          <cell r="F17" t="str">
            <v>SE M55</v>
          </cell>
          <cell r="G17">
            <v>35.01</v>
          </cell>
          <cell r="H17" t="str">
            <v>NON</v>
          </cell>
          <cell r="I17" t="str">
            <v>U15 F40</v>
          </cell>
          <cell r="J17" t="str">
            <v>U17 F40</v>
          </cell>
          <cell r="K17" t="str">
            <v>U20 F45</v>
          </cell>
          <cell r="L17" t="str">
            <v>SE F45</v>
          </cell>
        </row>
        <row r="18">
          <cell r="A18">
            <v>40.01</v>
          </cell>
          <cell r="B18" t="str">
            <v>NON</v>
          </cell>
          <cell r="C18" t="str">
            <v>U15 M49</v>
          </cell>
          <cell r="D18" t="str">
            <v>U17 M49</v>
          </cell>
          <cell r="E18" t="str">
            <v>U20 M55</v>
          </cell>
          <cell r="F18" t="str">
            <v>SE M55</v>
          </cell>
          <cell r="G18">
            <v>40.01</v>
          </cell>
          <cell r="H18" t="str">
            <v>NON</v>
          </cell>
          <cell r="I18" t="str">
            <v>U15 F45</v>
          </cell>
          <cell r="J18" t="str">
            <v>U17 F45</v>
          </cell>
          <cell r="K18" t="str">
            <v>U20 F45</v>
          </cell>
          <cell r="L18" t="str">
            <v>SE F45</v>
          </cell>
        </row>
        <row r="19">
          <cell r="A19">
            <v>45.01</v>
          </cell>
          <cell r="B19" t="str">
            <v>NON</v>
          </cell>
          <cell r="C19" t="str">
            <v>U15 M49</v>
          </cell>
          <cell r="D19" t="str">
            <v>U17 M49</v>
          </cell>
          <cell r="E19" t="str">
            <v>U20 M55</v>
          </cell>
          <cell r="F19" t="str">
            <v>SE M55</v>
          </cell>
          <cell r="G19">
            <v>45.01</v>
          </cell>
          <cell r="H19" t="str">
            <v>NON</v>
          </cell>
          <cell r="I19" t="str">
            <v>U15 F49</v>
          </cell>
          <cell r="J19" t="str">
            <v>U17 F49</v>
          </cell>
          <cell r="K19" t="str">
            <v>U20 F49</v>
          </cell>
          <cell r="L19" t="str">
            <v>SE F49</v>
          </cell>
        </row>
        <row r="20">
          <cell r="A20">
            <v>49.01</v>
          </cell>
          <cell r="B20" t="str">
            <v>NON</v>
          </cell>
          <cell r="C20" t="str">
            <v>U15 M55</v>
          </cell>
          <cell r="D20" t="str">
            <v>U17 M55</v>
          </cell>
          <cell r="E20" t="str">
            <v>U20 M55</v>
          </cell>
          <cell r="F20" t="str">
            <v>SE M55</v>
          </cell>
          <cell r="G20">
            <v>49.01</v>
          </cell>
          <cell r="H20" t="str">
            <v>NON</v>
          </cell>
          <cell r="I20" t="str">
            <v>U15 F55</v>
          </cell>
          <cell r="J20" t="str">
            <v>U17 F55</v>
          </cell>
          <cell r="K20" t="str">
            <v>U20 F55</v>
          </cell>
          <cell r="L20" t="str">
            <v>SE F55</v>
          </cell>
        </row>
        <row r="21">
          <cell r="A21">
            <v>55.01</v>
          </cell>
          <cell r="B21" t="str">
            <v>NON</v>
          </cell>
          <cell r="C21" t="str">
            <v>U15 M61</v>
          </cell>
          <cell r="D21" t="str">
            <v>U17 M61</v>
          </cell>
          <cell r="E21" t="str">
            <v>U20 M61</v>
          </cell>
          <cell r="F21" t="str">
            <v>SE M61</v>
          </cell>
          <cell r="G21">
            <v>55.01</v>
          </cell>
          <cell r="H21" t="str">
            <v>NON</v>
          </cell>
          <cell r="I21" t="str">
            <v>U15 F59</v>
          </cell>
          <cell r="J21" t="str">
            <v>U17 F59</v>
          </cell>
          <cell r="K21" t="str">
            <v>U20 F59</v>
          </cell>
          <cell r="L21" t="str">
            <v>SE F59</v>
          </cell>
        </row>
        <row r="22">
          <cell r="A22">
            <v>61.01</v>
          </cell>
          <cell r="B22" t="str">
            <v>NON</v>
          </cell>
          <cell r="C22" t="str">
            <v>U15 M67</v>
          </cell>
          <cell r="D22" t="str">
            <v>U17 M67</v>
          </cell>
          <cell r="E22" t="str">
            <v>U20 M67</v>
          </cell>
          <cell r="F22" t="str">
            <v>SE M67</v>
          </cell>
          <cell r="G22">
            <v>59.01</v>
          </cell>
          <cell r="H22" t="str">
            <v>NON</v>
          </cell>
          <cell r="I22" t="str">
            <v>U15 F64</v>
          </cell>
          <cell r="J22" t="str">
            <v>U17 F64</v>
          </cell>
          <cell r="K22" t="str">
            <v>U20 F64</v>
          </cell>
          <cell r="L22" t="str">
            <v>SE F64</v>
          </cell>
        </row>
        <row r="23">
          <cell r="A23">
            <v>67.010000000000005</v>
          </cell>
          <cell r="B23" t="str">
            <v>NON</v>
          </cell>
          <cell r="C23" t="str">
            <v>U15 M73</v>
          </cell>
          <cell r="D23" t="str">
            <v>U17 M73</v>
          </cell>
          <cell r="E23" t="str">
            <v>U20 M73</v>
          </cell>
          <cell r="F23" t="str">
            <v>SE M73</v>
          </cell>
          <cell r="G23">
            <v>64.010000000000005</v>
          </cell>
          <cell r="H23" t="str">
            <v>NON</v>
          </cell>
          <cell r="I23" t="str">
            <v>U15 F71</v>
          </cell>
          <cell r="J23" t="str">
            <v>U17 F71</v>
          </cell>
          <cell r="K23" t="str">
            <v>U20 F71</v>
          </cell>
          <cell r="L23" t="str">
            <v>SE F71</v>
          </cell>
        </row>
        <row r="24">
          <cell r="A24">
            <v>73.010000000000005</v>
          </cell>
          <cell r="B24" t="str">
            <v>NON</v>
          </cell>
          <cell r="C24" t="str">
            <v>U15 M81</v>
          </cell>
          <cell r="D24" t="str">
            <v>U17 M81</v>
          </cell>
          <cell r="E24" t="str">
            <v>U20 M81</v>
          </cell>
          <cell r="F24" t="str">
            <v>SE M81</v>
          </cell>
          <cell r="G24">
            <v>71.010000000000005</v>
          </cell>
          <cell r="H24" t="str">
            <v>NON</v>
          </cell>
          <cell r="I24" t="str">
            <v>U15 F76</v>
          </cell>
          <cell r="J24" t="str">
            <v>U17 F76</v>
          </cell>
          <cell r="K24" t="str">
            <v>U20 F76</v>
          </cell>
          <cell r="L24" t="str">
            <v>SE F76</v>
          </cell>
        </row>
        <row r="25">
          <cell r="A25">
            <v>81.010000000000005</v>
          </cell>
          <cell r="B25" t="str">
            <v>NON</v>
          </cell>
          <cell r="C25" t="str">
            <v>U15 M89</v>
          </cell>
          <cell r="D25" t="str">
            <v>U17 M89</v>
          </cell>
          <cell r="E25" t="str">
            <v>U20 M89</v>
          </cell>
          <cell r="F25" t="str">
            <v>SE M89</v>
          </cell>
          <cell r="G25">
            <v>76.010000000000005</v>
          </cell>
          <cell r="H25" t="str">
            <v>NON</v>
          </cell>
          <cell r="I25" t="str">
            <v>U15 F81</v>
          </cell>
          <cell r="J25" t="str">
            <v>U17 F81</v>
          </cell>
          <cell r="K25" t="str">
            <v>U20 F81</v>
          </cell>
          <cell r="L25" t="str">
            <v>SE F81</v>
          </cell>
        </row>
        <row r="26">
          <cell r="A26">
            <v>89.01</v>
          </cell>
          <cell r="B26" t="str">
            <v>NON</v>
          </cell>
          <cell r="C26" t="str">
            <v>U15 M96</v>
          </cell>
          <cell r="D26" t="str">
            <v>U17 M96</v>
          </cell>
          <cell r="E26" t="str">
            <v>U20 M96</v>
          </cell>
          <cell r="F26" t="str">
            <v>SE M96</v>
          </cell>
          <cell r="G26">
            <v>81.010000000000005</v>
          </cell>
          <cell r="H26" t="str">
            <v>NON</v>
          </cell>
          <cell r="I26" t="str">
            <v>U15 F&gt;81</v>
          </cell>
          <cell r="J26" t="str">
            <v>U17 F&gt;81</v>
          </cell>
          <cell r="K26" t="str">
            <v>U20 F87</v>
          </cell>
          <cell r="L26" t="str">
            <v>SE F87</v>
          </cell>
        </row>
        <row r="27">
          <cell r="A27">
            <v>96.01</v>
          </cell>
          <cell r="B27" t="str">
            <v>NON</v>
          </cell>
          <cell r="C27" t="str">
            <v>U15 M102</v>
          </cell>
          <cell r="D27" t="str">
            <v>U17 M102</v>
          </cell>
          <cell r="E27" t="str">
            <v>U20 M102</v>
          </cell>
          <cell r="F27" t="str">
            <v>SE M102</v>
          </cell>
          <cell r="G27">
            <v>87.01</v>
          </cell>
          <cell r="H27" t="str">
            <v>NON</v>
          </cell>
          <cell r="I27" t="str">
            <v>U15 F&gt;81</v>
          </cell>
          <cell r="J27" t="str">
            <v>U17 F&gt;81</v>
          </cell>
          <cell r="K27" t="str">
            <v>U20 F&gt;87</v>
          </cell>
          <cell r="L27" t="str">
            <v>SE F&gt;87</v>
          </cell>
        </row>
        <row r="28">
          <cell r="A28">
            <v>102.01</v>
          </cell>
          <cell r="B28" t="str">
            <v>NON</v>
          </cell>
          <cell r="C28" t="str">
            <v>U15 M&gt;102</v>
          </cell>
          <cell r="D28" t="str">
            <v>U17 M&gt;102</v>
          </cell>
          <cell r="E28" t="str">
            <v>U20 M109</v>
          </cell>
          <cell r="F28" t="str">
            <v>SE M109</v>
          </cell>
        </row>
        <row r="29">
          <cell r="A29">
            <v>109.1</v>
          </cell>
          <cell r="B29" t="str">
            <v>NON</v>
          </cell>
          <cell r="C29" t="str">
            <v>U15 M&gt;102</v>
          </cell>
          <cell r="D29" t="str">
            <v>U17 M&gt;102</v>
          </cell>
          <cell r="E29" t="str">
            <v>U20 M&gt;109</v>
          </cell>
          <cell r="F29" t="str">
            <v>SE M&gt;109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VIDUEL"/>
      <sheetName val="Classement Equipes"/>
      <sheetName val="NotesTechJeunes"/>
      <sheetName val="Minimas"/>
      <sheetName val="Listing"/>
      <sheetName val="TableAllemand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D1" t="str">
            <v>Num.lic.</v>
          </cell>
          <cell r="F1" t="str">
            <v>Genre</v>
          </cell>
        </row>
        <row r="2">
          <cell r="D2">
            <v>344100</v>
          </cell>
          <cell r="F2" t="str">
            <v>Homme</v>
          </cell>
        </row>
        <row r="3">
          <cell r="D3">
            <v>449156</v>
          </cell>
          <cell r="F3" t="str">
            <v>Femme</v>
          </cell>
        </row>
        <row r="4">
          <cell r="D4">
            <v>384034</v>
          </cell>
          <cell r="F4" t="str">
            <v>Femme</v>
          </cell>
        </row>
        <row r="5">
          <cell r="D5">
            <v>435395</v>
          </cell>
          <cell r="F5" t="str">
            <v>Homme</v>
          </cell>
        </row>
        <row r="6">
          <cell r="D6">
            <v>401580</v>
          </cell>
          <cell r="F6" t="str">
            <v>Homme</v>
          </cell>
        </row>
        <row r="7">
          <cell r="D7">
            <v>444748</v>
          </cell>
          <cell r="F7" t="str">
            <v>Femme</v>
          </cell>
        </row>
        <row r="8">
          <cell r="D8">
            <v>329036</v>
          </cell>
          <cell r="F8" t="str">
            <v>Homme</v>
          </cell>
        </row>
        <row r="9">
          <cell r="D9">
            <v>398244</v>
          </cell>
          <cell r="F9" t="str">
            <v>Homme</v>
          </cell>
        </row>
        <row r="10">
          <cell r="D10">
            <v>445625</v>
          </cell>
          <cell r="F10" t="str">
            <v>Homme</v>
          </cell>
        </row>
        <row r="11">
          <cell r="D11">
            <v>380840</v>
          </cell>
          <cell r="F11" t="str">
            <v>Homme</v>
          </cell>
        </row>
        <row r="12">
          <cell r="D12">
            <v>415242</v>
          </cell>
          <cell r="F12" t="str">
            <v>Homme</v>
          </cell>
        </row>
        <row r="13">
          <cell r="D13">
            <v>437623</v>
          </cell>
          <cell r="F13" t="str">
            <v>Homme</v>
          </cell>
        </row>
        <row r="14">
          <cell r="D14">
            <v>437626</v>
          </cell>
          <cell r="F14" t="str">
            <v>Homme</v>
          </cell>
        </row>
        <row r="15">
          <cell r="D15">
            <v>370433</v>
          </cell>
          <cell r="F15" t="str">
            <v>Homme</v>
          </cell>
        </row>
        <row r="16">
          <cell r="D16">
            <v>417751</v>
          </cell>
          <cell r="F16" t="str">
            <v>Femme</v>
          </cell>
        </row>
        <row r="17">
          <cell r="D17">
            <v>230430</v>
          </cell>
          <cell r="F17" t="str">
            <v>Femme</v>
          </cell>
        </row>
        <row r="18">
          <cell r="D18">
            <v>363002</v>
          </cell>
          <cell r="F18" t="str">
            <v>Femme</v>
          </cell>
        </row>
        <row r="19">
          <cell r="D19">
            <v>435579</v>
          </cell>
          <cell r="F19" t="str">
            <v>Femme</v>
          </cell>
        </row>
        <row r="20">
          <cell r="D20">
            <v>448331</v>
          </cell>
          <cell r="F20" t="str">
            <v>Homme</v>
          </cell>
        </row>
        <row r="21">
          <cell r="D21">
            <v>310069</v>
          </cell>
          <cell r="F21" t="str">
            <v>Homme</v>
          </cell>
        </row>
        <row r="22">
          <cell r="D22">
            <v>416679</v>
          </cell>
          <cell r="F22" t="str">
            <v>Homme</v>
          </cell>
        </row>
        <row r="23">
          <cell r="D23">
            <v>443407</v>
          </cell>
          <cell r="F23" t="str">
            <v>Homme</v>
          </cell>
        </row>
        <row r="24">
          <cell r="D24">
            <v>442647</v>
          </cell>
          <cell r="F24" t="str">
            <v>Homme</v>
          </cell>
        </row>
        <row r="25">
          <cell r="D25">
            <v>442976</v>
          </cell>
          <cell r="F25" t="str">
            <v>Homme</v>
          </cell>
        </row>
        <row r="26">
          <cell r="D26">
            <v>360579</v>
          </cell>
          <cell r="F26" t="str">
            <v>Femme</v>
          </cell>
        </row>
        <row r="27">
          <cell r="D27">
            <v>447687</v>
          </cell>
          <cell r="F27" t="str">
            <v>Homme</v>
          </cell>
        </row>
        <row r="28">
          <cell r="D28">
            <v>262995</v>
          </cell>
          <cell r="F28" t="str">
            <v>Homme</v>
          </cell>
        </row>
        <row r="29">
          <cell r="D29">
            <v>417539</v>
          </cell>
          <cell r="F29" t="str">
            <v>Homme</v>
          </cell>
        </row>
        <row r="30">
          <cell r="D30">
            <v>443557</v>
          </cell>
          <cell r="F30" t="str">
            <v>Homme</v>
          </cell>
        </row>
        <row r="31">
          <cell r="D31">
            <v>415050</v>
          </cell>
          <cell r="F31" t="str">
            <v>Femme</v>
          </cell>
        </row>
        <row r="32">
          <cell r="D32">
            <v>444075</v>
          </cell>
          <cell r="F32" t="str">
            <v>Homme</v>
          </cell>
        </row>
        <row r="33">
          <cell r="D33">
            <v>431952</v>
          </cell>
          <cell r="F33" t="str">
            <v>Homme</v>
          </cell>
        </row>
        <row r="34">
          <cell r="D34">
            <v>182561</v>
          </cell>
          <cell r="F34" t="str">
            <v>Homme</v>
          </cell>
        </row>
        <row r="35">
          <cell r="D35">
            <v>433567</v>
          </cell>
          <cell r="F35" t="str">
            <v>Homme</v>
          </cell>
        </row>
        <row r="36">
          <cell r="D36">
            <v>328768</v>
          </cell>
          <cell r="F36" t="str">
            <v>Homme</v>
          </cell>
        </row>
        <row r="37">
          <cell r="D37">
            <v>248128</v>
          </cell>
          <cell r="F37" t="str">
            <v>Homme</v>
          </cell>
        </row>
        <row r="38">
          <cell r="D38">
            <v>6353</v>
          </cell>
          <cell r="F38" t="str">
            <v>Homme</v>
          </cell>
        </row>
        <row r="39">
          <cell r="D39">
            <v>204912</v>
          </cell>
          <cell r="F39" t="str">
            <v>Homme</v>
          </cell>
        </row>
        <row r="40">
          <cell r="D40">
            <v>335170</v>
          </cell>
          <cell r="F40" t="str">
            <v>Homme</v>
          </cell>
        </row>
        <row r="41">
          <cell r="D41">
            <v>415049</v>
          </cell>
          <cell r="F41" t="str">
            <v>Homme</v>
          </cell>
        </row>
        <row r="42">
          <cell r="D42">
            <v>431876</v>
          </cell>
          <cell r="F42" t="str">
            <v>Femme</v>
          </cell>
        </row>
        <row r="43">
          <cell r="D43">
            <v>443698</v>
          </cell>
          <cell r="F43" t="str">
            <v>Homme</v>
          </cell>
        </row>
        <row r="44">
          <cell r="D44">
            <v>446336</v>
          </cell>
          <cell r="F44" t="str">
            <v>Femme</v>
          </cell>
        </row>
        <row r="45">
          <cell r="D45">
            <v>14585</v>
          </cell>
          <cell r="F45" t="str">
            <v>Homme</v>
          </cell>
        </row>
        <row r="46">
          <cell r="D46">
            <v>446335</v>
          </cell>
          <cell r="F46" t="str">
            <v>Femme</v>
          </cell>
        </row>
        <row r="47">
          <cell r="D47">
            <v>449159</v>
          </cell>
          <cell r="F47" t="str">
            <v>Femme</v>
          </cell>
        </row>
        <row r="48">
          <cell r="D48">
            <v>415953</v>
          </cell>
          <cell r="F48" t="str">
            <v>Homme</v>
          </cell>
        </row>
        <row r="49">
          <cell r="D49">
            <v>422631</v>
          </cell>
          <cell r="F49" t="str">
            <v>Homme</v>
          </cell>
        </row>
        <row r="50">
          <cell r="D50">
            <v>6786</v>
          </cell>
          <cell r="F50" t="str">
            <v>Homme</v>
          </cell>
        </row>
        <row r="51">
          <cell r="D51">
            <v>418267</v>
          </cell>
          <cell r="F51" t="str">
            <v>Homme</v>
          </cell>
        </row>
        <row r="52">
          <cell r="D52">
            <v>443625</v>
          </cell>
          <cell r="F52" t="str">
            <v>Homme</v>
          </cell>
        </row>
        <row r="53">
          <cell r="D53">
            <v>437054</v>
          </cell>
          <cell r="F53" t="str">
            <v>Femme</v>
          </cell>
        </row>
        <row r="54">
          <cell r="D54">
            <v>444478</v>
          </cell>
          <cell r="F54" t="str">
            <v>Femme</v>
          </cell>
        </row>
        <row r="55">
          <cell r="D55">
            <v>438114</v>
          </cell>
          <cell r="F55" t="str">
            <v>Homme</v>
          </cell>
        </row>
        <row r="56">
          <cell r="D56">
            <v>442985</v>
          </cell>
          <cell r="F56" t="str">
            <v>Homme</v>
          </cell>
        </row>
        <row r="57">
          <cell r="D57">
            <v>199415</v>
          </cell>
          <cell r="F57" t="str">
            <v>Homme</v>
          </cell>
        </row>
        <row r="58">
          <cell r="D58">
            <v>443060</v>
          </cell>
          <cell r="F58" t="str">
            <v>Homme</v>
          </cell>
        </row>
        <row r="59">
          <cell r="D59">
            <v>447112</v>
          </cell>
          <cell r="F59" t="str">
            <v>Femme</v>
          </cell>
        </row>
        <row r="60">
          <cell r="D60">
            <v>361222</v>
          </cell>
          <cell r="F60" t="str">
            <v>Homme</v>
          </cell>
        </row>
        <row r="61">
          <cell r="D61">
            <v>422632</v>
          </cell>
          <cell r="F61" t="str">
            <v>Homme</v>
          </cell>
        </row>
        <row r="62">
          <cell r="D62">
            <v>444475</v>
          </cell>
          <cell r="F62" t="str">
            <v>Homme</v>
          </cell>
        </row>
        <row r="63">
          <cell r="D63">
            <v>446025</v>
          </cell>
          <cell r="F63" t="str">
            <v>Femme</v>
          </cell>
        </row>
        <row r="64">
          <cell r="D64">
            <v>443018</v>
          </cell>
          <cell r="F64" t="str">
            <v>Homme</v>
          </cell>
        </row>
        <row r="65">
          <cell r="D65">
            <v>448145</v>
          </cell>
          <cell r="F65" t="str">
            <v>Homme</v>
          </cell>
        </row>
        <row r="66">
          <cell r="D66">
            <v>418258</v>
          </cell>
          <cell r="F66" t="str">
            <v>Femme</v>
          </cell>
        </row>
        <row r="67">
          <cell r="D67">
            <v>446024</v>
          </cell>
          <cell r="F67" t="str">
            <v>Femme</v>
          </cell>
        </row>
        <row r="68">
          <cell r="D68">
            <v>446026</v>
          </cell>
          <cell r="F68" t="str">
            <v>Homme</v>
          </cell>
        </row>
        <row r="69">
          <cell r="D69">
            <v>418260</v>
          </cell>
          <cell r="F69" t="str">
            <v>Femme</v>
          </cell>
        </row>
        <row r="70">
          <cell r="D70">
            <v>442083</v>
          </cell>
          <cell r="F70" t="str">
            <v>Homme</v>
          </cell>
        </row>
        <row r="71">
          <cell r="D71">
            <v>442981</v>
          </cell>
          <cell r="F71" t="str">
            <v>Homme</v>
          </cell>
        </row>
        <row r="72">
          <cell r="D72">
            <v>444949</v>
          </cell>
          <cell r="F72" t="str">
            <v>Homme</v>
          </cell>
        </row>
        <row r="73">
          <cell r="D73">
            <v>442973</v>
          </cell>
          <cell r="F73" t="str">
            <v>Homme</v>
          </cell>
        </row>
        <row r="74">
          <cell r="D74">
            <v>445329</v>
          </cell>
          <cell r="F74" t="str">
            <v>Femme</v>
          </cell>
        </row>
        <row r="75">
          <cell r="D75">
            <v>415949</v>
          </cell>
          <cell r="F75" t="str">
            <v>Homme</v>
          </cell>
        </row>
        <row r="76">
          <cell r="D76">
            <v>447113</v>
          </cell>
          <cell r="F76" t="str">
            <v>Femme</v>
          </cell>
        </row>
        <row r="77">
          <cell r="D77">
            <v>312376</v>
          </cell>
          <cell r="F77" t="str">
            <v>Homme</v>
          </cell>
        </row>
        <row r="78">
          <cell r="D78">
            <v>442983</v>
          </cell>
          <cell r="F78" t="str">
            <v>Homme</v>
          </cell>
        </row>
        <row r="79">
          <cell r="D79">
            <v>447115</v>
          </cell>
          <cell r="F79" t="str">
            <v>Homme</v>
          </cell>
        </row>
        <row r="80">
          <cell r="D80">
            <v>415944</v>
          </cell>
          <cell r="F80" t="str">
            <v>Homme</v>
          </cell>
        </row>
        <row r="81">
          <cell r="D81">
            <v>444529</v>
          </cell>
          <cell r="F81" t="str">
            <v>Homme</v>
          </cell>
        </row>
        <row r="82">
          <cell r="D82">
            <v>446032</v>
          </cell>
          <cell r="F82" t="str">
            <v>Femme</v>
          </cell>
        </row>
        <row r="83">
          <cell r="D83">
            <v>444528</v>
          </cell>
          <cell r="F83" t="str">
            <v>Homme</v>
          </cell>
        </row>
        <row r="84">
          <cell r="D84">
            <v>443696</v>
          </cell>
          <cell r="F84" t="str">
            <v>Femme</v>
          </cell>
        </row>
        <row r="85">
          <cell r="D85">
            <v>444483</v>
          </cell>
          <cell r="F85" t="str">
            <v>Homme</v>
          </cell>
        </row>
        <row r="86">
          <cell r="D86">
            <v>442991</v>
          </cell>
          <cell r="F86" t="str">
            <v>Homme</v>
          </cell>
        </row>
        <row r="87">
          <cell r="D87">
            <v>442995</v>
          </cell>
          <cell r="F87" t="str">
            <v>Homme</v>
          </cell>
        </row>
        <row r="88">
          <cell r="D88">
            <v>444867</v>
          </cell>
          <cell r="F88" t="str">
            <v>Femme</v>
          </cell>
        </row>
        <row r="89">
          <cell r="D89">
            <v>438356</v>
          </cell>
          <cell r="F89" t="str">
            <v>Femme</v>
          </cell>
        </row>
        <row r="90">
          <cell r="D90">
            <v>447114</v>
          </cell>
          <cell r="F90" t="str">
            <v>Femme</v>
          </cell>
        </row>
        <row r="91">
          <cell r="D91">
            <v>312382</v>
          </cell>
          <cell r="F91" t="str">
            <v>Homme</v>
          </cell>
        </row>
        <row r="92">
          <cell r="D92">
            <v>443058</v>
          </cell>
          <cell r="F92" t="str">
            <v>Homme</v>
          </cell>
        </row>
        <row r="93">
          <cell r="D93">
            <v>429699</v>
          </cell>
          <cell r="F93" t="str">
            <v>Homme</v>
          </cell>
        </row>
        <row r="94">
          <cell r="D94">
            <v>448146</v>
          </cell>
          <cell r="F94" t="str">
            <v>Femme</v>
          </cell>
        </row>
        <row r="95">
          <cell r="D95">
            <v>182520</v>
          </cell>
          <cell r="F95" t="str">
            <v>Homme</v>
          </cell>
        </row>
        <row r="96">
          <cell r="D96">
            <v>168623</v>
          </cell>
          <cell r="F96" t="str">
            <v>Homme</v>
          </cell>
        </row>
        <row r="97">
          <cell r="D97">
            <v>287541</v>
          </cell>
          <cell r="F97" t="str">
            <v>Femme</v>
          </cell>
        </row>
        <row r="98">
          <cell r="D98">
            <v>443016</v>
          </cell>
          <cell r="F98" t="str">
            <v>Femme</v>
          </cell>
        </row>
        <row r="99">
          <cell r="D99">
            <v>445752</v>
          </cell>
          <cell r="F99" t="str">
            <v>Femme</v>
          </cell>
        </row>
        <row r="100">
          <cell r="D100">
            <v>445389</v>
          </cell>
          <cell r="F100" t="str">
            <v>Femme</v>
          </cell>
        </row>
        <row r="101">
          <cell r="D101">
            <v>36</v>
          </cell>
          <cell r="F101" t="str">
            <v>Homme</v>
          </cell>
        </row>
        <row r="102">
          <cell r="D102">
            <v>355822</v>
          </cell>
          <cell r="F102" t="str">
            <v>Femme</v>
          </cell>
        </row>
        <row r="103">
          <cell r="D103">
            <v>419752</v>
          </cell>
          <cell r="F103" t="str">
            <v>Homme</v>
          </cell>
        </row>
        <row r="104">
          <cell r="D104">
            <v>362599</v>
          </cell>
          <cell r="F104" t="str">
            <v>Homme</v>
          </cell>
        </row>
        <row r="105">
          <cell r="D105">
            <v>442982</v>
          </cell>
          <cell r="F105" t="str">
            <v>Femme</v>
          </cell>
        </row>
        <row r="106">
          <cell r="D106">
            <v>442974</v>
          </cell>
          <cell r="F106" t="str">
            <v>Homme</v>
          </cell>
        </row>
        <row r="107">
          <cell r="D107">
            <v>442979</v>
          </cell>
          <cell r="F107" t="str">
            <v>Femme</v>
          </cell>
        </row>
        <row r="108">
          <cell r="D108">
            <v>312387</v>
          </cell>
          <cell r="F108" t="str">
            <v>Homme</v>
          </cell>
        </row>
        <row r="109">
          <cell r="D109">
            <v>415958</v>
          </cell>
          <cell r="F109" t="str">
            <v>Femme</v>
          </cell>
        </row>
        <row r="110">
          <cell r="D110">
            <v>445330</v>
          </cell>
          <cell r="F110" t="str">
            <v>Femme</v>
          </cell>
        </row>
        <row r="111">
          <cell r="D111">
            <v>429700</v>
          </cell>
          <cell r="F111" t="str">
            <v>Femme</v>
          </cell>
        </row>
        <row r="112">
          <cell r="D112">
            <v>418266</v>
          </cell>
          <cell r="F112" t="str">
            <v>Homme</v>
          </cell>
        </row>
        <row r="113">
          <cell r="D113">
            <v>33</v>
          </cell>
          <cell r="F113" t="str">
            <v>Homme</v>
          </cell>
        </row>
        <row r="114">
          <cell r="D114">
            <v>444895</v>
          </cell>
          <cell r="F114" t="str">
            <v>Homme</v>
          </cell>
        </row>
        <row r="115">
          <cell r="D115">
            <v>444904</v>
          </cell>
          <cell r="F115" t="str">
            <v>Homme</v>
          </cell>
        </row>
        <row r="116">
          <cell r="D116">
            <v>434560</v>
          </cell>
          <cell r="F116" t="str">
            <v>Femme</v>
          </cell>
        </row>
        <row r="117">
          <cell r="D117">
            <v>434664</v>
          </cell>
          <cell r="F117" t="str">
            <v>Femme</v>
          </cell>
        </row>
        <row r="118">
          <cell r="D118">
            <v>32</v>
          </cell>
          <cell r="F118" t="str">
            <v>Homme</v>
          </cell>
        </row>
        <row r="119">
          <cell r="D119">
            <v>425572</v>
          </cell>
          <cell r="F119" t="str">
            <v>Femme</v>
          </cell>
        </row>
        <row r="120">
          <cell r="D120">
            <v>434559</v>
          </cell>
          <cell r="F120" t="str">
            <v>Homme</v>
          </cell>
        </row>
        <row r="121">
          <cell r="D121">
            <v>410945</v>
          </cell>
          <cell r="F121" t="str">
            <v>Homme</v>
          </cell>
        </row>
        <row r="122">
          <cell r="D122">
            <v>355824</v>
          </cell>
          <cell r="F122" t="str">
            <v>Homme</v>
          </cell>
        </row>
        <row r="123">
          <cell r="D123">
            <v>410946</v>
          </cell>
          <cell r="F123" t="str">
            <v>Femme</v>
          </cell>
        </row>
        <row r="124">
          <cell r="D124">
            <v>434668</v>
          </cell>
          <cell r="F124" t="str">
            <v>Femme</v>
          </cell>
        </row>
        <row r="125">
          <cell r="D125">
            <v>434667</v>
          </cell>
          <cell r="F125" t="str">
            <v>Femme</v>
          </cell>
        </row>
        <row r="126">
          <cell r="D126">
            <v>402874</v>
          </cell>
          <cell r="F126" t="str">
            <v>Femme</v>
          </cell>
        </row>
        <row r="127">
          <cell r="D127">
            <v>444898</v>
          </cell>
          <cell r="F127" t="str">
            <v>Femme</v>
          </cell>
        </row>
        <row r="128">
          <cell r="D128">
            <v>418270</v>
          </cell>
          <cell r="F128" t="str">
            <v>Femme</v>
          </cell>
        </row>
        <row r="129">
          <cell r="D129">
            <v>434669</v>
          </cell>
          <cell r="F129" t="str">
            <v>Homme</v>
          </cell>
        </row>
        <row r="130">
          <cell r="D130">
            <v>418261</v>
          </cell>
          <cell r="F130" t="str">
            <v>Femme</v>
          </cell>
        </row>
        <row r="131">
          <cell r="D131">
            <v>402872</v>
          </cell>
          <cell r="F131" t="str">
            <v>Femme</v>
          </cell>
        </row>
        <row r="132">
          <cell r="D132">
            <v>402869</v>
          </cell>
          <cell r="F132" t="str">
            <v>Homme</v>
          </cell>
        </row>
        <row r="133">
          <cell r="D133">
            <v>444868</v>
          </cell>
          <cell r="F133" t="str">
            <v>Femme</v>
          </cell>
        </row>
        <row r="134">
          <cell r="D134">
            <v>355823</v>
          </cell>
          <cell r="F134" t="str">
            <v>Homme</v>
          </cell>
        </row>
        <row r="135">
          <cell r="D135">
            <v>434665</v>
          </cell>
          <cell r="F135" t="str">
            <v>Femme</v>
          </cell>
        </row>
        <row r="136">
          <cell r="D136">
            <v>444901</v>
          </cell>
          <cell r="F136" t="str">
            <v>Femme</v>
          </cell>
        </row>
        <row r="137">
          <cell r="D137">
            <v>434670</v>
          </cell>
          <cell r="F137" t="str">
            <v>Femme</v>
          </cell>
        </row>
        <row r="138">
          <cell r="D138">
            <v>444897</v>
          </cell>
          <cell r="F138" t="str">
            <v>Femme</v>
          </cell>
        </row>
        <row r="139">
          <cell r="D139">
            <v>443056</v>
          </cell>
          <cell r="F139" t="str">
            <v>Femme</v>
          </cell>
        </row>
        <row r="140">
          <cell r="D140">
            <v>434561</v>
          </cell>
          <cell r="F140" t="str">
            <v>Femme</v>
          </cell>
        </row>
        <row r="141">
          <cell r="D141">
            <v>222553</v>
          </cell>
          <cell r="F141" t="str">
            <v>Homme</v>
          </cell>
        </row>
        <row r="142">
          <cell r="D142">
            <v>293750</v>
          </cell>
          <cell r="F142" t="str">
            <v>Homme</v>
          </cell>
        </row>
        <row r="143">
          <cell r="D143">
            <v>438355</v>
          </cell>
          <cell r="F143" t="str">
            <v>Femme</v>
          </cell>
        </row>
        <row r="144">
          <cell r="D144">
            <v>434562</v>
          </cell>
          <cell r="F144" t="str">
            <v>Femme</v>
          </cell>
        </row>
        <row r="145">
          <cell r="D145">
            <v>34</v>
          </cell>
          <cell r="F145" t="str">
            <v>Homme</v>
          </cell>
        </row>
        <row r="146">
          <cell r="D146">
            <v>401944</v>
          </cell>
          <cell r="F146" t="str">
            <v>Femme</v>
          </cell>
        </row>
        <row r="147">
          <cell r="D147">
            <v>442432</v>
          </cell>
          <cell r="F147" t="str">
            <v>Homme</v>
          </cell>
        </row>
        <row r="148">
          <cell r="D148">
            <v>431502</v>
          </cell>
          <cell r="F148" t="str">
            <v>Homme</v>
          </cell>
        </row>
        <row r="149">
          <cell r="D149">
            <v>442434</v>
          </cell>
          <cell r="F149" t="str">
            <v>Homme</v>
          </cell>
        </row>
        <row r="150">
          <cell r="D150">
            <v>367548</v>
          </cell>
          <cell r="F150" t="str">
            <v>Homme</v>
          </cell>
        </row>
        <row r="151">
          <cell r="D151">
            <v>422825</v>
          </cell>
          <cell r="F151" t="str">
            <v>Femme</v>
          </cell>
        </row>
        <row r="152">
          <cell r="D152">
            <v>422377</v>
          </cell>
          <cell r="F152" t="str">
            <v>Homme</v>
          </cell>
        </row>
        <row r="153">
          <cell r="D153">
            <v>443470</v>
          </cell>
          <cell r="F153" t="str">
            <v>Femme</v>
          </cell>
        </row>
        <row r="154">
          <cell r="D154">
            <v>443472</v>
          </cell>
          <cell r="F154" t="str">
            <v>Homme</v>
          </cell>
        </row>
        <row r="155">
          <cell r="D155">
            <v>443490</v>
          </cell>
          <cell r="F155" t="str">
            <v>Homme</v>
          </cell>
        </row>
        <row r="156">
          <cell r="D156">
            <v>443458</v>
          </cell>
          <cell r="F156" t="str">
            <v>Homme</v>
          </cell>
        </row>
        <row r="157">
          <cell r="D157">
            <v>443491</v>
          </cell>
          <cell r="F157" t="str">
            <v>Homme</v>
          </cell>
        </row>
        <row r="158">
          <cell r="D158">
            <v>431068</v>
          </cell>
          <cell r="F158" t="str">
            <v>Homme</v>
          </cell>
        </row>
        <row r="159">
          <cell r="D159">
            <v>443492</v>
          </cell>
          <cell r="F159" t="str">
            <v>Homme</v>
          </cell>
        </row>
        <row r="160">
          <cell r="D160">
            <v>443496</v>
          </cell>
          <cell r="F160" t="str">
            <v>Homme</v>
          </cell>
        </row>
        <row r="161">
          <cell r="D161">
            <v>443466</v>
          </cell>
          <cell r="F161" t="str">
            <v>Homme</v>
          </cell>
        </row>
        <row r="162">
          <cell r="D162">
            <v>443468</v>
          </cell>
          <cell r="F162" t="str">
            <v>Femme</v>
          </cell>
        </row>
        <row r="163">
          <cell r="D163">
            <v>435598</v>
          </cell>
          <cell r="F163" t="str">
            <v>Homme</v>
          </cell>
        </row>
        <row r="164">
          <cell r="D164">
            <v>443460</v>
          </cell>
          <cell r="F164" t="str">
            <v>Femme</v>
          </cell>
        </row>
        <row r="165">
          <cell r="D165">
            <v>313110</v>
          </cell>
          <cell r="F165" t="str">
            <v>Homme</v>
          </cell>
        </row>
        <row r="166">
          <cell r="D166">
            <v>443464</v>
          </cell>
          <cell r="F166" t="str">
            <v>Femme</v>
          </cell>
        </row>
        <row r="167">
          <cell r="D167">
            <v>445736</v>
          </cell>
          <cell r="F167" t="str">
            <v>Femme</v>
          </cell>
        </row>
        <row r="168">
          <cell r="D168">
            <v>443499</v>
          </cell>
          <cell r="F168" t="str">
            <v>Homme</v>
          </cell>
        </row>
        <row r="169">
          <cell r="D169">
            <v>443455</v>
          </cell>
          <cell r="F169" t="str">
            <v>Homme</v>
          </cell>
        </row>
        <row r="170">
          <cell r="D170">
            <v>445735</v>
          </cell>
          <cell r="F170" t="str">
            <v>Homme</v>
          </cell>
        </row>
        <row r="171">
          <cell r="D171">
            <v>313111</v>
          </cell>
          <cell r="F171" t="str">
            <v>Homme</v>
          </cell>
        </row>
        <row r="172">
          <cell r="D172">
            <v>443461</v>
          </cell>
          <cell r="F172" t="str">
            <v>Femme</v>
          </cell>
        </row>
        <row r="173">
          <cell r="D173">
            <v>443493</v>
          </cell>
          <cell r="F173" t="str">
            <v>Homme</v>
          </cell>
        </row>
        <row r="174">
          <cell r="D174">
            <v>442548</v>
          </cell>
          <cell r="F174" t="str">
            <v>Homme</v>
          </cell>
        </row>
        <row r="175">
          <cell r="D175">
            <v>443487</v>
          </cell>
          <cell r="F175" t="str">
            <v>Homme</v>
          </cell>
        </row>
        <row r="176">
          <cell r="D176">
            <v>418030</v>
          </cell>
          <cell r="F176" t="str">
            <v>Femme</v>
          </cell>
        </row>
        <row r="177">
          <cell r="D177">
            <v>402283</v>
          </cell>
          <cell r="F177" t="str">
            <v>Femme</v>
          </cell>
        </row>
        <row r="178">
          <cell r="D178">
            <v>437093</v>
          </cell>
          <cell r="F178" t="str">
            <v>Homme</v>
          </cell>
        </row>
        <row r="179">
          <cell r="D179">
            <v>443465</v>
          </cell>
          <cell r="F179" t="str">
            <v>Femme</v>
          </cell>
        </row>
        <row r="180">
          <cell r="D180">
            <v>431113</v>
          </cell>
          <cell r="F180" t="str">
            <v>Femme</v>
          </cell>
        </row>
        <row r="181">
          <cell r="D181">
            <v>402188</v>
          </cell>
          <cell r="F181" t="str">
            <v>Homme</v>
          </cell>
        </row>
        <row r="182">
          <cell r="D182">
            <v>418035</v>
          </cell>
          <cell r="F182" t="str">
            <v>Homme</v>
          </cell>
        </row>
        <row r="183">
          <cell r="D183">
            <v>431092</v>
          </cell>
          <cell r="F183" t="str">
            <v>Femme</v>
          </cell>
        </row>
        <row r="184">
          <cell r="D184">
            <v>431064</v>
          </cell>
          <cell r="F184" t="str">
            <v>Homme</v>
          </cell>
        </row>
        <row r="185">
          <cell r="D185">
            <v>417077</v>
          </cell>
          <cell r="F185" t="str">
            <v>Homme</v>
          </cell>
        </row>
        <row r="186">
          <cell r="D186">
            <v>443494</v>
          </cell>
          <cell r="F186" t="str">
            <v>Homme</v>
          </cell>
        </row>
        <row r="187">
          <cell r="D187">
            <v>443501</v>
          </cell>
          <cell r="F187" t="str">
            <v>Homme</v>
          </cell>
        </row>
        <row r="188">
          <cell r="D188">
            <v>431110</v>
          </cell>
          <cell r="F188" t="str">
            <v>Homme</v>
          </cell>
        </row>
        <row r="189">
          <cell r="D189">
            <v>435599</v>
          </cell>
          <cell r="F189" t="str">
            <v>Femme</v>
          </cell>
        </row>
        <row r="190">
          <cell r="D190">
            <v>443463</v>
          </cell>
          <cell r="F190" t="str">
            <v>Femme</v>
          </cell>
        </row>
        <row r="191">
          <cell r="D191">
            <v>443495</v>
          </cell>
          <cell r="F191" t="str">
            <v>Femme</v>
          </cell>
        </row>
        <row r="192">
          <cell r="D192">
            <v>431063</v>
          </cell>
          <cell r="F192" t="str">
            <v>Homme</v>
          </cell>
        </row>
        <row r="193">
          <cell r="D193">
            <v>418027</v>
          </cell>
          <cell r="F193" t="str">
            <v>Homme</v>
          </cell>
        </row>
        <row r="194">
          <cell r="D194">
            <v>417083</v>
          </cell>
          <cell r="F194" t="str">
            <v>Femme</v>
          </cell>
        </row>
        <row r="195">
          <cell r="D195">
            <v>431077</v>
          </cell>
          <cell r="F195" t="str">
            <v>Homme</v>
          </cell>
        </row>
        <row r="196">
          <cell r="D196">
            <v>431059</v>
          </cell>
          <cell r="F196" t="str">
            <v>Homme</v>
          </cell>
        </row>
        <row r="197">
          <cell r="D197">
            <v>431061</v>
          </cell>
          <cell r="F197" t="str">
            <v>Femme</v>
          </cell>
        </row>
        <row r="198">
          <cell r="D198">
            <v>443498</v>
          </cell>
          <cell r="F198" t="str">
            <v>Femme</v>
          </cell>
        </row>
        <row r="199">
          <cell r="D199">
            <v>443497</v>
          </cell>
          <cell r="F199" t="str">
            <v>Homme</v>
          </cell>
        </row>
        <row r="200">
          <cell r="D200">
            <v>431075</v>
          </cell>
          <cell r="F200" t="str">
            <v>Homme</v>
          </cell>
        </row>
        <row r="201">
          <cell r="D201">
            <v>431072</v>
          </cell>
          <cell r="F201" t="str">
            <v>Homme</v>
          </cell>
        </row>
        <row r="202">
          <cell r="D202">
            <v>431090</v>
          </cell>
          <cell r="F202" t="str">
            <v>Homme</v>
          </cell>
        </row>
        <row r="203">
          <cell r="D203">
            <v>417064</v>
          </cell>
          <cell r="F203" t="str">
            <v>Homme</v>
          </cell>
        </row>
        <row r="204">
          <cell r="D204">
            <v>431067</v>
          </cell>
          <cell r="F204" t="str">
            <v>Homme</v>
          </cell>
        </row>
        <row r="205">
          <cell r="D205">
            <v>431105</v>
          </cell>
          <cell r="F205" t="str">
            <v>Homme</v>
          </cell>
        </row>
        <row r="206">
          <cell r="D206">
            <v>220892</v>
          </cell>
          <cell r="F206" t="str">
            <v>Homme</v>
          </cell>
        </row>
        <row r="207">
          <cell r="D207">
            <v>298421</v>
          </cell>
          <cell r="F207" t="str">
            <v>Femme</v>
          </cell>
        </row>
        <row r="208">
          <cell r="D208">
            <v>403329</v>
          </cell>
          <cell r="F208" t="str">
            <v>Homme</v>
          </cell>
        </row>
        <row r="209">
          <cell r="D209">
            <v>414833</v>
          </cell>
          <cell r="F209" t="str">
            <v>Homme</v>
          </cell>
        </row>
        <row r="210">
          <cell r="D210">
            <v>440641</v>
          </cell>
          <cell r="F210" t="str">
            <v>Homme</v>
          </cell>
        </row>
        <row r="211">
          <cell r="D211">
            <v>446249</v>
          </cell>
          <cell r="F211" t="str">
            <v>Homme</v>
          </cell>
        </row>
        <row r="212">
          <cell r="D212">
            <v>446250</v>
          </cell>
          <cell r="F212" t="str">
            <v>Homme</v>
          </cell>
        </row>
        <row r="213">
          <cell r="D213">
            <v>447077</v>
          </cell>
          <cell r="F213" t="str">
            <v>Homme</v>
          </cell>
        </row>
        <row r="214">
          <cell r="D214">
            <v>440646</v>
          </cell>
          <cell r="F214" t="str">
            <v>Homme</v>
          </cell>
        </row>
        <row r="215">
          <cell r="D215">
            <v>446006</v>
          </cell>
          <cell r="F215" t="str">
            <v>Homme</v>
          </cell>
        </row>
        <row r="216">
          <cell r="D216">
            <v>433680</v>
          </cell>
          <cell r="F216" t="str">
            <v>Femme</v>
          </cell>
        </row>
        <row r="217">
          <cell r="D217">
            <v>447098</v>
          </cell>
          <cell r="F217" t="str">
            <v>Homme</v>
          </cell>
        </row>
        <row r="218">
          <cell r="D218">
            <v>447063</v>
          </cell>
          <cell r="F218" t="str">
            <v>Femme</v>
          </cell>
        </row>
        <row r="219">
          <cell r="D219">
            <v>446254</v>
          </cell>
          <cell r="F219" t="str">
            <v>Homme</v>
          </cell>
        </row>
        <row r="220">
          <cell r="D220">
            <v>446257</v>
          </cell>
          <cell r="F220" t="str">
            <v>Homme</v>
          </cell>
        </row>
        <row r="221">
          <cell r="D221">
            <v>446346</v>
          </cell>
          <cell r="F221" t="str">
            <v>Homme</v>
          </cell>
        </row>
        <row r="222">
          <cell r="D222">
            <v>433651</v>
          </cell>
          <cell r="F222" t="str">
            <v>Femme</v>
          </cell>
        </row>
        <row r="223">
          <cell r="D223">
            <v>403331</v>
          </cell>
          <cell r="F223" t="str">
            <v>Femme</v>
          </cell>
        </row>
        <row r="224">
          <cell r="D224">
            <v>426022</v>
          </cell>
          <cell r="F224" t="str">
            <v>Homme</v>
          </cell>
        </row>
        <row r="225">
          <cell r="D225">
            <v>447064</v>
          </cell>
          <cell r="F225" t="str">
            <v>Femme</v>
          </cell>
        </row>
        <row r="226">
          <cell r="D226">
            <v>444461</v>
          </cell>
          <cell r="F226" t="str">
            <v>Homme</v>
          </cell>
        </row>
        <row r="227">
          <cell r="D227">
            <v>445950</v>
          </cell>
          <cell r="F227" t="str">
            <v>Homme</v>
          </cell>
        </row>
        <row r="228">
          <cell r="D228">
            <v>446412</v>
          </cell>
          <cell r="F228" t="str">
            <v>Femme</v>
          </cell>
        </row>
        <row r="229">
          <cell r="D229">
            <v>447066</v>
          </cell>
          <cell r="F229" t="str">
            <v>Femme</v>
          </cell>
        </row>
        <row r="230">
          <cell r="D230">
            <v>447078</v>
          </cell>
          <cell r="F230" t="str">
            <v>Homme</v>
          </cell>
        </row>
        <row r="231">
          <cell r="D231">
            <v>446258</v>
          </cell>
          <cell r="F231" t="str">
            <v>Homme</v>
          </cell>
        </row>
        <row r="232">
          <cell r="D232">
            <v>440660</v>
          </cell>
          <cell r="F232" t="str">
            <v>Homme</v>
          </cell>
        </row>
        <row r="233">
          <cell r="D233">
            <v>447148</v>
          </cell>
          <cell r="F233" t="str">
            <v>Homme</v>
          </cell>
        </row>
        <row r="234">
          <cell r="D234">
            <v>446259</v>
          </cell>
          <cell r="F234" t="str">
            <v>Homme</v>
          </cell>
        </row>
        <row r="235">
          <cell r="D235">
            <v>447147</v>
          </cell>
          <cell r="F235" t="str">
            <v>Homme</v>
          </cell>
        </row>
        <row r="236">
          <cell r="D236">
            <v>444466</v>
          </cell>
          <cell r="F236" t="str">
            <v>Homme</v>
          </cell>
        </row>
        <row r="237">
          <cell r="D237">
            <v>447080</v>
          </cell>
          <cell r="F237" t="str">
            <v>Homme</v>
          </cell>
        </row>
        <row r="238">
          <cell r="D238">
            <v>444464</v>
          </cell>
          <cell r="F238" t="str">
            <v>Homme</v>
          </cell>
        </row>
        <row r="239">
          <cell r="D239">
            <v>444482</v>
          </cell>
          <cell r="F239" t="str">
            <v>Femme</v>
          </cell>
        </row>
        <row r="240">
          <cell r="D240">
            <v>444469</v>
          </cell>
          <cell r="F240" t="str">
            <v>Homme</v>
          </cell>
        </row>
        <row r="241">
          <cell r="D241">
            <v>447068</v>
          </cell>
          <cell r="F241" t="str">
            <v>Femme</v>
          </cell>
        </row>
        <row r="242">
          <cell r="D242">
            <v>440673</v>
          </cell>
          <cell r="F242" t="str">
            <v>Homme</v>
          </cell>
        </row>
        <row r="243">
          <cell r="D243">
            <v>440674</v>
          </cell>
          <cell r="F243" t="str">
            <v>Homme</v>
          </cell>
        </row>
        <row r="244">
          <cell r="D244">
            <v>440675</v>
          </cell>
          <cell r="F244" t="str">
            <v>Femme</v>
          </cell>
        </row>
        <row r="245">
          <cell r="D245">
            <v>445951</v>
          </cell>
          <cell r="F245" t="str">
            <v>Homme</v>
          </cell>
        </row>
        <row r="246">
          <cell r="D246">
            <v>444463</v>
          </cell>
          <cell r="F246" t="str">
            <v>Homme</v>
          </cell>
        </row>
        <row r="247">
          <cell r="D247">
            <v>447069</v>
          </cell>
          <cell r="F247" t="str">
            <v>Homme</v>
          </cell>
        </row>
        <row r="248">
          <cell r="D248">
            <v>447070</v>
          </cell>
          <cell r="F248" t="str">
            <v>Femme</v>
          </cell>
        </row>
        <row r="249">
          <cell r="D249">
            <v>447149</v>
          </cell>
          <cell r="F249" t="str">
            <v>Homme</v>
          </cell>
        </row>
        <row r="250">
          <cell r="D250">
            <v>445952</v>
          </cell>
          <cell r="F250" t="str">
            <v>Homme</v>
          </cell>
        </row>
        <row r="251">
          <cell r="D251">
            <v>447071</v>
          </cell>
          <cell r="F251" t="str">
            <v>Homme</v>
          </cell>
        </row>
        <row r="252">
          <cell r="D252">
            <v>446260</v>
          </cell>
          <cell r="F252" t="str">
            <v>Homme</v>
          </cell>
        </row>
        <row r="253">
          <cell r="D253">
            <v>440223</v>
          </cell>
          <cell r="F253" t="str">
            <v>Homme</v>
          </cell>
        </row>
        <row r="254">
          <cell r="D254">
            <v>446413</v>
          </cell>
          <cell r="F254" t="str">
            <v>Femme</v>
          </cell>
        </row>
        <row r="255">
          <cell r="D255">
            <v>446261</v>
          </cell>
          <cell r="F255" t="str">
            <v>Homme</v>
          </cell>
        </row>
        <row r="256">
          <cell r="D256">
            <v>445953</v>
          </cell>
          <cell r="F256" t="str">
            <v>Femme</v>
          </cell>
        </row>
        <row r="257">
          <cell r="D257">
            <v>446329</v>
          </cell>
          <cell r="F257" t="str">
            <v>Femme</v>
          </cell>
        </row>
        <row r="258">
          <cell r="D258">
            <v>445657</v>
          </cell>
          <cell r="F258" t="str">
            <v>Homme</v>
          </cell>
        </row>
        <row r="259">
          <cell r="D259">
            <v>426808</v>
          </cell>
          <cell r="F259" t="str">
            <v>Homme</v>
          </cell>
        </row>
        <row r="260">
          <cell r="D260">
            <v>433650</v>
          </cell>
          <cell r="F260" t="str">
            <v>Homme</v>
          </cell>
        </row>
        <row r="261">
          <cell r="D261">
            <v>446414</v>
          </cell>
          <cell r="F261" t="str">
            <v>Femme</v>
          </cell>
        </row>
        <row r="262">
          <cell r="D262">
            <v>447072</v>
          </cell>
          <cell r="F262" t="str">
            <v>Femme</v>
          </cell>
        </row>
        <row r="263">
          <cell r="D263">
            <v>440839</v>
          </cell>
          <cell r="F263" t="str">
            <v>Homme</v>
          </cell>
        </row>
        <row r="264">
          <cell r="D264">
            <v>444480</v>
          </cell>
          <cell r="F264" t="str">
            <v>Femme</v>
          </cell>
        </row>
        <row r="265">
          <cell r="D265">
            <v>447073</v>
          </cell>
          <cell r="F265" t="str">
            <v>Femme</v>
          </cell>
        </row>
        <row r="266">
          <cell r="D266">
            <v>445954</v>
          </cell>
          <cell r="F266" t="str">
            <v>Homme</v>
          </cell>
        </row>
        <row r="267">
          <cell r="D267">
            <v>446415</v>
          </cell>
          <cell r="F267" t="str">
            <v>Femme</v>
          </cell>
        </row>
        <row r="268">
          <cell r="D268">
            <v>440848</v>
          </cell>
          <cell r="F268" t="str">
            <v>Homme</v>
          </cell>
        </row>
        <row r="269">
          <cell r="D269">
            <v>445955</v>
          </cell>
          <cell r="F269" t="str">
            <v>Homme</v>
          </cell>
        </row>
        <row r="270">
          <cell r="D270">
            <v>446416</v>
          </cell>
          <cell r="F270" t="str">
            <v>Homme</v>
          </cell>
        </row>
        <row r="271">
          <cell r="D271">
            <v>447074</v>
          </cell>
          <cell r="F271" t="str">
            <v>Homme</v>
          </cell>
        </row>
        <row r="272">
          <cell r="D272">
            <v>446417</v>
          </cell>
          <cell r="F272" t="str">
            <v>Femme</v>
          </cell>
        </row>
        <row r="273">
          <cell r="D273">
            <v>447075</v>
          </cell>
          <cell r="F273" t="str">
            <v>Femme</v>
          </cell>
        </row>
        <row r="274">
          <cell r="D274">
            <v>440851</v>
          </cell>
          <cell r="F274" t="str">
            <v>Femme</v>
          </cell>
        </row>
        <row r="275">
          <cell r="D275">
            <v>444484</v>
          </cell>
          <cell r="F275" t="str">
            <v>Homme</v>
          </cell>
        </row>
        <row r="276">
          <cell r="D276">
            <v>444472</v>
          </cell>
          <cell r="F276" t="str">
            <v>Homme</v>
          </cell>
        </row>
        <row r="277">
          <cell r="D277">
            <v>446419</v>
          </cell>
          <cell r="F277" t="str">
            <v>Homme</v>
          </cell>
        </row>
        <row r="278">
          <cell r="D278">
            <v>169056</v>
          </cell>
          <cell r="F278" t="str">
            <v>Homme</v>
          </cell>
        </row>
        <row r="279">
          <cell r="D279">
            <v>440853</v>
          </cell>
          <cell r="F279" t="str">
            <v>Homme</v>
          </cell>
        </row>
        <row r="280">
          <cell r="D280">
            <v>445656</v>
          </cell>
          <cell r="F280" t="str">
            <v>Homme</v>
          </cell>
        </row>
        <row r="281">
          <cell r="D281">
            <v>446442</v>
          </cell>
          <cell r="F281" t="str">
            <v>Homme</v>
          </cell>
        </row>
        <row r="282">
          <cell r="D282">
            <v>445655</v>
          </cell>
          <cell r="F282" t="str">
            <v>Femme</v>
          </cell>
        </row>
        <row r="283">
          <cell r="D283">
            <v>445956</v>
          </cell>
          <cell r="F283" t="str">
            <v>Homme</v>
          </cell>
        </row>
        <row r="284">
          <cell r="D284">
            <v>353300</v>
          </cell>
          <cell r="F284" t="str">
            <v>Homme</v>
          </cell>
        </row>
        <row r="285">
          <cell r="D285">
            <v>446450</v>
          </cell>
          <cell r="F285" t="str">
            <v>Femme</v>
          </cell>
        </row>
        <row r="286">
          <cell r="D286">
            <v>440228</v>
          </cell>
          <cell r="F286" t="str">
            <v>Femme</v>
          </cell>
        </row>
        <row r="287">
          <cell r="D287">
            <v>447079</v>
          </cell>
          <cell r="F287" t="str">
            <v>Homme</v>
          </cell>
        </row>
        <row r="288">
          <cell r="D288">
            <v>362003</v>
          </cell>
          <cell r="F288" t="str">
            <v>Homme</v>
          </cell>
        </row>
        <row r="289">
          <cell r="D289">
            <v>447076</v>
          </cell>
          <cell r="F289" t="str">
            <v>Homme</v>
          </cell>
        </row>
        <row r="290">
          <cell r="D290">
            <v>450001</v>
          </cell>
          <cell r="F290" t="str">
            <v>Homme</v>
          </cell>
        </row>
        <row r="291">
          <cell r="D291">
            <v>450002</v>
          </cell>
          <cell r="F291" t="str">
            <v>Femme</v>
          </cell>
        </row>
        <row r="292">
          <cell r="D292">
            <v>450004</v>
          </cell>
          <cell r="F292" t="str">
            <v>Homme</v>
          </cell>
        </row>
        <row r="293">
          <cell r="D293">
            <v>450241</v>
          </cell>
          <cell r="F293" t="str">
            <v>Femme</v>
          </cell>
        </row>
        <row r="294">
          <cell r="D294">
            <v>450005</v>
          </cell>
          <cell r="F294" t="str">
            <v>Homme</v>
          </cell>
        </row>
        <row r="295">
          <cell r="D295">
            <v>450006</v>
          </cell>
          <cell r="F295" t="str">
            <v>Homme</v>
          </cell>
        </row>
        <row r="296">
          <cell r="D296">
            <v>450010</v>
          </cell>
          <cell r="F296" t="str">
            <v>Femme</v>
          </cell>
        </row>
        <row r="297">
          <cell r="D297">
            <v>450015</v>
          </cell>
          <cell r="F297" t="str">
            <v>Homme</v>
          </cell>
        </row>
        <row r="298">
          <cell r="D298">
            <v>440645</v>
          </cell>
          <cell r="F298" t="str">
            <v>Homme</v>
          </cell>
        </row>
        <row r="299">
          <cell r="D299">
            <v>450017</v>
          </cell>
          <cell r="F299" t="str">
            <v>Homme</v>
          </cell>
        </row>
        <row r="300">
          <cell r="D300">
            <v>450019</v>
          </cell>
          <cell r="F300" t="str">
            <v>Homme</v>
          </cell>
        </row>
        <row r="301">
          <cell r="D301">
            <v>450021</v>
          </cell>
          <cell r="F301" t="str">
            <v>Homme</v>
          </cell>
        </row>
        <row r="302">
          <cell r="D302">
            <v>450047</v>
          </cell>
          <cell r="F302" t="str">
            <v>Homme</v>
          </cell>
        </row>
        <row r="303">
          <cell r="D303">
            <v>450049</v>
          </cell>
          <cell r="F303" t="str">
            <v>Homme</v>
          </cell>
        </row>
        <row r="304">
          <cell r="D304">
            <v>450051</v>
          </cell>
          <cell r="F304" t="str">
            <v>Homme</v>
          </cell>
        </row>
        <row r="305">
          <cell r="D305">
            <v>450054</v>
          </cell>
          <cell r="F305" t="str">
            <v>Homme</v>
          </cell>
        </row>
        <row r="306">
          <cell r="D306">
            <v>450057</v>
          </cell>
          <cell r="F306" t="str">
            <v>Femme</v>
          </cell>
        </row>
        <row r="307">
          <cell r="D307">
            <v>450059</v>
          </cell>
          <cell r="F307" t="str">
            <v>Femme</v>
          </cell>
        </row>
        <row r="308">
          <cell r="D308">
            <v>450061</v>
          </cell>
          <cell r="F308" t="str">
            <v>Homme</v>
          </cell>
        </row>
        <row r="309">
          <cell r="D309">
            <v>450063</v>
          </cell>
          <cell r="F309" t="str">
            <v>Homme</v>
          </cell>
        </row>
        <row r="310">
          <cell r="D310">
            <v>450064</v>
          </cell>
          <cell r="F310" t="str">
            <v>Homme</v>
          </cell>
        </row>
        <row r="311">
          <cell r="D311">
            <v>450065</v>
          </cell>
          <cell r="F311" t="str">
            <v>Femme</v>
          </cell>
        </row>
        <row r="312">
          <cell r="D312">
            <v>440652</v>
          </cell>
          <cell r="F312" t="str">
            <v>Homme</v>
          </cell>
        </row>
        <row r="313">
          <cell r="D313">
            <v>450066</v>
          </cell>
          <cell r="F313" t="str">
            <v>Femme</v>
          </cell>
        </row>
        <row r="314">
          <cell r="D314">
            <v>450067</v>
          </cell>
          <cell r="F314" t="str">
            <v>Homme</v>
          </cell>
        </row>
        <row r="315">
          <cell r="D315">
            <v>413779</v>
          </cell>
          <cell r="F315" t="str">
            <v>Femme</v>
          </cell>
        </row>
        <row r="316">
          <cell r="D316">
            <v>450068</v>
          </cell>
          <cell r="F316" t="str">
            <v>Femme</v>
          </cell>
        </row>
        <row r="317">
          <cell r="D317">
            <v>450069</v>
          </cell>
          <cell r="F317" t="str">
            <v>Homme</v>
          </cell>
        </row>
        <row r="318">
          <cell r="D318">
            <v>450102</v>
          </cell>
          <cell r="F318" t="str">
            <v>Homme</v>
          </cell>
        </row>
        <row r="319">
          <cell r="D319">
            <v>450104</v>
          </cell>
          <cell r="F319" t="str">
            <v>Homme</v>
          </cell>
        </row>
        <row r="320">
          <cell r="D320">
            <v>450106</v>
          </cell>
          <cell r="F320" t="str">
            <v>Homme</v>
          </cell>
        </row>
        <row r="321">
          <cell r="D321">
            <v>450107</v>
          </cell>
          <cell r="F321" t="str">
            <v>Homme</v>
          </cell>
        </row>
        <row r="322">
          <cell r="D322">
            <v>450109</v>
          </cell>
          <cell r="F322" t="str">
            <v>Femme</v>
          </cell>
        </row>
        <row r="323">
          <cell r="D323">
            <v>450111</v>
          </cell>
          <cell r="F323" t="str">
            <v>Homme</v>
          </cell>
        </row>
        <row r="324">
          <cell r="D324">
            <v>450112</v>
          </cell>
          <cell r="F324" t="str">
            <v>Homme</v>
          </cell>
        </row>
        <row r="325">
          <cell r="D325">
            <v>450127</v>
          </cell>
          <cell r="F325" t="str">
            <v>Homme</v>
          </cell>
        </row>
        <row r="326">
          <cell r="D326">
            <v>353299</v>
          </cell>
          <cell r="F326" t="str">
            <v>Homme</v>
          </cell>
        </row>
        <row r="327">
          <cell r="D327">
            <v>450128</v>
          </cell>
          <cell r="F327" t="str">
            <v>Homme</v>
          </cell>
        </row>
        <row r="328">
          <cell r="D328">
            <v>450129</v>
          </cell>
          <cell r="F328" t="str">
            <v>Homme</v>
          </cell>
        </row>
        <row r="329">
          <cell r="D329">
            <v>450130</v>
          </cell>
          <cell r="F329" t="str">
            <v>Homme</v>
          </cell>
        </row>
        <row r="330">
          <cell r="D330">
            <v>450131</v>
          </cell>
          <cell r="F330" t="str">
            <v>Homme</v>
          </cell>
        </row>
        <row r="331">
          <cell r="D331">
            <v>450207</v>
          </cell>
          <cell r="F331" t="str">
            <v>Homme</v>
          </cell>
        </row>
        <row r="332">
          <cell r="D332">
            <v>450208</v>
          </cell>
          <cell r="F332" t="str">
            <v>Homme</v>
          </cell>
        </row>
        <row r="333">
          <cell r="D333">
            <v>450209</v>
          </cell>
          <cell r="F333" t="str">
            <v>Homme</v>
          </cell>
        </row>
        <row r="334">
          <cell r="D334">
            <v>450211</v>
          </cell>
          <cell r="F334" t="str">
            <v>Homme</v>
          </cell>
        </row>
        <row r="335">
          <cell r="D335">
            <v>450212</v>
          </cell>
          <cell r="F335" t="str">
            <v>Homme</v>
          </cell>
        </row>
        <row r="336">
          <cell r="D336">
            <v>450213</v>
          </cell>
          <cell r="F336" t="str">
            <v>Homme</v>
          </cell>
        </row>
        <row r="337">
          <cell r="D337">
            <v>450214</v>
          </cell>
          <cell r="F337" t="str">
            <v>Femme</v>
          </cell>
        </row>
        <row r="338">
          <cell r="D338">
            <v>440679</v>
          </cell>
          <cell r="F338" t="str">
            <v>Homme</v>
          </cell>
        </row>
        <row r="339">
          <cell r="D339">
            <v>450215</v>
          </cell>
          <cell r="F339" t="str">
            <v>Homme</v>
          </cell>
        </row>
        <row r="340">
          <cell r="D340">
            <v>450216</v>
          </cell>
          <cell r="F340" t="str">
            <v>Homme</v>
          </cell>
        </row>
        <row r="341">
          <cell r="D341">
            <v>450217</v>
          </cell>
          <cell r="F341" t="str">
            <v>Homme</v>
          </cell>
        </row>
        <row r="342">
          <cell r="D342">
            <v>450218</v>
          </cell>
          <cell r="F342" t="str">
            <v>Homme</v>
          </cell>
        </row>
        <row r="343">
          <cell r="D343">
            <v>450219</v>
          </cell>
          <cell r="F343" t="str">
            <v>Homme</v>
          </cell>
        </row>
        <row r="344">
          <cell r="D344">
            <v>450220</v>
          </cell>
          <cell r="F344" t="str">
            <v>Homme</v>
          </cell>
        </row>
        <row r="345">
          <cell r="D345">
            <v>450221</v>
          </cell>
          <cell r="F345" t="str">
            <v>Homme</v>
          </cell>
        </row>
        <row r="346">
          <cell r="D346">
            <v>353298</v>
          </cell>
          <cell r="F346" t="str">
            <v>Homme</v>
          </cell>
        </row>
        <row r="347">
          <cell r="D347">
            <v>450222</v>
          </cell>
          <cell r="F347" t="str">
            <v>Homme</v>
          </cell>
        </row>
        <row r="348">
          <cell r="D348">
            <v>450223</v>
          </cell>
          <cell r="F348" t="str">
            <v>Homme</v>
          </cell>
        </row>
        <row r="349">
          <cell r="D349">
            <v>450224</v>
          </cell>
          <cell r="F349" t="str">
            <v>Femme</v>
          </cell>
        </row>
        <row r="350">
          <cell r="D350">
            <v>450225</v>
          </cell>
          <cell r="F350" t="str">
            <v>Homme</v>
          </cell>
        </row>
        <row r="351">
          <cell r="D351">
            <v>440843</v>
          </cell>
          <cell r="F351" t="str">
            <v>Homme</v>
          </cell>
        </row>
        <row r="352">
          <cell r="D352">
            <v>440225</v>
          </cell>
          <cell r="F352" t="str">
            <v>Homme</v>
          </cell>
        </row>
        <row r="353">
          <cell r="D353">
            <v>450232</v>
          </cell>
          <cell r="F353" t="str">
            <v>Homme</v>
          </cell>
        </row>
        <row r="354">
          <cell r="D354">
            <v>450233</v>
          </cell>
          <cell r="F354" t="str">
            <v>Femme</v>
          </cell>
        </row>
        <row r="355">
          <cell r="D355">
            <v>450234</v>
          </cell>
          <cell r="F355" t="str">
            <v>Femme</v>
          </cell>
        </row>
        <row r="356">
          <cell r="D356">
            <v>450235</v>
          </cell>
          <cell r="F356" t="str">
            <v>Homme</v>
          </cell>
        </row>
        <row r="357">
          <cell r="D357">
            <v>450236</v>
          </cell>
          <cell r="F357" t="str">
            <v>Femme</v>
          </cell>
        </row>
        <row r="358">
          <cell r="D358">
            <v>450237</v>
          </cell>
          <cell r="F358" t="str">
            <v>Homme</v>
          </cell>
        </row>
        <row r="359">
          <cell r="D359">
            <v>450238</v>
          </cell>
          <cell r="F359" t="str">
            <v>Homme</v>
          </cell>
        </row>
        <row r="360">
          <cell r="D360">
            <v>450240</v>
          </cell>
          <cell r="F360" t="str">
            <v>Homme</v>
          </cell>
        </row>
        <row r="361">
          <cell r="D361">
            <v>450239</v>
          </cell>
          <cell r="F361" t="str">
            <v>Homme</v>
          </cell>
        </row>
        <row r="362">
          <cell r="D362">
            <v>64208</v>
          </cell>
          <cell r="F362" t="str">
            <v>Femme</v>
          </cell>
        </row>
        <row r="363">
          <cell r="D363">
            <v>512</v>
          </cell>
          <cell r="F363" t="str">
            <v>Homme</v>
          </cell>
        </row>
        <row r="364">
          <cell r="D364">
            <v>443186</v>
          </cell>
          <cell r="F364" t="str">
            <v>Homme</v>
          </cell>
        </row>
        <row r="365">
          <cell r="D365">
            <v>443187</v>
          </cell>
          <cell r="F365" t="str">
            <v>Homme</v>
          </cell>
        </row>
        <row r="366">
          <cell r="D366">
            <v>227577</v>
          </cell>
          <cell r="F366" t="str">
            <v>Homme</v>
          </cell>
        </row>
        <row r="367">
          <cell r="D367">
            <v>384761</v>
          </cell>
          <cell r="F367" t="str">
            <v>Homme</v>
          </cell>
        </row>
        <row r="368">
          <cell r="D368">
            <v>445320</v>
          </cell>
          <cell r="F368" t="str">
            <v>Homme</v>
          </cell>
        </row>
        <row r="369">
          <cell r="D369">
            <v>186814</v>
          </cell>
          <cell r="F369" t="str">
            <v>Homme</v>
          </cell>
        </row>
        <row r="370">
          <cell r="D370">
            <v>431477</v>
          </cell>
          <cell r="F370" t="str">
            <v>Femme</v>
          </cell>
        </row>
        <row r="371">
          <cell r="D371">
            <v>443976</v>
          </cell>
          <cell r="F371" t="str">
            <v>Homme</v>
          </cell>
        </row>
        <row r="372">
          <cell r="D372">
            <v>445322</v>
          </cell>
          <cell r="F372" t="str">
            <v>Homme</v>
          </cell>
        </row>
        <row r="373">
          <cell r="D373">
            <v>311801</v>
          </cell>
          <cell r="F373" t="str">
            <v>Homme</v>
          </cell>
        </row>
        <row r="374">
          <cell r="D374">
            <v>436002</v>
          </cell>
          <cell r="F374" t="str">
            <v>Homme</v>
          </cell>
        </row>
        <row r="375">
          <cell r="D375">
            <v>402734</v>
          </cell>
          <cell r="F375" t="str">
            <v>Femme</v>
          </cell>
        </row>
        <row r="376">
          <cell r="D376">
            <v>378497</v>
          </cell>
          <cell r="F376" t="str">
            <v>Femme</v>
          </cell>
        </row>
        <row r="377">
          <cell r="D377">
            <v>434547</v>
          </cell>
          <cell r="F377" t="str">
            <v>Homme</v>
          </cell>
        </row>
        <row r="378">
          <cell r="D378">
            <v>425048</v>
          </cell>
          <cell r="F378" t="str">
            <v>Homme</v>
          </cell>
        </row>
        <row r="379">
          <cell r="D379">
            <v>445321</v>
          </cell>
          <cell r="F379" t="str">
            <v>Homme</v>
          </cell>
        </row>
        <row r="380">
          <cell r="D380">
            <v>405978</v>
          </cell>
          <cell r="F380" t="str">
            <v>Femme</v>
          </cell>
        </row>
        <row r="381">
          <cell r="D381">
            <v>438523</v>
          </cell>
          <cell r="F381" t="str">
            <v>Homme</v>
          </cell>
        </row>
        <row r="382">
          <cell r="D382">
            <v>153988</v>
          </cell>
          <cell r="F382" t="str">
            <v>Homme</v>
          </cell>
        </row>
        <row r="383">
          <cell r="D383">
            <v>413535</v>
          </cell>
          <cell r="F383" t="str">
            <v>Femme</v>
          </cell>
        </row>
        <row r="384">
          <cell r="D384">
            <v>248829</v>
          </cell>
          <cell r="F384" t="str">
            <v>Homme</v>
          </cell>
        </row>
        <row r="385">
          <cell r="D385">
            <v>515</v>
          </cell>
          <cell r="F385" t="str">
            <v>Homme</v>
          </cell>
        </row>
        <row r="386">
          <cell r="D386">
            <v>442481</v>
          </cell>
          <cell r="F386" t="str">
            <v>Homme</v>
          </cell>
        </row>
        <row r="387">
          <cell r="D387">
            <v>271079</v>
          </cell>
          <cell r="F387" t="str">
            <v>Homme</v>
          </cell>
        </row>
        <row r="388">
          <cell r="D388">
            <v>442482</v>
          </cell>
          <cell r="F388" t="str">
            <v>Homme</v>
          </cell>
        </row>
        <row r="389">
          <cell r="D389">
            <v>514</v>
          </cell>
          <cell r="F389" t="str">
            <v>Homme</v>
          </cell>
        </row>
        <row r="390">
          <cell r="D390">
            <v>166350</v>
          </cell>
          <cell r="F390" t="str">
            <v>Homme</v>
          </cell>
        </row>
        <row r="391">
          <cell r="D391">
            <v>143661</v>
          </cell>
          <cell r="F391" t="str">
            <v>Homme</v>
          </cell>
        </row>
        <row r="392">
          <cell r="D392">
            <v>450695</v>
          </cell>
          <cell r="F392" t="str">
            <v>Femme</v>
          </cell>
        </row>
        <row r="393">
          <cell r="D393">
            <v>166349</v>
          </cell>
          <cell r="F393" t="str">
            <v>Homme</v>
          </cell>
        </row>
        <row r="394">
          <cell r="D394">
            <v>143663</v>
          </cell>
          <cell r="F394" t="str">
            <v>Homme</v>
          </cell>
        </row>
        <row r="395">
          <cell r="D395">
            <v>443977</v>
          </cell>
          <cell r="F395" t="str">
            <v>Homme</v>
          </cell>
        </row>
        <row r="396">
          <cell r="D396">
            <v>446422</v>
          </cell>
          <cell r="F396" t="str">
            <v>Femme</v>
          </cell>
        </row>
        <row r="397">
          <cell r="D397">
            <v>447827</v>
          </cell>
          <cell r="F397" t="str">
            <v>Homme</v>
          </cell>
        </row>
        <row r="398">
          <cell r="D398">
            <v>447724</v>
          </cell>
          <cell r="F398" t="str">
            <v>Homme</v>
          </cell>
        </row>
        <row r="399">
          <cell r="D399">
            <v>447782</v>
          </cell>
          <cell r="F399" t="str">
            <v>Homme</v>
          </cell>
        </row>
        <row r="400">
          <cell r="D400">
            <v>448926</v>
          </cell>
          <cell r="F400" t="str">
            <v>Femme</v>
          </cell>
        </row>
        <row r="401">
          <cell r="D401">
            <v>446425</v>
          </cell>
          <cell r="F401" t="str">
            <v>Femme</v>
          </cell>
        </row>
        <row r="402">
          <cell r="D402">
            <v>428274</v>
          </cell>
          <cell r="F402" t="str">
            <v>Homme</v>
          </cell>
        </row>
        <row r="403">
          <cell r="D403">
            <v>447741</v>
          </cell>
          <cell r="F403" t="str">
            <v>Homme</v>
          </cell>
        </row>
        <row r="404">
          <cell r="D404">
            <v>447774</v>
          </cell>
          <cell r="F404" t="str">
            <v>Homme</v>
          </cell>
        </row>
        <row r="405">
          <cell r="D405">
            <v>447152</v>
          </cell>
          <cell r="F405" t="str">
            <v>Homme</v>
          </cell>
        </row>
        <row r="406">
          <cell r="D406">
            <v>352777</v>
          </cell>
          <cell r="F406" t="str">
            <v>Homme</v>
          </cell>
        </row>
        <row r="407">
          <cell r="D407">
            <v>447876</v>
          </cell>
          <cell r="F407" t="str">
            <v>Homme</v>
          </cell>
        </row>
        <row r="408">
          <cell r="D408">
            <v>404775</v>
          </cell>
          <cell r="F408" t="str">
            <v>Homme</v>
          </cell>
        </row>
        <row r="409">
          <cell r="D409">
            <v>446749</v>
          </cell>
          <cell r="F409" t="str">
            <v>Homme</v>
          </cell>
        </row>
        <row r="410">
          <cell r="D410">
            <v>446825</v>
          </cell>
          <cell r="F410" t="str">
            <v>Homme</v>
          </cell>
        </row>
        <row r="411">
          <cell r="D411">
            <v>425335</v>
          </cell>
          <cell r="F411" t="str">
            <v>Homme</v>
          </cell>
        </row>
        <row r="412">
          <cell r="D412">
            <v>403243</v>
          </cell>
          <cell r="F412" t="str">
            <v>Homme</v>
          </cell>
        </row>
        <row r="413">
          <cell r="D413">
            <v>211914</v>
          </cell>
          <cell r="F413" t="str">
            <v>Homme</v>
          </cell>
        </row>
        <row r="414">
          <cell r="D414">
            <v>438051</v>
          </cell>
          <cell r="F414" t="str">
            <v>Femme</v>
          </cell>
        </row>
        <row r="415">
          <cell r="D415">
            <v>225158</v>
          </cell>
          <cell r="F415" t="str">
            <v>Homme</v>
          </cell>
        </row>
        <row r="416">
          <cell r="D416">
            <v>428037</v>
          </cell>
          <cell r="F416" t="str">
            <v>Homme</v>
          </cell>
        </row>
        <row r="417">
          <cell r="D417">
            <v>359582</v>
          </cell>
          <cell r="F417" t="str">
            <v>Femme</v>
          </cell>
        </row>
        <row r="418">
          <cell r="D418">
            <v>444444</v>
          </cell>
          <cell r="F418" t="str">
            <v>Femme</v>
          </cell>
        </row>
        <row r="419">
          <cell r="D419">
            <v>441124</v>
          </cell>
          <cell r="F419" t="str">
            <v>Homme</v>
          </cell>
        </row>
        <row r="420">
          <cell r="D420">
            <v>446128</v>
          </cell>
          <cell r="F420" t="str">
            <v>Femme</v>
          </cell>
        </row>
        <row r="421">
          <cell r="D421">
            <v>409806</v>
          </cell>
          <cell r="F421" t="str">
            <v>Homme</v>
          </cell>
        </row>
        <row r="422">
          <cell r="D422">
            <v>438902</v>
          </cell>
          <cell r="F422" t="str">
            <v>Femme</v>
          </cell>
        </row>
        <row r="423">
          <cell r="D423">
            <v>424623</v>
          </cell>
          <cell r="F423" t="str">
            <v>Homme</v>
          </cell>
        </row>
        <row r="424">
          <cell r="D424">
            <v>402908</v>
          </cell>
          <cell r="F424" t="str">
            <v>Homme</v>
          </cell>
        </row>
        <row r="425">
          <cell r="D425">
            <v>342295</v>
          </cell>
          <cell r="F425" t="str">
            <v>Femme</v>
          </cell>
        </row>
        <row r="426">
          <cell r="D426">
            <v>400690</v>
          </cell>
          <cell r="F426" t="str">
            <v>Homme</v>
          </cell>
        </row>
        <row r="427">
          <cell r="D427">
            <v>446126</v>
          </cell>
          <cell r="F427" t="str">
            <v>Femme</v>
          </cell>
        </row>
        <row r="428">
          <cell r="D428">
            <v>428036</v>
          </cell>
          <cell r="F428" t="str">
            <v>Homme</v>
          </cell>
        </row>
        <row r="429">
          <cell r="D429">
            <v>430970</v>
          </cell>
          <cell r="F429" t="str">
            <v>Femme</v>
          </cell>
        </row>
        <row r="430">
          <cell r="D430">
            <v>446947</v>
          </cell>
          <cell r="F430" t="str">
            <v>Homme</v>
          </cell>
        </row>
        <row r="431">
          <cell r="D431">
            <v>446948</v>
          </cell>
          <cell r="F431" t="str">
            <v>Homme</v>
          </cell>
        </row>
        <row r="432">
          <cell r="D432">
            <v>404539</v>
          </cell>
          <cell r="F432" t="str">
            <v>Femme</v>
          </cell>
        </row>
        <row r="433">
          <cell r="D433">
            <v>441126</v>
          </cell>
          <cell r="F433" t="str">
            <v>Homme</v>
          </cell>
        </row>
        <row r="434">
          <cell r="D434">
            <v>60898</v>
          </cell>
          <cell r="F434" t="str">
            <v>Femme</v>
          </cell>
        </row>
        <row r="435">
          <cell r="D435">
            <v>445437</v>
          </cell>
          <cell r="F435" t="str">
            <v>Femme</v>
          </cell>
        </row>
        <row r="436">
          <cell r="D436">
            <v>448020</v>
          </cell>
          <cell r="F436" t="str">
            <v>Homme</v>
          </cell>
        </row>
        <row r="437">
          <cell r="D437">
            <v>448021</v>
          </cell>
          <cell r="F437" t="str">
            <v>Femme</v>
          </cell>
        </row>
        <row r="438">
          <cell r="D438">
            <v>124624</v>
          </cell>
          <cell r="F438" t="str">
            <v>Homme</v>
          </cell>
        </row>
        <row r="439">
          <cell r="D439">
            <v>445435</v>
          </cell>
          <cell r="F439" t="str">
            <v>Homme</v>
          </cell>
        </row>
        <row r="440">
          <cell r="D440">
            <v>445436</v>
          </cell>
          <cell r="F440" t="str">
            <v>Femme</v>
          </cell>
        </row>
        <row r="441">
          <cell r="D441">
            <v>441141</v>
          </cell>
          <cell r="F441" t="str">
            <v>Femme</v>
          </cell>
        </row>
        <row r="442">
          <cell r="D442">
            <v>441142</v>
          </cell>
          <cell r="F442" t="str">
            <v>Homme</v>
          </cell>
        </row>
        <row r="443">
          <cell r="D443">
            <v>445880</v>
          </cell>
          <cell r="F443" t="str">
            <v>Femme</v>
          </cell>
        </row>
        <row r="444">
          <cell r="D444">
            <v>379417</v>
          </cell>
          <cell r="F444" t="str">
            <v>Femme</v>
          </cell>
        </row>
        <row r="445">
          <cell r="D445">
            <v>441123</v>
          </cell>
          <cell r="F445" t="str">
            <v>Femme</v>
          </cell>
        </row>
        <row r="446">
          <cell r="D446">
            <v>377984</v>
          </cell>
          <cell r="F446" t="str">
            <v>Femme</v>
          </cell>
        </row>
        <row r="447">
          <cell r="D447">
            <v>441120</v>
          </cell>
          <cell r="F447" t="str">
            <v>Femme</v>
          </cell>
        </row>
        <row r="448">
          <cell r="D448">
            <v>448023</v>
          </cell>
          <cell r="F448" t="str">
            <v>Femme</v>
          </cell>
        </row>
        <row r="449">
          <cell r="D449">
            <v>448018</v>
          </cell>
          <cell r="F449" t="str">
            <v>Femme</v>
          </cell>
        </row>
        <row r="450">
          <cell r="D450">
            <v>441130</v>
          </cell>
          <cell r="F450" t="str">
            <v>Femme</v>
          </cell>
        </row>
        <row r="451">
          <cell r="D451">
            <v>417498</v>
          </cell>
          <cell r="F451" t="str">
            <v>Homme</v>
          </cell>
        </row>
        <row r="452">
          <cell r="D452">
            <v>445881</v>
          </cell>
          <cell r="F452" t="str">
            <v>Homme</v>
          </cell>
        </row>
        <row r="453">
          <cell r="D453">
            <v>448019</v>
          </cell>
          <cell r="F453" t="str">
            <v>Femme</v>
          </cell>
        </row>
        <row r="454">
          <cell r="D454">
            <v>441137</v>
          </cell>
          <cell r="F454" t="str">
            <v>Femme</v>
          </cell>
        </row>
        <row r="455">
          <cell r="D455">
            <v>11421</v>
          </cell>
          <cell r="F455" t="str">
            <v>Homme</v>
          </cell>
        </row>
        <row r="456">
          <cell r="D456">
            <v>448022</v>
          </cell>
          <cell r="F456" t="str">
            <v>Homme</v>
          </cell>
        </row>
        <row r="457">
          <cell r="D457">
            <v>377996</v>
          </cell>
          <cell r="F457" t="str">
            <v>Femme</v>
          </cell>
        </row>
        <row r="458">
          <cell r="D458">
            <v>448017</v>
          </cell>
          <cell r="F458" t="str">
            <v>Homme</v>
          </cell>
        </row>
        <row r="459">
          <cell r="D459">
            <v>377995</v>
          </cell>
          <cell r="F459" t="str">
            <v>Femme</v>
          </cell>
        </row>
        <row r="460">
          <cell r="D460">
            <v>224163</v>
          </cell>
          <cell r="F460" t="str">
            <v>Femme</v>
          </cell>
        </row>
        <row r="461">
          <cell r="D461">
            <v>441128</v>
          </cell>
          <cell r="F461" t="str">
            <v>Homme</v>
          </cell>
        </row>
        <row r="462">
          <cell r="D462">
            <v>441127</v>
          </cell>
          <cell r="F462" t="str">
            <v>Femme</v>
          </cell>
        </row>
        <row r="463">
          <cell r="D463">
            <v>445434</v>
          </cell>
          <cell r="F463" t="str">
            <v>Homme</v>
          </cell>
        </row>
        <row r="464">
          <cell r="D464">
            <v>430821</v>
          </cell>
          <cell r="F464" t="str">
            <v>Homme</v>
          </cell>
        </row>
        <row r="465">
          <cell r="D465">
            <v>392087</v>
          </cell>
          <cell r="F465" t="str">
            <v>Homme</v>
          </cell>
        </row>
        <row r="466">
          <cell r="D466">
            <v>356782</v>
          </cell>
          <cell r="F466" t="str">
            <v>Homme</v>
          </cell>
        </row>
        <row r="467">
          <cell r="D467">
            <v>430629</v>
          </cell>
          <cell r="F467" t="str">
            <v>Homme</v>
          </cell>
        </row>
        <row r="468">
          <cell r="D468">
            <v>368730</v>
          </cell>
          <cell r="F468" t="str">
            <v>Homme</v>
          </cell>
        </row>
        <row r="469">
          <cell r="D469">
            <v>447739</v>
          </cell>
          <cell r="F469" t="str">
            <v>Femme</v>
          </cell>
        </row>
        <row r="470">
          <cell r="D470">
            <v>300998</v>
          </cell>
          <cell r="F470" t="str">
            <v>Homme</v>
          </cell>
        </row>
        <row r="471">
          <cell r="D471">
            <v>435290</v>
          </cell>
          <cell r="F471" t="str">
            <v>Homme</v>
          </cell>
        </row>
        <row r="472">
          <cell r="D472">
            <v>227534</v>
          </cell>
          <cell r="F472" t="str">
            <v>Homme</v>
          </cell>
        </row>
        <row r="473">
          <cell r="D473">
            <v>437919</v>
          </cell>
          <cell r="F473" t="str">
            <v>Homme</v>
          </cell>
        </row>
        <row r="474">
          <cell r="D474">
            <v>195993</v>
          </cell>
          <cell r="F474" t="str">
            <v>Homme</v>
          </cell>
        </row>
        <row r="475">
          <cell r="D475">
            <v>88602</v>
          </cell>
          <cell r="F475" t="str">
            <v>Homme</v>
          </cell>
        </row>
        <row r="476">
          <cell r="D476">
            <v>445356</v>
          </cell>
          <cell r="F476" t="str">
            <v>Homme</v>
          </cell>
        </row>
        <row r="477">
          <cell r="D477">
            <v>144700</v>
          </cell>
          <cell r="F477" t="str">
            <v>Homme</v>
          </cell>
        </row>
        <row r="478">
          <cell r="D478">
            <v>320106</v>
          </cell>
          <cell r="F478" t="str">
            <v>Homme</v>
          </cell>
        </row>
        <row r="479">
          <cell r="D479">
            <v>438110</v>
          </cell>
          <cell r="F479" t="str">
            <v>Homme</v>
          </cell>
        </row>
        <row r="480">
          <cell r="D480">
            <v>326262</v>
          </cell>
          <cell r="F480" t="str">
            <v>Homme</v>
          </cell>
        </row>
        <row r="481">
          <cell r="D481">
            <v>253454</v>
          </cell>
          <cell r="F481" t="str">
            <v>Femme</v>
          </cell>
        </row>
        <row r="482">
          <cell r="D482">
            <v>253453</v>
          </cell>
          <cell r="F482" t="str">
            <v>Femme</v>
          </cell>
        </row>
        <row r="483">
          <cell r="D483">
            <v>226978</v>
          </cell>
          <cell r="F483" t="str">
            <v>Homme</v>
          </cell>
        </row>
        <row r="484">
          <cell r="D484">
            <v>93420</v>
          </cell>
          <cell r="F484" t="str">
            <v>Homme</v>
          </cell>
        </row>
        <row r="485">
          <cell r="D485">
            <v>449148</v>
          </cell>
          <cell r="F485" t="str">
            <v>Homme</v>
          </cell>
        </row>
        <row r="486">
          <cell r="D486">
            <v>402660</v>
          </cell>
          <cell r="F486" t="str">
            <v>Homme</v>
          </cell>
        </row>
        <row r="487">
          <cell r="D487">
            <v>378623</v>
          </cell>
          <cell r="F487" t="str">
            <v>Homme</v>
          </cell>
        </row>
        <row r="488">
          <cell r="D488">
            <v>157865</v>
          </cell>
          <cell r="F488" t="str">
            <v>Femme</v>
          </cell>
        </row>
        <row r="489">
          <cell r="D489">
            <v>200351</v>
          </cell>
          <cell r="F489" t="str">
            <v>Femme</v>
          </cell>
        </row>
        <row r="490">
          <cell r="D490">
            <v>451466</v>
          </cell>
          <cell r="F490" t="str">
            <v>Femme</v>
          </cell>
        </row>
        <row r="491">
          <cell r="D491">
            <v>428288</v>
          </cell>
          <cell r="F491" t="str">
            <v>Homme</v>
          </cell>
        </row>
        <row r="492">
          <cell r="D492">
            <v>451467</v>
          </cell>
          <cell r="F492" t="str">
            <v>Homme</v>
          </cell>
        </row>
        <row r="493">
          <cell r="D493">
            <v>342658</v>
          </cell>
          <cell r="F493" t="str">
            <v>Homme</v>
          </cell>
        </row>
        <row r="494">
          <cell r="D494">
            <v>443821</v>
          </cell>
          <cell r="F494" t="str">
            <v>Femme</v>
          </cell>
        </row>
        <row r="495">
          <cell r="D495">
            <v>183962</v>
          </cell>
          <cell r="F495" t="str">
            <v>Homme</v>
          </cell>
        </row>
        <row r="496">
          <cell r="D496">
            <v>200332</v>
          </cell>
          <cell r="F496" t="str">
            <v>Homme</v>
          </cell>
        </row>
        <row r="497">
          <cell r="D497">
            <v>442377</v>
          </cell>
          <cell r="F497" t="str">
            <v>Femme</v>
          </cell>
        </row>
        <row r="498">
          <cell r="D498">
            <v>178191</v>
          </cell>
          <cell r="F498" t="str">
            <v>Homme</v>
          </cell>
        </row>
        <row r="499">
          <cell r="D499">
            <v>439229</v>
          </cell>
          <cell r="F499" t="str">
            <v>Homme</v>
          </cell>
        </row>
        <row r="500">
          <cell r="D500">
            <v>443822</v>
          </cell>
          <cell r="F500" t="str">
            <v>Femme</v>
          </cell>
        </row>
        <row r="501">
          <cell r="D501">
            <v>414758</v>
          </cell>
          <cell r="F501" t="str">
            <v>Homme</v>
          </cell>
        </row>
        <row r="502">
          <cell r="D502">
            <v>322129</v>
          </cell>
          <cell r="F502" t="str">
            <v>Homme</v>
          </cell>
        </row>
        <row r="503">
          <cell r="D503">
            <v>451459</v>
          </cell>
          <cell r="F503" t="str">
            <v>Homme</v>
          </cell>
        </row>
        <row r="504">
          <cell r="D504">
            <v>450859</v>
          </cell>
          <cell r="F504" t="str">
            <v>Femme</v>
          </cell>
        </row>
        <row r="505">
          <cell r="D505">
            <v>443816</v>
          </cell>
          <cell r="F505" t="str">
            <v>Homme</v>
          </cell>
        </row>
        <row r="506">
          <cell r="D506">
            <v>244453</v>
          </cell>
          <cell r="F506" t="str">
            <v>Homme</v>
          </cell>
        </row>
        <row r="507">
          <cell r="D507">
            <v>430944</v>
          </cell>
          <cell r="F507" t="str">
            <v>Femme</v>
          </cell>
        </row>
        <row r="508">
          <cell r="D508">
            <v>200318</v>
          </cell>
          <cell r="F508" t="str">
            <v>Homme</v>
          </cell>
        </row>
        <row r="509">
          <cell r="D509">
            <v>448954</v>
          </cell>
          <cell r="F509" t="str">
            <v>Homme</v>
          </cell>
        </row>
        <row r="510">
          <cell r="D510">
            <v>413443</v>
          </cell>
          <cell r="F510" t="str">
            <v>Homme</v>
          </cell>
        </row>
        <row r="511">
          <cell r="D511">
            <v>450712</v>
          </cell>
          <cell r="F511" t="str">
            <v>Homme</v>
          </cell>
        </row>
        <row r="512">
          <cell r="D512">
            <v>360301</v>
          </cell>
          <cell r="F512" t="str">
            <v>Homme</v>
          </cell>
        </row>
        <row r="513">
          <cell r="D513">
            <v>450860</v>
          </cell>
          <cell r="F513" t="str">
            <v>Femme</v>
          </cell>
        </row>
        <row r="514">
          <cell r="D514">
            <v>450313</v>
          </cell>
          <cell r="F514" t="str">
            <v>Homme</v>
          </cell>
        </row>
        <row r="515">
          <cell r="D515">
            <v>424573</v>
          </cell>
          <cell r="F515" t="str">
            <v>Femme</v>
          </cell>
        </row>
        <row r="516">
          <cell r="D516">
            <v>428821</v>
          </cell>
          <cell r="F516" t="str">
            <v>Homme</v>
          </cell>
        </row>
        <row r="517">
          <cell r="D517">
            <v>442541</v>
          </cell>
          <cell r="F517" t="str">
            <v>Femme</v>
          </cell>
        </row>
        <row r="518">
          <cell r="D518">
            <v>446100</v>
          </cell>
          <cell r="F518" t="str">
            <v>Homme</v>
          </cell>
        </row>
        <row r="519">
          <cell r="D519">
            <v>244451</v>
          </cell>
          <cell r="F519" t="str">
            <v>Homme</v>
          </cell>
        </row>
        <row r="520">
          <cell r="D520">
            <v>448609</v>
          </cell>
          <cell r="F520" t="str">
            <v>Femme</v>
          </cell>
        </row>
        <row r="521">
          <cell r="D521">
            <v>409344</v>
          </cell>
          <cell r="F521" t="str">
            <v>Femme</v>
          </cell>
        </row>
        <row r="522">
          <cell r="D522">
            <v>434821</v>
          </cell>
          <cell r="F522" t="str">
            <v>Homme</v>
          </cell>
        </row>
        <row r="523">
          <cell r="D523">
            <v>450316</v>
          </cell>
          <cell r="F523" t="str">
            <v>Homme</v>
          </cell>
        </row>
        <row r="524">
          <cell r="D524">
            <v>386358</v>
          </cell>
          <cell r="F524" t="str">
            <v>Femme</v>
          </cell>
        </row>
        <row r="525">
          <cell r="D525">
            <v>447941</v>
          </cell>
          <cell r="F525" t="str">
            <v>Femme</v>
          </cell>
        </row>
        <row r="526">
          <cell r="D526">
            <v>446101</v>
          </cell>
          <cell r="F526" t="str">
            <v>Femme</v>
          </cell>
        </row>
        <row r="527">
          <cell r="D527">
            <v>448951</v>
          </cell>
          <cell r="F527" t="str">
            <v>Homme</v>
          </cell>
        </row>
        <row r="528">
          <cell r="D528">
            <v>448175</v>
          </cell>
          <cell r="F528" t="str">
            <v>Homme</v>
          </cell>
        </row>
        <row r="529">
          <cell r="D529">
            <v>430668</v>
          </cell>
          <cell r="F529" t="str">
            <v>Homme</v>
          </cell>
        </row>
        <row r="530">
          <cell r="D530">
            <v>430676</v>
          </cell>
          <cell r="F530" t="str">
            <v>Homme</v>
          </cell>
        </row>
        <row r="531">
          <cell r="D531">
            <v>99122</v>
          </cell>
          <cell r="F531" t="str">
            <v>Femme</v>
          </cell>
        </row>
        <row r="532">
          <cell r="D532">
            <v>448580</v>
          </cell>
          <cell r="F532" t="str">
            <v>Femme</v>
          </cell>
        </row>
        <row r="533">
          <cell r="D533">
            <v>447921</v>
          </cell>
          <cell r="F533" t="str">
            <v>Femme</v>
          </cell>
        </row>
        <row r="534">
          <cell r="D534">
            <v>445461</v>
          </cell>
          <cell r="F534" t="str">
            <v>Femme</v>
          </cell>
        </row>
        <row r="535">
          <cell r="D535">
            <v>450844</v>
          </cell>
          <cell r="F535" t="str">
            <v>Homme</v>
          </cell>
        </row>
        <row r="536">
          <cell r="D536">
            <v>431023</v>
          </cell>
          <cell r="F536" t="str">
            <v>Homme</v>
          </cell>
        </row>
        <row r="537">
          <cell r="D537">
            <v>409326</v>
          </cell>
          <cell r="F537" t="str">
            <v>Homme</v>
          </cell>
        </row>
        <row r="538">
          <cell r="D538">
            <v>448183</v>
          </cell>
          <cell r="F538" t="str">
            <v>Femme</v>
          </cell>
        </row>
        <row r="539">
          <cell r="D539">
            <v>450505</v>
          </cell>
          <cell r="F539" t="str">
            <v>Homme</v>
          </cell>
        </row>
        <row r="540">
          <cell r="D540">
            <v>443098</v>
          </cell>
          <cell r="F540" t="str">
            <v>Homme</v>
          </cell>
        </row>
        <row r="541">
          <cell r="D541">
            <v>445456</v>
          </cell>
          <cell r="F541" t="str">
            <v>Femme</v>
          </cell>
        </row>
        <row r="542">
          <cell r="D542">
            <v>385934</v>
          </cell>
          <cell r="F542" t="str">
            <v>Homme</v>
          </cell>
        </row>
        <row r="543">
          <cell r="D543">
            <v>444401</v>
          </cell>
          <cell r="F543" t="str">
            <v>Homme</v>
          </cell>
        </row>
        <row r="544">
          <cell r="D544">
            <v>385935</v>
          </cell>
          <cell r="F544" t="str">
            <v>Homme</v>
          </cell>
        </row>
        <row r="545">
          <cell r="D545">
            <v>448945</v>
          </cell>
          <cell r="F545" t="str">
            <v>Homme</v>
          </cell>
        </row>
        <row r="546">
          <cell r="D546">
            <v>448177</v>
          </cell>
          <cell r="F546" t="str">
            <v>Femme</v>
          </cell>
        </row>
        <row r="547">
          <cell r="D547">
            <v>271219</v>
          </cell>
          <cell r="F547" t="str">
            <v>Homme</v>
          </cell>
        </row>
        <row r="548">
          <cell r="D548">
            <v>409338</v>
          </cell>
          <cell r="F548" t="str">
            <v>Femme</v>
          </cell>
        </row>
        <row r="549">
          <cell r="D549">
            <v>385941</v>
          </cell>
          <cell r="F549" t="str">
            <v>Homme</v>
          </cell>
        </row>
        <row r="550">
          <cell r="D550">
            <v>66247</v>
          </cell>
          <cell r="F550" t="str">
            <v>Homme</v>
          </cell>
        </row>
        <row r="551">
          <cell r="D551">
            <v>426955</v>
          </cell>
          <cell r="F551" t="str">
            <v>Homme</v>
          </cell>
        </row>
        <row r="552">
          <cell r="D552">
            <v>450501</v>
          </cell>
          <cell r="F552" t="str">
            <v>Femme</v>
          </cell>
        </row>
        <row r="553">
          <cell r="D553">
            <v>446106</v>
          </cell>
          <cell r="F553" t="str">
            <v>Homme</v>
          </cell>
        </row>
        <row r="554">
          <cell r="D554">
            <v>450857</v>
          </cell>
          <cell r="F554" t="str">
            <v>Femme</v>
          </cell>
        </row>
        <row r="555">
          <cell r="D555">
            <v>178128</v>
          </cell>
          <cell r="F555" t="str">
            <v>Homme</v>
          </cell>
        </row>
        <row r="556">
          <cell r="D556">
            <v>417686</v>
          </cell>
          <cell r="F556" t="str">
            <v>Femme</v>
          </cell>
        </row>
        <row r="557">
          <cell r="D557">
            <v>155975</v>
          </cell>
          <cell r="F557" t="str">
            <v>Homme</v>
          </cell>
        </row>
        <row r="558">
          <cell r="D558">
            <v>446105</v>
          </cell>
          <cell r="F558" t="str">
            <v>Femme</v>
          </cell>
        </row>
        <row r="559">
          <cell r="D559">
            <v>450856</v>
          </cell>
          <cell r="F559" t="str">
            <v>Femme</v>
          </cell>
        </row>
        <row r="560">
          <cell r="D560">
            <v>445462</v>
          </cell>
          <cell r="F560" t="str">
            <v>Femme</v>
          </cell>
        </row>
        <row r="561">
          <cell r="D561">
            <v>346310</v>
          </cell>
          <cell r="F561" t="str">
            <v>Femme</v>
          </cell>
        </row>
        <row r="562">
          <cell r="D562">
            <v>450315</v>
          </cell>
          <cell r="F562" t="str">
            <v>Homme</v>
          </cell>
        </row>
        <row r="563">
          <cell r="D563">
            <v>238994</v>
          </cell>
          <cell r="F563" t="str">
            <v>Homme</v>
          </cell>
        </row>
        <row r="564">
          <cell r="D564">
            <v>448610</v>
          </cell>
          <cell r="F564" t="str">
            <v>Homme</v>
          </cell>
        </row>
        <row r="565">
          <cell r="D565">
            <v>441978</v>
          </cell>
          <cell r="F565" t="str">
            <v>Femme</v>
          </cell>
        </row>
        <row r="566">
          <cell r="D566">
            <v>444402</v>
          </cell>
          <cell r="F566" t="str">
            <v>Homme</v>
          </cell>
        </row>
        <row r="567">
          <cell r="D567">
            <v>359193</v>
          </cell>
          <cell r="F567" t="str">
            <v>Femme</v>
          </cell>
        </row>
        <row r="568">
          <cell r="D568">
            <v>449320</v>
          </cell>
          <cell r="F568" t="str">
            <v>Femme</v>
          </cell>
        </row>
        <row r="569">
          <cell r="D569">
            <v>443820</v>
          </cell>
          <cell r="F569" t="str">
            <v>Femme</v>
          </cell>
        </row>
        <row r="570">
          <cell r="D570">
            <v>386422</v>
          </cell>
          <cell r="F570" t="str">
            <v>Femme</v>
          </cell>
        </row>
        <row r="571">
          <cell r="D571">
            <v>444605</v>
          </cell>
          <cell r="F571" t="str">
            <v>Homme</v>
          </cell>
        </row>
        <row r="572">
          <cell r="D572">
            <v>6925</v>
          </cell>
          <cell r="F572" t="str">
            <v>Homme</v>
          </cell>
        </row>
        <row r="573">
          <cell r="D573">
            <v>442918</v>
          </cell>
          <cell r="F573" t="str">
            <v>Homme</v>
          </cell>
        </row>
        <row r="574">
          <cell r="D574">
            <v>442920</v>
          </cell>
          <cell r="F574" t="str">
            <v>Homme</v>
          </cell>
        </row>
        <row r="575">
          <cell r="D575">
            <v>433134</v>
          </cell>
          <cell r="F575" t="str">
            <v>Femme</v>
          </cell>
        </row>
        <row r="576">
          <cell r="D576">
            <v>41028</v>
          </cell>
          <cell r="F576" t="str">
            <v>Femme</v>
          </cell>
        </row>
        <row r="577">
          <cell r="D577">
            <v>444609</v>
          </cell>
          <cell r="F577" t="str">
            <v>Femme</v>
          </cell>
        </row>
        <row r="578">
          <cell r="D578">
            <v>450504</v>
          </cell>
          <cell r="F578" t="str">
            <v>Femme</v>
          </cell>
        </row>
        <row r="579">
          <cell r="D579">
            <v>289644</v>
          </cell>
          <cell r="F579" t="str">
            <v>Homme</v>
          </cell>
        </row>
        <row r="580">
          <cell r="D580">
            <v>373421</v>
          </cell>
          <cell r="F580" t="str">
            <v>Femme</v>
          </cell>
        </row>
        <row r="581">
          <cell r="D581">
            <v>445806</v>
          </cell>
          <cell r="F581" t="str">
            <v>Femme</v>
          </cell>
        </row>
        <row r="582">
          <cell r="D582">
            <v>450297</v>
          </cell>
          <cell r="F582" t="str">
            <v>Homme</v>
          </cell>
        </row>
        <row r="583">
          <cell r="D583">
            <v>236484</v>
          </cell>
          <cell r="F583" t="str">
            <v>Homme</v>
          </cell>
        </row>
        <row r="584">
          <cell r="D584">
            <v>445451</v>
          </cell>
          <cell r="F584" t="str">
            <v>Homme</v>
          </cell>
        </row>
        <row r="585">
          <cell r="D585">
            <v>447935</v>
          </cell>
          <cell r="F585" t="str">
            <v>Femme</v>
          </cell>
        </row>
        <row r="586">
          <cell r="D586">
            <v>430695</v>
          </cell>
          <cell r="F586" t="str">
            <v>Femme</v>
          </cell>
        </row>
        <row r="587">
          <cell r="D587">
            <v>417703</v>
          </cell>
          <cell r="F587" t="str">
            <v>Homme</v>
          </cell>
        </row>
        <row r="588">
          <cell r="D588">
            <v>448592</v>
          </cell>
          <cell r="F588" t="str">
            <v>Femme</v>
          </cell>
        </row>
        <row r="589">
          <cell r="D589">
            <v>439219</v>
          </cell>
          <cell r="F589" t="str">
            <v>Homme</v>
          </cell>
        </row>
        <row r="590">
          <cell r="D590">
            <v>386424</v>
          </cell>
          <cell r="F590" t="str">
            <v>Homme</v>
          </cell>
        </row>
        <row r="591">
          <cell r="D591">
            <v>426369</v>
          </cell>
          <cell r="F591" t="str">
            <v>Femme</v>
          </cell>
        </row>
        <row r="592">
          <cell r="D592">
            <v>448949</v>
          </cell>
          <cell r="F592" t="str">
            <v>Femme</v>
          </cell>
        </row>
        <row r="593">
          <cell r="D593">
            <v>450840</v>
          </cell>
          <cell r="F593" t="str">
            <v>Femme</v>
          </cell>
        </row>
        <row r="594">
          <cell r="D594">
            <v>449325</v>
          </cell>
          <cell r="F594" t="str">
            <v>Femme</v>
          </cell>
        </row>
        <row r="595">
          <cell r="D595">
            <v>448932</v>
          </cell>
          <cell r="F595" t="str">
            <v>Homme</v>
          </cell>
        </row>
        <row r="596">
          <cell r="D596">
            <v>128766</v>
          </cell>
          <cell r="F596" t="str">
            <v>Homme</v>
          </cell>
        </row>
        <row r="597">
          <cell r="D597">
            <v>450997</v>
          </cell>
          <cell r="F597" t="str">
            <v>Homme</v>
          </cell>
        </row>
        <row r="598">
          <cell r="D598">
            <v>385949</v>
          </cell>
          <cell r="F598" t="str">
            <v>Homme</v>
          </cell>
        </row>
        <row r="599">
          <cell r="D599">
            <v>369089</v>
          </cell>
          <cell r="F599" t="str">
            <v>Homme</v>
          </cell>
        </row>
        <row r="600">
          <cell r="D600">
            <v>448606</v>
          </cell>
          <cell r="F600" t="str">
            <v>Femme</v>
          </cell>
        </row>
        <row r="601">
          <cell r="D601">
            <v>430697</v>
          </cell>
          <cell r="F601" t="str">
            <v>Homme</v>
          </cell>
        </row>
        <row r="602">
          <cell r="D602">
            <v>447919</v>
          </cell>
          <cell r="F602" t="str">
            <v>Homme</v>
          </cell>
        </row>
        <row r="603">
          <cell r="D603">
            <v>450515</v>
          </cell>
          <cell r="F603" t="str">
            <v>Homme</v>
          </cell>
        </row>
        <row r="604">
          <cell r="D604">
            <v>442376</v>
          </cell>
          <cell r="F604" t="str">
            <v>Homme</v>
          </cell>
        </row>
        <row r="605">
          <cell r="D605">
            <v>447933</v>
          </cell>
          <cell r="F605" t="str">
            <v>Homme</v>
          </cell>
        </row>
        <row r="606">
          <cell r="D606">
            <v>447934</v>
          </cell>
          <cell r="F606" t="str">
            <v>Homme</v>
          </cell>
        </row>
        <row r="607">
          <cell r="D607">
            <v>450318</v>
          </cell>
          <cell r="F607" t="str">
            <v>Femme</v>
          </cell>
        </row>
        <row r="608">
          <cell r="D608">
            <v>450841</v>
          </cell>
          <cell r="F608" t="str">
            <v>Femme</v>
          </cell>
        </row>
        <row r="609">
          <cell r="D609">
            <v>200314</v>
          </cell>
          <cell r="F609" t="str">
            <v>Femme</v>
          </cell>
        </row>
        <row r="610">
          <cell r="D610">
            <v>448179</v>
          </cell>
          <cell r="F610" t="str">
            <v>Femme</v>
          </cell>
        </row>
        <row r="611">
          <cell r="D611">
            <v>443819</v>
          </cell>
          <cell r="F611" t="str">
            <v>Femme</v>
          </cell>
        </row>
        <row r="612">
          <cell r="D612">
            <v>448934</v>
          </cell>
          <cell r="F612" t="str">
            <v>Femme</v>
          </cell>
        </row>
        <row r="613">
          <cell r="D613">
            <v>428879</v>
          </cell>
          <cell r="F613" t="str">
            <v>Femme</v>
          </cell>
        </row>
        <row r="614">
          <cell r="D614">
            <v>378620</v>
          </cell>
          <cell r="F614" t="str">
            <v>Homme</v>
          </cell>
        </row>
        <row r="615">
          <cell r="D615">
            <v>385954</v>
          </cell>
          <cell r="F615" t="str">
            <v>Femme</v>
          </cell>
        </row>
        <row r="616">
          <cell r="D616">
            <v>403915</v>
          </cell>
          <cell r="F616" t="str">
            <v>Femme</v>
          </cell>
        </row>
        <row r="617">
          <cell r="D617">
            <v>428159</v>
          </cell>
          <cell r="F617" t="str">
            <v>Homme</v>
          </cell>
        </row>
        <row r="618">
          <cell r="D618">
            <v>242950</v>
          </cell>
          <cell r="F618" t="str">
            <v>Homme</v>
          </cell>
        </row>
        <row r="619">
          <cell r="D619">
            <v>239000</v>
          </cell>
          <cell r="F619" t="str">
            <v>Homme</v>
          </cell>
        </row>
        <row r="620">
          <cell r="D620">
            <v>449326</v>
          </cell>
          <cell r="F620" t="str">
            <v>Homme</v>
          </cell>
        </row>
        <row r="621">
          <cell r="D621">
            <v>448940</v>
          </cell>
          <cell r="F621" t="str">
            <v>Femme</v>
          </cell>
        </row>
        <row r="622">
          <cell r="D622">
            <v>445454</v>
          </cell>
          <cell r="F622" t="str">
            <v>Femme</v>
          </cell>
        </row>
        <row r="623">
          <cell r="D623">
            <v>386375</v>
          </cell>
          <cell r="F623" t="str">
            <v>Femme</v>
          </cell>
        </row>
        <row r="624">
          <cell r="D624">
            <v>445453</v>
          </cell>
          <cell r="F624" t="str">
            <v>Homme</v>
          </cell>
        </row>
        <row r="625">
          <cell r="D625">
            <v>433141</v>
          </cell>
          <cell r="F625" t="str">
            <v>Femme</v>
          </cell>
        </row>
        <row r="626">
          <cell r="D626">
            <v>448190</v>
          </cell>
          <cell r="F626" t="str">
            <v>Femme</v>
          </cell>
        </row>
        <row r="627">
          <cell r="D627">
            <v>398536</v>
          </cell>
          <cell r="F627" t="str">
            <v>Homme</v>
          </cell>
        </row>
        <row r="628">
          <cell r="D628">
            <v>450514</v>
          </cell>
          <cell r="F628" t="str">
            <v>Homme</v>
          </cell>
        </row>
        <row r="629">
          <cell r="D629">
            <v>443812</v>
          </cell>
          <cell r="F629" t="str">
            <v>Femme</v>
          </cell>
        </row>
        <row r="630">
          <cell r="D630">
            <v>443810</v>
          </cell>
          <cell r="F630" t="str">
            <v>Homme</v>
          </cell>
        </row>
        <row r="631">
          <cell r="D631">
            <v>448943</v>
          </cell>
          <cell r="F631" t="str">
            <v>Homme</v>
          </cell>
        </row>
        <row r="632">
          <cell r="D632">
            <v>433135</v>
          </cell>
          <cell r="F632" t="str">
            <v>Femme</v>
          </cell>
        </row>
        <row r="633">
          <cell r="D633">
            <v>443554</v>
          </cell>
          <cell r="F633" t="str">
            <v>Homme</v>
          </cell>
        </row>
        <row r="634">
          <cell r="D634">
            <v>157841</v>
          </cell>
          <cell r="F634" t="str">
            <v>Homme</v>
          </cell>
        </row>
        <row r="635">
          <cell r="D635">
            <v>296547</v>
          </cell>
          <cell r="F635" t="str">
            <v>Femme</v>
          </cell>
        </row>
        <row r="636">
          <cell r="D636">
            <v>200385</v>
          </cell>
          <cell r="F636" t="str">
            <v>Homme</v>
          </cell>
        </row>
        <row r="637">
          <cell r="D637">
            <v>357643</v>
          </cell>
          <cell r="F637" t="str">
            <v>Homme</v>
          </cell>
        </row>
        <row r="638">
          <cell r="D638">
            <v>436984</v>
          </cell>
          <cell r="F638" t="str">
            <v>Homme</v>
          </cell>
        </row>
        <row r="639">
          <cell r="D639">
            <v>347892</v>
          </cell>
          <cell r="F639" t="str">
            <v>Homme</v>
          </cell>
        </row>
        <row r="640">
          <cell r="D640">
            <v>448596</v>
          </cell>
          <cell r="F640" t="str">
            <v>Homme</v>
          </cell>
        </row>
        <row r="641">
          <cell r="D641">
            <v>447918</v>
          </cell>
          <cell r="F641" t="str">
            <v>Femme</v>
          </cell>
        </row>
        <row r="642">
          <cell r="D642">
            <v>412975</v>
          </cell>
          <cell r="F642" t="str">
            <v>Homme</v>
          </cell>
        </row>
        <row r="643">
          <cell r="D643">
            <v>449319</v>
          </cell>
          <cell r="F643" t="str">
            <v>Homme</v>
          </cell>
        </row>
        <row r="644">
          <cell r="D644">
            <v>437310</v>
          </cell>
          <cell r="F644" t="str">
            <v>Homme</v>
          </cell>
        </row>
        <row r="645">
          <cell r="D645">
            <v>252648</v>
          </cell>
          <cell r="F645" t="str">
            <v>Homme</v>
          </cell>
        </row>
        <row r="646">
          <cell r="D646">
            <v>436457</v>
          </cell>
          <cell r="F646" t="str">
            <v>Femme</v>
          </cell>
        </row>
        <row r="647">
          <cell r="D647">
            <v>428184</v>
          </cell>
          <cell r="F647" t="str">
            <v>Homme</v>
          </cell>
        </row>
        <row r="648">
          <cell r="D648">
            <v>448191</v>
          </cell>
          <cell r="F648" t="str">
            <v>Homme</v>
          </cell>
        </row>
        <row r="649">
          <cell r="D649">
            <v>367967</v>
          </cell>
          <cell r="F649" t="str">
            <v>Homme</v>
          </cell>
        </row>
        <row r="650">
          <cell r="D650">
            <v>437311</v>
          </cell>
          <cell r="F650" t="str">
            <v>Homme</v>
          </cell>
        </row>
        <row r="651">
          <cell r="D651">
            <v>308064</v>
          </cell>
          <cell r="F651" t="str">
            <v>Homme</v>
          </cell>
        </row>
        <row r="652">
          <cell r="D652">
            <v>412003</v>
          </cell>
          <cell r="F652" t="str">
            <v>Homme</v>
          </cell>
        </row>
        <row r="653">
          <cell r="D653">
            <v>200400</v>
          </cell>
          <cell r="F653" t="str">
            <v>Femme</v>
          </cell>
        </row>
        <row r="654">
          <cell r="D654">
            <v>430995</v>
          </cell>
          <cell r="F654" t="str">
            <v>Homme</v>
          </cell>
        </row>
        <row r="655">
          <cell r="D655">
            <v>448944</v>
          </cell>
          <cell r="F655" t="str">
            <v>Homme</v>
          </cell>
        </row>
        <row r="656">
          <cell r="D656">
            <v>450310</v>
          </cell>
          <cell r="F656" t="str">
            <v>Femme</v>
          </cell>
        </row>
        <row r="657">
          <cell r="D657">
            <v>451463</v>
          </cell>
          <cell r="F657" t="str">
            <v>Homme</v>
          </cell>
        </row>
        <row r="658">
          <cell r="D658">
            <v>443097</v>
          </cell>
          <cell r="F658" t="str">
            <v>Femme</v>
          </cell>
        </row>
        <row r="659">
          <cell r="D659">
            <v>244454</v>
          </cell>
          <cell r="F659" t="str">
            <v>Homme</v>
          </cell>
        </row>
        <row r="660">
          <cell r="D660">
            <v>447939</v>
          </cell>
          <cell r="F660" t="str">
            <v>Homme</v>
          </cell>
        </row>
        <row r="661">
          <cell r="D661">
            <v>425728</v>
          </cell>
          <cell r="F661" t="str">
            <v>Femme</v>
          </cell>
        </row>
        <row r="662">
          <cell r="D662">
            <v>448950</v>
          </cell>
          <cell r="F662" t="str">
            <v>Homme</v>
          </cell>
        </row>
        <row r="663">
          <cell r="D663">
            <v>450319</v>
          </cell>
          <cell r="F663" t="str">
            <v>Femme</v>
          </cell>
        </row>
        <row r="664">
          <cell r="D664">
            <v>447922</v>
          </cell>
          <cell r="F664" t="str">
            <v>Femme</v>
          </cell>
        </row>
        <row r="665">
          <cell r="D665">
            <v>99148</v>
          </cell>
          <cell r="F665" t="str">
            <v>Homme</v>
          </cell>
        </row>
        <row r="666">
          <cell r="D666">
            <v>103259</v>
          </cell>
          <cell r="F666" t="str">
            <v>Femme</v>
          </cell>
        </row>
        <row r="667">
          <cell r="D667">
            <v>440544</v>
          </cell>
          <cell r="F667" t="str">
            <v>Homme</v>
          </cell>
        </row>
        <row r="668">
          <cell r="D668">
            <v>443826</v>
          </cell>
          <cell r="F668" t="str">
            <v>Femme</v>
          </cell>
        </row>
        <row r="669">
          <cell r="D669">
            <v>446099</v>
          </cell>
          <cell r="F669" t="str">
            <v>Femme</v>
          </cell>
        </row>
        <row r="670">
          <cell r="D670">
            <v>144304</v>
          </cell>
          <cell r="F670" t="str">
            <v>Homme</v>
          </cell>
        </row>
        <row r="671">
          <cell r="D671">
            <v>386435</v>
          </cell>
          <cell r="F671" t="str">
            <v>Femme</v>
          </cell>
        </row>
        <row r="672">
          <cell r="D672">
            <v>312150</v>
          </cell>
          <cell r="F672" t="str">
            <v>Homme</v>
          </cell>
        </row>
        <row r="673">
          <cell r="D673">
            <v>442368</v>
          </cell>
          <cell r="F673" t="str">
            <v>Homme</v>
          </cell>
        </row>
        <row r="674">
          <cell r="D674">
            <v>270028</v>
          </cell>
          <cell r="F674" t="str">
            <v>Homme</v>
          </cell>
        </row>
        <row r="675">
          <cell r="D675">
            <v>128763</v>
          </cell>
          <cell r="F675" t="str">
            <v>Femme</v>
          </cell>
        </row>
        <row r="676">
          <cell r="D676">
            <v>248868</v>
          </cell>
          <cell r="F676" t="str">
            <v>Homme</v>
          </cell>
        </row>
        <row r="677">
          <cell r="D677">
            <v>444397</v>
          </cell>
          <cell r="F677" t="str">
            <v>Femme</v>
          </cell>
        </row>
        <row r="678">
          <cell r="D678">
            <v>449324</v>
          </cell>
          <cell r="F678" t="str">
            <v>Homme</v>
          </cell>
        </row>
        <row r="679">
          <cell r="D679">
            <v>422998</v>
          </cell>
          <cell r="F679" t="str">
            <v>Homme</v>
          </cell>
        </row>
        <row r="680">
          <cell r="D680">
            <v>449323</v>
          </cell>
          <cell r="F680" t="str">
            <v>Homme</v>
          </cell>
        </row>
        <row r="681">
          <cell r="D681">
            <v>439222</v>
          </cell>
          <cell r="F681" t="str">
            <v>Femme</v>
          </cell>
        </row>
        <row r="682">
          <cell r="D682">
            <v>444611</v>
          </cell>
          <cell r="F682" t="str">
            <v>Femme</v>
          </cell>
        </row>
        <row r="683">
          <cell r="D683">
            <v>448188</v>
          </cell>
          <cell r="F683" t="str">
            <v>Femme</v>
          </cell>
        </row>
        <row r="684">
          <cell r="D684">
            <v>443823</v>
          </cell>
          <cell r="F684" t="str">
            <v>Femme</v>
          </cell>
        </row>
        <row r="685">
          <cell r="D685">
            <v>435427</v>
          </cell>
          <cell r="F685" t="str">
            <v>Homme</v>
          </cell>
        </row>
        <row r="686">
          <cell r="D686">
            <v>414727</v>
          </cell>
          <cell r="F686" t="str">
            <v>Homme</v>
          </cell>
        </row>
        <row r="687">
          <cell r="D687">
            <v>386042</v>
          </cell>
          <cell r="F687" t="str">
            <v>Femme</v>
          </cell>
        </row>
        <row r="688">
          <cell r="D688">
            <v>178160</v>
          </cell>
          <cell r="F688" t="str">
            <v>Homme</v>
          </cell>
        </row>
        <row r="689">
          <cell r="D689">
            <v>451469</v>
          </cell>
          <cell r="F689" t="str">
            <v>Homme</v>
          </cell>
        </row>
        <row r="690">
          <cell r="D690">
            <v>450312</v>
          </cell>
          <cell r="F690" t="str">
            <v>Homme</v>
          </cell>
        </row>
        <row r="691">
          <cell r="D691">
            <v>448604</v>
          </cell>
          <cell r="F691" t="str">
            <v>Homme</v>
          </cell>
        </row>
        <row r="692">
          <cell r="D692">
            <v>451454</v>
          </cell>
          <cell r="F692" t="str">
            <v>Femme</v>
          </cell>
        </row>
        <row r="693">
          <cell r="D693">
            <v>426387</v>
          </cell>
          <cell r="F693" t="str">
            <v>Homme</v>
          </cell>
        </row>
        <row r="694">
          <cell r="D694">
            <v>448933</v>
          </cell>
          <cell r="F694" t="str">
            <v>Femme</v>
          </cell>
        </row>
        <row r="695">
          <cell r="D695">
            <v>378625</v>
          </cell>
          <cell r="F695" t="str">
            <v>Femme</v>
          </cell>
        </row>
        <row r="696">
          <cell r="D696">
            <v>231778</v>
          </cell>
          <cell r="F696" t="str">
            <v>Femme</v>
          </cell>
        </row>
        <row r="697">
          <cell r="D697">
            <v>398566</v>
          </cell>
          <cell r="F697" t="str">
            <v>Homme</v>
          </cell>
        </row>
        <row r="698">
          <cell r="D698">
            <v>178297</v>
          </cell>
          <cell r="F698" t="str">
            <v>Homme</v>
          </cell>
        </row>
        <row r="699">
          <cell r="D699">
            <v>441150</v>
          </cell>
          <cell r="F699" t="str">
            <v>Homme</v>
          </cell>
        </row>
        <row r="700">
          <cell r="D700">
            <v>426102</v>
          </cell>
          <cell r="F700" t="str">
            <v>Femme</v>
          </cell>
        </row>
        <row r="701">
          <cell r="D701">
            <v>244935</v>
          </cell>
          <cell r="F701" t="str">
            <v>Homme</v>
          </cell>
        </row>
        <row r="702">
          <cell r="D702">
            <v>430715</v>
          </cell>
          <cell r="F702" t="str">
            <v>Homme</v>
          </cell>
        </row>
        <row r="703">
          <cell r="D703">
            <v>441067</v>
          </cell>
          <cell r="F703" t="str">
            <v>Homme</v>
          </cell>
        </row>
        <row r="704">
          <cell r="D704">
            <v>441066</v>
          </cell>
          <cell r="F704" t="str">
            <v>Homme</v>
          </cell>
        </row>
        <row r="705">
          <cell r="D705">
            <v>386049</v>
          </cell>
          <cell r="F705" t="str">
            <v>Homme</v>
          </cell>
        </row>
        <row r="706">
          <cell r="D706">
            <v>444606</v>
          </cell>
          <cell r="F706" t="str">
            <v>Femme</v>
          </cell>
        </row>
        <row r="707">
          <cell r="D707">
            <v>345129</v>
          </cell>
          <cell r="F707" t="str">
            <v>Femme</v>
          </cell>
        </row>
        <row r="708">
          <cell r="D708">
            <v>434815</v>
          </cell>
          <cell r="F708" t="str">
            <v>Homme</v>
          </cell>
        </row>
        <row r="709">
          <cell r="D709">
            <v>417640</v>
          </cell>
          <cell r="F709" t="str">
            <v>Homme</v>
          </cell>
        </row>
        <row r="710">
          <cell r="D710">
            <v>450714</v>
          </cell>
          <cell r="F710" t="str">
            <v>Femme</v>
          </cell>
        </row>
        <row r="711">
          <cell r="D711">
            <v>441988</v>
          </cell>
          <cell r="F711" t="str">
            <v>Femme</v>
          </cell>
        </row>
        <row r="712">
          <cell r="D712">
            <v>448948</v>
          </cell>
          <cell r="F712" t="str">
            <v>Femme</v>
          </cell>
        </row>
        <row r="713">
          <cell r="D713">
            <v>442379</v>
          </cell>
          <cell r="F713" t="str">
            <v>Homme</v>
          </cell>
        </row>
        <row r="714">
          <cell r="D714">
            <v>339848</v>
          </cell>
          <cell r="F714" t="str">
            <v>Homme</v>
          </cell>
        </row>
        <row r="715">
          <cell r="D715">
            <v>311440</v>
          </cell>
          <cell r="F715" t="str">
            <v>Femme</v>
          </cell>
        </row>
        <row r="716">
          <cell r="D716">
            <v>386089</v>
          </cell>
          <cell r="F716" t="str">
            <v>Homme</v>
          </cell>
        </row>
        <row r="717">
          <cell r="D717">
            <v>450995</v>
          </cell>
          <cell r="F717" t="str">
            <v>Homme</v>
          </cell>
        </row>
        <row r="718">
          <cell r="D718">
            <v>450996</v>
          </cell>
          <cell r="F718" t="str">
            <v>Homme</v>
          </cell>
        </row>
        <row r="719">
          <cell r="D719">
            <v>440548</v>
          </cell>
          <cell r="F719" t="str">
            <v>Homme</v>
          </cell>
        </row>
        <row r="720">
          <cell r="D720">
            <v>440161</v>
          </cell>
          <cell r="F720" t="str">
            <v>Femme</v>
          </cell>
        </row>
        <row r="721">
          <cell r="D721">
            <v>439216</v>
          </cell>
          <cell r="F721" t="str">
            <v>Femme</v>
          </cell>
        </row>
        <row r="722">
          <cell r="D722">
            <v>265108</v>
          </cell>
          <cell r="F722" t="str">
            <v>Homme</v>
          </cell>
        </row>
        <row r="723">
          <cell r="D723">
            <v>423508</v>
          </cell>
          <cell r="F723" t="str">
            <v>Homme</v>
          </cell>
        </row>
        <row r="724">
          <cell r="D724">
            <v>417721</v>
          </cell>
          <cell r="F724" t="str">
            <v>Homme</v>
          </cell>
        </row>
        <row r="725">
          <cell r="D725">
            <v>216866</v>
          </cell>
          <cell r="F725" t="str">
            <v>Homme</v>
          </cell>
        </row>
        <row r="726">
          <cell r="D726">
            <v>411999</v>
          </cell>
          <cell r="F726" t="str">
            <v>Homme</v>
          </cell>
        </row>
        <row r="727">
          <cell r="D727">
            <v>448594</v>
          </cell>
          <cell r="F727" t="str">
            <v>Femme</v>
          </cell>
        </row>
        <row r="728">
          <cell r="D728">
            <v>448608</v>
          </cell>
          <cell r="F728" t="str">
            <v>Homme</v>
          </cell>
        </row>
        <row r="729">
          <cell r="D729">
            <v>238966</v>
          </cell>
          <cell r="F729" t="str">
            <v>Homme</v>
          </cell>
        </row>
        <row r="730">
          <cell r="D730">
            <v>417708</v>
          </cell>
          <cell r="F730" t="str">
            <v>Homme</v>
          </cell>
        </row>
        <row r="731">
          <cell r="D731">
            <v>183985</v>
          </cell>
          <cell r="F731" t="str">
            <v>Homme</v>
          </cell>
        </row>
        <row r="732">
          <cell r="D732">
            <v>439217</v>
          </cell>
          <cell r="F732" t="str">
            <v>Femme</v>
          </cell>
        </row>
        <row r="733">
          <cell r="D733">
            <v>440547</v>
          </cell>
          <cell r="F733" t="str">
            <v>Homme</v>
          </cell>
        </row>
        <row r="734">
          <cell r="D734">
            <v>410451</v>
          </cell>
          <cell r="F734" t="str">
            <v>Femme</v>
          </cell>
        </row>
        <row r="735">
          <cell r="D735">
            <v>430723</v>
          </cell>
          <cell r="F735" t="str">
            <v>Homme</v>
          </cell>
        </row>
        <row r="736">
          <cell r="D736">
            <v>414731</v>
          </cell>
          <cell r="F736" t="str">
            <v>Femme</v>
          </cell>
        </row>
        <row r="737">
          <cell r="D737">
            <v>448181</v>
          </cell>
          <cell r="F737" t="str">
            <v>Femme</v>
          </cell>
        </row>
        <row r="738">
          <cell r="D738">
            <v>409327</v>
          </cell>
          <cell r="F738" t="str">
            <v>Homme</v>
          </cell>
        </row>
        <row r="739">
          <cell r="D739">
            <v>447943</v>
          </cell>
          <cell r="F739" t="str">
            <v>Femme</v>
          </cell>
        </row>
        <row r="740">
          <cell r="D740">
            <v>450842</v>
          </cell>
          <cell r="F740" t="str">
            <v>Femme</v>
          </cell>
        </row>
        <row r="741">
          <cell r="D741">
            <v>448189</v>
          </cell>
          <cell r="F741" t="str">
            <v>Homme</v>
          </cell>
        </row>
        <row r="742">
          <cell r="D742">
            <v>443547</v>
          </cell>
          <cell r="F742" t="str">
            <v>Femme</v>
          </cell>
        </row>
        <row r="743">
          <cell r="D743">
            <v>414736</v>
          </cell>
          <cell r="F743" t="str">
            <v>Femme</v>
          </cell>
        </row>
        <row r="744">
          <cell r="D744">
            <v>216856</v>
          </cell>
          <cell r="F744" t="str">
            <v>Femme</v>
          </cell>
        </row>
        <row r="745">
          <cell r="D745">
            <v>430724</v>
          </cell>
          <cell r="F745" t="str">
            <v>Femme</v>
          </cell>
        </row>
        <row r="746">
          <cell r="D746">
            <v>448587</v>
          </cell>
          <cell r="F746" t="str">
            <v>Homme</v>
          </cell>
        </row>
        <row r="747">
          <cell r="D747">
            <v>430738</v>
          </cell>
          <cell r="F747" t="str">
            <v>Homme</v>
          </cell>
        </row>
        <row r="748">
          <cell r="D748">
            <v>442916</v>
          </cell>
          <cell r="F748" t="str">
            <v>Homme</v>
          </cell>
        </row>
        <row r="749">
          <cell r="D749">
            <v>444403</v>
          </cell>
          <cell r="F749" t="str">
            <v>Femme</v>
          </cell>
        </row>
        <row r="750">
          <cell r="D750">
            <v>451457</v>
          </cell>
          <cell r="F750" t="str">
            <v>Femme</v>
          </cell>
        </row>
        <row r="751">
          <cell r="D751">
            <v>445449</v>
          </cell>
          <cell r="F751" t="str">
            <v>Femme</v>
          </cell>
        </row>
        <row r="752">
          <cell r="D752">
            <v>357657</v>
          </cell>
          <cell r="F752" t="str">
            <v>Femme</v>
          </cell>
        </row>
        <row r="753">
          <cell r="D753">
            <v>443814</v>
          </cell>
          <cell r="F753" t="str">
            <v>Homme</v>
          </cell>
        </row>
        <row r="754">
          <cell r="D754">
            <v>409151</v>
          </cell>
          <cell r="F754" t="str">
            <v>Homme</v>
          </cell>
        </row>
        <row r="755">
          <cell r="D755">
            <v>409285</v>
          </cell>
          <cell r="F755" t="str">
            <v>Femme</v>
          </cell>
        </row>
        <row r="756">
          <cell r="D756">
            <v>178258</v>
          </cell>
          <cell r="F756" t="str">
            <v>Homme</v>
          </cell>
        </row>
        <row r="757">
          <cell r="D757">
            <v>427466</v>
          </cell>
          <cell r="F757" t="str">
            <v>Femme</v>
          </cell>
        </row>
        <row r="758">
          <cell r="D758">
            <v>448184</v>
          </cell>
          <cell r="F758" t="str">
            <v>Femme</v>
          </cell>
        </row>
        <row r="759">
          <cell r="D759">
            <v>419436</v>
          </cell>
          <cell r="F759" t="str">
            <v>Femme</v>
          </cell>
        </row>
        <row r="760">
          <cell r="D760">
            <v>448937</v>
          </cell>
          <cell r="F760" t="str">
            <v>Homme</v>
          </cell>
        </row>
        <row r="761">
          <cell r="D761">
            <v>445459</v>
          </cell>
          <cell r="F761" t="str">
            <v>Femme</v>
          </cell>
        </row>
        <row r="762">
          <cell r="D762">
            <v>448935</v>
          </cell>
          <cell r="F762" t="str">
            <v>Homme</v>
          </cell>
        </row>
        <row r="763">
          <cell r="D763">
            <v>442540</v>
          </cell>
          <cell r="F763" t="str">
            <v>Homme</v>
          </cell>
        </row>
        <row r="764">
          <cell r="D764">
            <v>441989</v>
          </cell>
          <cell r="F764" t="str">
            <v>Homme</v>
          </cell>
        </row>
        <row r="765">
          <cell r="D765">
            <v>441983</v>
          </cell>
          <cell r="F765" t="str">
            <v>Homme</v>
          </cell>
        </row>
        <row r="766">
          <cell r="D766">
            <v>426871</v>
          </cell>
          <cell r="F766" t="str">
            <v>Homme</v>
          </cell>
        </row>
        <row r="767">
          <cell r="D767">
            <v>231789</v>
          </cell>
          <cell r="F767" t="str">
            <v>Femme</v>
          </cell>
        </row>
        <row r="768">
          <cell r="D768">
            <v>391666</v>
          </cell>
          <cell r="F768" t="str">
            <v>Homme</v>
          </cell>
        </row>
        <row r="769">
          <cell r="D769">
            <v>448581</v>
          </cell>
          <cell r="F769" t="str">
            <v>Homme</v>
          </cell>
        </row>
        <row r="770">
          <cell r="D770">
            <v>261416</v>
          </cell>
          <cell r="F770" t="str">
            <v>Femme</v>
          </cell>
        </row>
        <row r="771">
          <cell r="D771">
            <v>340892</v>
          </cell>
          <cell r="F771" t="str">
            <v>Homme</v>
          </cell>
        </row>
        <row r="772">
          <cell r="D772">
            <v>256993</v>
          </cell>
          <cell r="F772" t="str">
            <v>Femme</v>
          </cell>
        </row>
        <row r="773">
          <cell r="D773">
            <v>287003</v>
          </cell>
          <cell r="F773" t="str">
            <v>Homme</v>
          </cell>
        </row>
        <row r="774">
          <cell r="D774">
            <v>449317</v>
          </cell>
          <cell r="F774" t="str">
            <v>Femme</v>
          </cell>
        </row>
        <row r="775">
          <cell r="D775">
            <v>450314</v>
          </cell>
          <cell r="F775" t="str">
            <v>Homme</v>
          </cell>
        </row>
        <row r="776">
          <cell r="D776">
            <v>413704</v>
          </cell>
          <cell r="F776" t="str">
            <v>Femme</v>
          </cell>
        </row>
        <row r="777">
          <cell r="D777">
            <v>448946</v>
          </cell>
          <cell r="F777" t="str">
            <v>Femme</v>
          </cell>
        </row>
        <row r="778">
          <cell r="D778">
            <v>433139</v>
          </cell>
          <cell r="F778" t="str">
            <v>Femme</v>
          </cell>
        </row>
        <row r="779">
          <cell r="D779">
            <v>440266</v>
          </cell>
          <cell r="F779" t="str">
            <v>Femme</v>
          </cell>
        </row>
        <row r="780">
          <cell r="D780">
            <v>413442</v>
          </cell>
          <cell r="F780" t="str">
            <v>Homme</v>
          </cell>
        </row>
        <row r="781">
          <cell r="D781">
            <v>446102</v>
          </cell>
          <cell r="F781" t="str">
            <v>Homme</v>
          </cell>
        </row>
        <row r="782">
          <cell r="D782">
            <v>443099</v>
          </cell>
          <cell r="F782" t="str">
            <v>Homme</v>
          </cell>
        </row>
        <row r="783">
          <cell r="D783">
            <v>193886</v>
          </cell>
          <cell r="F783" t="str">
            <v>Homme</v>
          </cell>
        </row>
        <row r="784">
          <cell r="D784">
            <v>437047</v>
          </cell>
          <cell r="F784" t="str">
            <v>Homme</v>
          </cell>
        </row>
        <row r="785">
          <cell r="D785">
            <v>426763</v>
          </cell>
          <cell r="F785" t="str">
            <v>Homme</v>
          </cell>
        </row>
        <row r="786">
          <cell r="D786">
            <v>183705</v>
          </cell>
          <cell r="F786" t="str">
            <v>Femme</v>
          </cell>
        </row>
        <row r="787">
          <cell r="D787">
            <v>183668</v>
          </cell>
          <cell r="F787" t="str">
            <v>Homme</v>
          </cell>
        </row>
        <row r="788">
          <cell r="D788">
            <v>257034</v>
          </cell>
          <cell r="F788" t="str">
            <v>Femme</v>
          </cell>
        </row>
        <row r="789">
          <cell r="D789">
            <v>320105</v>
          </cell>
          <cell r="F789" t="str">
            <v>Femme</v>
          </cell>
        </row>
        <row r="790">
          <cell r="D790">
            <v>451458</v>
          </cell>
          <cell r="F790" t="str">
            <v>Femme</v>
          </cell>
        </row>
        <row r="791">
          <cell r="D791">
            <v>444607</v>
          </cell>
          <cell r="F791" t="str">
            <v>Femme</v>
          </cell>
        </row>
        <row r="792">
          <cell r="D792">
            <v>271224</v>
          </cell>
          <cell r="F792" t="str">
            <v>Homme</v>
          </cell>
        </row>
        <row r="793">
          <cell r="D793">
            <v>445452</v>
          </cell>
          <cell r="F793" t="str">
            <v>Homme</v>
          </cell>
        </row>
        <row r="794">
          <cell r="D794">
            <v>451468</v>
          </cell>
          <cell r="F794" t="str">
            <v>Homme</v>
          </cell>
        </row>
        <row r="795">
          <cell r="D795">
            <v>386403</v>
          </cell>
          <cell r="F795" t="str">
            <v>Femme</v>
          </cell>
        </row>
        <row r="796">
          <cell r="D796">
            <v>442537</v>
          </cell>
          <cell r="F796" t="str">
            <v>Homme</v>
          </cell>
        </row>
        <row r="797">
          <cell r="D797">
            <v>439214</v>
          </cell>
          <cell r="F797" t="str">
            <v>Femme</v>
          </cell>
        </row>
        <row r="798">
          <cell r="D798">
            <v>144283</v>
          </cell>
          <cell r="F798" t="str">
            <v>Femme</v>
          </cell>
        </row>
        <row r="799">
          <cell r="D799">
            <v>448582</v>
          </cell>
          <cell r="F799" t="str">
            <v>Femme</v>
          </cell>
        </row>
        <row r="800">
          <cell r="D800">
            <v>441166</v>
          </cell>
          <cell r="F800" t="str">
            <v>Homme</v>
          </cell>
        </row>
        <row r="801">
          <cell r="D801">
            <v>448942</v>
          </cell>
          <cell r="F801" t="str">
            <v>Femme</v>
          </cell>
        </row>
        <row r="802">
          <cell r="D802">
            <v>443552</v>
          </cell>
          <cell r="F802" t="str">
            <v>Homme</v>
          </cell>
        </row>
        <row r="803">
          <cell r="D803">
            <v>449321</v>
          </cell>
          <cell r="F803" t="str">
            <v>Homme</v>
          </cell>
        </row>
        <row r="804">
          <cell r="D804">
            <v>449322</v>
          </cell>
          <cell r="F804" t="str">
            <v>Homme</v>
          </cell>
        </row>
        <row r="805">
          <cell r="D805">
            <v>441068</v>
          </cell>
          <cell r="F805" t="str">
            <v>Homme</v>
          </cell>
        </row>
        <row r="806">
          <cell r="D806">
            <v>447937</v>
          </cell>
          <cell r="F806" t="str">
            <v>Homme</v>
          </cell>
        </row>
        <row r="807">
          <cell r="D807">
            <v>447938</v>
          </cell>
          <cell r="F807" t="str">
            <v>Homme</v>
          </cell>
        </row>
        <row r="808">
          <cell r="D808">
            <v>287683</v>
          </cell>
          <cell r="F808" t="str">
            <v>Homme</v>
          </cell>
        </row>
        <row r="809">
          <cell r="D809">
            <v>445457</v>
          </cell>
          <cell r="F809" t="str">
            <v>Femme</v>
          </cell>
        </row>
        <row r="810">
          <cell r="D810">
            <v>445460</v>
          </cell>
          <cell r="F810" t="str">
            <v>Homme</v>
          </cell>
        </row>
        <row r="811">
          <cell r="D811">
            <v>450858</v>
          </cell>
          <cell r="F811" t="str">
            <v>Homme</v>
          </cell>
        </row>
        <row r="812">
          <cell r="D812">
            <v>398569</v>
          </cell>
          <cell r="F812" t="str">
            <v>Homme</v>
          </cell>
        </row>
        <row r="813">
          <cell r="D813">
            <v>440269</v>
          </cell>
          <cell r="F813" t="str">
            <v>Homme</v>
          </cell>
        </row>
        <row r="814">
          <cell r="D814">
            <v>271212</v>
          </cell>
          <cell r="F814" t="str">
            <v>Homme</v>
          </cell>
        </row>
        <row r="815">
          <cell r="D815">
            <v>448598</v>
          </cell>
          <cell r="F815" t="str">
            <v>Homme</v>
          </cell>
        </row>
        <row r="816">
          <cell r="D816">
            <v>244456</v>
          </cell>
          <cell r="F816" t="str">
            <v>Homme</v>
          </cell>
        </row>
        <row r="817">
          <cell r="D817">
            <v>244457</v>
          </cell>
          <cell r="F817" t="str">
            <v>Femme</v>
          </cell>
        </row>
        <row r="818">
          <cell r="D818">
            <v>448953</v>
          </cell>
          <cell r="F818" t="str">
            <v>Femme</v>
          </cell>
        </row>
        <row r="819">
          <cell r="D819">
            <v>440511</v>
          </cell>
          <cell r="F819" t="str">
            <v>Homme</v>
          </cell>
        </row>
        <row r="820">
          <cell r="D820">
            <v>426639</v>
          </cell>
          <cell r="F820" t="str">
            <v>Homme</v>
          </cell>
        </row>
        <row r="821">
          <cell r="D821">
            <v>345148</v>
          </cell>
          <cell r="F821" t="str">
            <v>Femme</v>
          </cell>
        </row>
        <row r="822">
          <cell r="D822">
            <v>444399</v>
          </cell>
          <cell r="F822" t="str">
            <v>Homme</v>
          </cell>
        </row>
        <row r="823">
          <cell r="D823">
            <v>443824</v>
          </cell>
          <cell r="F823" t="str">
            <v>Homme</v>
          </cell>
        </row>
        <row r="824">
          <cell r="D824">
            <v>6908</v>
          </cell>
          <cell r="F824" t="str">
            <v>Femme</v>
          </cell>
        </row>
        <row r="825">
          <cell r="D825">
            <v>450506</v>
          </cell>
          <cell r="F825" t="str">
            <v>Femme</v>
          </cell>
        </row>
        <row r="826">
          <cell r="D826">
            <v>178161</v>
          </cell>
          <cell r="F826" t="str">
            <v>Homme</v>
          </cell>
        </row>
        <row r="827">
          <cell r="D827">
            <v>442366</v>
          </cell>
          <cell r="F827" t="str">
            <v>Homme</v>
          </cell>
        </row>
        <row r="828">
          <cell r="D828">
            <v>445996</v>
          </cell>
          <cell r="F828" t="str">
            <v>Femme</v>
          </cell>
        </row>
        <row r="829">
          <cell r="D829">
            <v>445997</v>
          </cell>
          <cell r="F829" t="str">
            <v>Homme</v>
          </cell>
        </row>
        <row r="830">
          <cell r="D830">
            <v>441984</v>
          </cell>
          <cell r="F830" t="str">
            <v>Homme</v>
          </cell>
        </row>
        <row r="831">
          <cell r="D831">
            <v>445458</v>
          </cell>
          <cell r="F831" t="str">
            <v>Femme</v>
          </cell>
        </row>
        <row r="832">
          <cell r="D832">
            <v>450311</v>
          </cell>
          <cell r="F832" t="str">
            <v>Femme</v>
          </cell>
        </row>
        <row r="833">
          <cell r="D833">
            <v>442644</v>
          </cell>
          <cell r="F833" t="str">
            <v>Femme</v>
          </cell>
        </row>
        <row r="834">
          <cell r="D834">
            <v>178140</v>
          </cell>
          <cell r="F834" t="str">
            <v>Homme</v>
          </cell>
        </row>
        <row r="835">
          <cell r="D835">
            <v>244460</v>
          </cell>
          <cell r="F835" t="str">
            <v>Homme</v>
          </cell>
        </row>
        <row r="836">
          <cell r="D836">
            <v>448185</v>
          </cell>
          <cell r="F836" t="str">
            <v>Femme</v>
          </cell>
        </row>
        <row r="837">
          <cell r="D837">
            <v>441167</v>
          </cell>
          <cell r="F837" t="str">
            <v>Femme</v>
          </cell>
        </row>
        <row r="838">
          <cell r="D838">
            <v>441164</v>
          </cell>
          <cell r="F838" t="str">
            <v>Femme</v>
          </cell>
        </row>
        <row r="839">
          <cell r="D839">
            <v>430992</v>
          </cell>
          <cell r="F839" t="str">
            <v>Homme</v>
          </cell>
        </row>
        <row r="840">
          <cell r="D840">
            <v>114328</v>
          </cell>
          <cell r="F840" t="str">
            <v>Femme</v>
          </cell>
        </row>
        <row r="841">
          <cell r="D841">
            <v>443548</v>
          </cell>
          <cell r="F841" t="str">
            <v>Femme</v>
          </cell>
        </row>
        <row r="842">
          <cell r="D842">
            <v>443549</v>
          </cell>
          <cell r="F842" t="str">
            <v>Homme</v>
          </cell>
        </row>
        <row r="843">
          <cell r="D843">
            <v>238984</v>
          </cell>
          <cell r="F843" t="str">
            <v>Homme</v>
          </cell>
        </row>
        <row r="844">
          <cell r="D844">
            <v>445450</v>
          </cell>
          <cell r="F844" t="str">
            <v>Femme</v>
          </cell>
        </row>
        <row r="845">
          <cell r="D845">
            <v>428160</v>
          </cell>
          <cell r="F845" t="str">
            <v>Homme</v>
          </cell>
        </row>
        <row r="846">
          <cell r="D846">
            <v>450516</v>
          </cell>
          <cell r="F846" t="str">
            <v>Femme</v>
          </cell>
        </row>
        <row r="847">
          <cell r="D847">
            <v>446104</v>
          </cell>
          <cell r="F847" t="str">
            <v>Femme</v>
          </cell>
        </row>
        <row r="848">
          <cell r="D848">
            <v>183672</v>
          </cell>
          <cell r="F848" t="str">
            <v>Femme</v>
          </cell>
        </row>
        <row r="849">
          <cell r="D849">
            <v>450843</v>
          </cell>
          <cell r="F849" t="str">
            <v>Homme</v>
          </cell>
        </row>
        <row r="850">
          <cell r="D850">
            <v>153447</v>
          </cell>
          <cell r="F850" t="str">
            <v>Homme</v>
          </cell>
        </row>
        <row r="851">
          <cell r="D851">
            <v>128767</v>
          </cell>
          <cell r="F851" t="str">
            <v>Femme</v>
          </cell>
        </row>
        <row r="852">
          <cell r="D852">
            <v>429029</v>
          </cell>
          <cell r="F852" t="str">
            <v>Femme</v>
          </cell>
        </row>
        <row r="853">
          <cell r="D853">
            <v>200420</v>
          </cell>
          <cell r="F853" t="str">
            <v>Homme</v>
          </cell>
        </row>
        <row r="854">
          <cell r="D854">
            <v>435687</v>
          </cell>
          <cell r="F854" t="str">
            <v>Femme</v>
          </cell>
        </row>
        <row r="855">
          <cell r="D855">
            <v>442539</v>
          </cell>
          <cell r="F855" t="str">
            <v>Femme</v>
          </cell>
        </row>
        <row r="856">
          <cell r="D856">
            <v>398537</v>
          </cell>
          <cell r="F856" t="str">
            <v>Femme</v>
          </cell>
        </row>
        <row r="857">
          <cell r="D857">
            <v>448600</v>
          </cell>
          <cell r="F857" t="str">
            <v>Homme</v>
          </cell>
        </row>
        <row r="858">
          <cell r="D858">
            <v>433144</v>
          </cell>
          <cell r="F858" t="str">
            <v>Femme</v>
          </cell>
        </row>
        <row r="859">
          <cell r="D859">
            <v>191286</v>
          </cell>
          <cell r="F859" t="str">
            <v>Homme</v>
          </cell>
        </row>
        <row r="860">
          <cell r="D860">
            <v>207049</v>
          </cell>
          <cell r="F860" t="str">
            <v>Homme</v>
          </cell>
        </row>
        <row r="861">
          <cell r="D861">
            <v>385909</v>
          </cell>
          <cell r="F861" t="str">
            <v>Femme</v>
          </cell>
        </row>
        <row r="862">
          <cell r="D862">
            <v>389580</v>
          </cell>
          <cell r="F862" t="str">
            <v>Homme</v>
          </cell>
        </row>
        <row r="863">
          <cell r="D863">
            <v>409696</v>
          </cell>
          <cell r="F863" t="str">
            <v>Homme</v>
          </cell>
        </row>
        <row r="864">
          <cell r="D864">
            <v>451471</v>
          </cell>
          <cell r="F864" t="str">
            <v>Homme</v>
          </cell>
        </row>
        <row r="865">
          <cell r="D865">
            <v>444398</v>
          </cell>
          <cell r="F865" t="str">
            <v>Homme</v>
          </cell>
        </row>
        <row r="866">
          <cell r="D866">
            <v>438346</v>
          </cell>
          <cell r="F866" t="str">
            <v>Homme</v>
          </cell>
        </row>
        <row r="867">
          <cell r="D867">
            <v>448174</v>
          </cell>
          <cell r="F867" t="str">
            <v>Femme</v>
          </cell>
        </row>
        <row r="868">
          <cell r="D868">
            <v>326985</v>
          </cell>
          <cell r="F868" t="str">
            <v>Homme</v>
          </cell>
        </row>
        <row r="869">
          <cell r="D869">
            <v>289670</v>
          </cell>
          <cell r="F869" t="str">
            <v>Homme</v>
          </cell>
        </row>
        <row r="870">
          <cell r="D870">
            <v>448612</v>
          </cell>
          <cell r="F870" t="str">
            <v>Homme</v>
          </cell>
        </row>
        <row r="871">
          <cell r="D871">
            <v>312169</v>
          </cell>
          <cell r="F871" t="str">
            <v>Homme</v>
          </cell>
        </row>
        <row r="872">
          <cell r="D872">
            <v>448182</v>
          </cell>
          <cell r="F872" t="str">
            <v>Femme</v>
          </cell>
        </row>
        <row r="873">
          <cell r="D873">
            <v>445805</v>
          </cell>
          <cell r="F873" t="str">
            <v>Femme</v>
          </cell>
        </row>
        <row r="874">
          <cell r="D874">
            <v>434824</v>
          </cell>
          <cell r="F874" t="str">
            <v>Femme</v>
          </cell>
        </row>
        <row r="875">
          <cell r="D875">
            <v>440512</v>
          </cell>
          <cell r="F875" t="str">
            <v>Homme</v>
          </cell>
        </row>
        <row r="876">
          <cell r="D876">
            <v>425727</v>
          </cell>
          <cell r="F876" t="str">
            <v>Femme</v>
          </cell>
        </row>
        <row r="877">
          <cell r="D877">
            <v>442378</v>
          </cell>
          <cell r="F877" t="str">
            <v>Homme</v>
          </cell>
        </row>
        <row r="878">
          <cell r="D878">
            <v>448590</v>
          </cell>
          <cell r="F878" t="str">
            <v>Femme</v>
          </cell>
        </row>
        <row r="879">
          <cell r="D879">
            <v>426105</v>
          </cell>
          <cell r="F879" t="str">
            <v>Homme</v>
          </cell>
        </row>
        <row r="880">
          <cell r="D880">
            <v>449318</v>
          </cell>
          <cell r="F880" t="str">
            <v>Homme</v>
          </cell>
        </row>
        <row r="881">
          <cell r="D881">
            <v>342656</v>
          </cell>
          <cell r="F881" t="str">
            <v>Homme</v>
          </cell>
        </row>
        <row r="882">
          <cell r="D882">
            <v>450317</v>
          </cell>
          <cell r="F882" t="str">
            <v>Femme</v>
          </cell>
        </row>
        <row r="883">
          <cell r="D883">
            <v>441987</v>
          </cell>
          <cell r="F883" t="str">
            <v>Femme</v>
          </cell>
        </row>
        <row r="884">
          <cell r="D884">
            <v>451461</v>
          </cell>
          <cell r="F884" t="str">
            <v>Femme</v>
          </cell>
        </row>
        <row r="885">
          <cell r="D885">
            <v>398766</v>
          </cell>
          <cell r="F885" t="str">
            <v>Homme</v>
          </cell>
        </row>
        <row r="886">
          <cell r="D886">
            <v>359216</v>
          </cell>
          <cell r="F886" t="str">
            <v>Homme</v>
          </cell>
        </row>
        <row r="887">
          <cell r="D887">
            <v>448178</v>
          </cell>
          <cell r="F887" t="str">
            <v>Femme</v>
          </cell>
        </row>
        <row r="888">
          <cell r="D888">
            <v>200425</v>
          </cell>
          <cell r="F888" t="str">
            <v>Homme</v>
          </cell>
        </row>
        <row r="889">
          <cell r="D889">
            <v>436458</v>
          </cell>
          <cell r="F889" t="str">
            <v>Femme</v>
          </cell>
        </row>
        <row r="890">
          <cell r="D890">
            <v>446103</v>
          </cell>
          <cell r="F890" t="str">
            <v>Homme</v>
          </cell>
        </row>
        <row r="891">
          <cell r="D891">
            <v>443825</v>
          </cell>
          <cell r="F891" t="str">
            <v>Homme</v>
          </cell>
        </row>
        <row r="892">
          <cell r="D892">
            <v>448180</v>
          </cell>
          <cell r="F892" t="str">
            <v>Homme</v>
          </cell>
        </row>
        <row r="893">
          <cell r="D893">
            <v>442374</v>
          </cell>
          <cell r="F893" t="str">
            <v>Femme</v>
          </cell>
        </row>
        <row r="894">
          <cell r="D894">
            <v>430830</v>
          </cell>
          <cell r="F894" t="str">
            <v>Homme</v>
          </cell>
        </row>
        <row r="895">
          <cell r="D895">
            <v>417682</v>
          </cell>
          <cell r="F895" t="str">
            <v>Homme</v>
          </cell>
        </row>
        <row r="896">
          <cell r="D896">
            <v>443818</v>
          </cell>
          <cell r="F896" t="str">
            <v>Femme</v>
          </cell>
        </row>
        <row r="897">
          <cell r="D897">
            <v>447920</v>
          </cell>
          <cell r="F897" t="str">
            <v>Femme</v>
          </cell>
        </row>
        <row r="898">
          <cell r="D898">
            <v>178202</v>
          </cell>
          <cell r="F898" t="str">
            <v>Homme</v>
          </cell>
        </row>
        <row r="899">
          <cell r="D899">
            <v>424516</v>
          </cell>
          <cell r="F899" t="str">
            <v>Homme</v>
          </cell>
        </row>
        <row r="900">
          <cell r="D900">
            <v>450713</v>
          </cell>
          <cell r="F900" t="str">
            <v>Homme</v>
          </cell>
        </row>
        <row r="901">
          <cell r="D901">
            <v>440268</v>
          </cell>
          <cell r="F901" t="str">
            <v>Homme</v>
          </cell>
        </row>
        <row r="902">
          <cell r="D902">
            <v>441162</v>
          </cell>
          <cell r="F902" t="str">
            <v>Homme</v>
          </cell>
        </row>
        <row r="903">
          <cell r="D903">
            <v>441976</v>
          </cell>
          <cell r="F903" t="str">
            <v>Homme</v>
          </cell>
        </row>
        <row r="904">
          <cell r="D904">
            <v>450715</v>
          </cell>
          <cell r="F904" t="str">
            <v>Homme</v>
          </cell>
        </row>
        <row r="905">
          <cell r="D905">
            <v>444608</v>
          </cell>
          <cell r="F905" t="str">
            <v>Femme</v>
          </cell>
        </row>
        <row r="906">
          <cell r="D906">
            <v>426956</v>
          </cell>
          <cell r="F906" t="str">
            <v>Homme</v>
          </cell>
        </row>
        <row r="907">
          <cell r="D907">
            <v>445448</v>
          </cell>
          <cell r="F907" t="str">
            <v>Homme</v>
          </cell>
        </row>
        <row r="908">
          <cell r="D908">
            <v>183708</v>
          </cell>
          <cell r="F908" t="str">
            <v>Homme</v>
          </cell>
        </row>
        <row r="909">
          <cell r="D909">
            <v>409311</v>
          </cell>
          <cell r="F909" t="str">
            <v>Homme</v>
          </cell>
        </row>
        <row r="910">
          <cell r="D910">
            <v>448176</v>
          </cell>
          <cell r="F910" t="str">
            <v>Femme</v>
          </cell>
        </row>
        <row r="911">
          <cell r="D911">
            <v>448947</v>
          </cell>
          <cell r="F911" t="str">
            <v>Homme</v>
          </cell>
        </row>
        <row r="912">
          <cell r="D912">
            <v>451803</v>
          </cell>
          <cell r="F912" t="str">
            <v>Homme</v>
          </cell>
        </row>
        <row r="913">
          <cell r="D913">
            <v>280279</v>
          </cell>
          <cell r="F913" t="str">
            <v>Femme</v>
          </cell>
        </row>
        <row r="914">
          <cell r="D914">
            <v>374524</v>
          </cell>
          <cell r="F914" t="str">
            <v>Femme</v>
          </cell>
        </row>
        <row r="915">
          <cell r="D915">
            <v>443277</v>
          </cell>
          <cell r="F915" t="str">
            <v>Homme</v>
          </cell>
        </row>
        <row r="916">
          <cell r="D916">
            <v>365941</v>
          </cell>
          <cell r="F916" t="str">
            <v>Femme</v>
          </cell>
        </row>
        <row r="917">
          <cell r="D917">
            <v>430634</v>
          </cell>
          <cell r="F917" t="str">
            <v>Homme</v>
          </cell>
        </row>
        <row r="918">
          <cell r="D918">
            <v>100021</v>
          </cell>
          <cell r="F918" t="str">
            <v>Homme</v>
          </cell>
        </row>
        <row r="919">
          <cell r="D919">
            <v>204512</v>
          </cell>
          <cell r="F919" t="str">
            <v>Femme</v>
          </cell>
        </row>
        <row r="920">
          <cell r="D920">
            <v>349215</v>
          </cell>
          <cell r="F920" t="str">
            <v>Femme</v>
          </cell>
        </row>
        <row r="921">
          <cell r="D921">
            <v>375975</v>
          </cell>
          <cell r="F921" t="str">
            <v>Femme</v>
          </cell>
        </row>
        <row r="922">
          <cell r="D922">
            <v>395298</v>
          </cell>
          <cell r="F922" t="str">
            <v>Homme</v>
          </cell>
        </row>
        <row r="923">
          <cell r="D923">
            <v>441404</v>
          </cell>
          <cell r="F923" t="str">
            <v>Femme</v>
          </cell>
        </row>
        <row r="924">
          <cell r="D924">
            <v>309928</v>
          </cell>
          <cell r="F924" t="str">
            <v>Homme</v>
          </cell>
        </row>
        <row r="925">
          <cell r="D925">
            <v>416319</v>
          </cell>
          <cell r="F925" t="str">
            <v>Homme</v>
          </cell>
        </row>
        <row r="926">
          <cell r="D926">
            <v>419064</v>
          </cell>
          <cell r="F926" t="str">
            <v>Homme</v>
          </cell>
        </row>
        <row r="927">
          <cell r="D927">
            <v>437185</v>
          </cell>
          <cell r="F927" t="str">
            <v>Homme</v>
          </cell>
        </row>
        <row r="928">
          <cell r="D928">
            <v>449301</v>
          </cell>
          <cell r="F928" t="str">
            <v>Femme</v>
          </cell>
        </row>
        <row r="929">
          <cell r="D929">
            <v>450412</v>
          </cell>
          <cell r="F929" t="str">
            <v>Homme</v>
          </cell>
        </row>
        <row r="930">
          <cell r="D930">
            <v>411528</v>
          </cell>
          <cell r="F930" t="str">
            <v>Homme</v>
          </cell>
        </row>
        <row r="931">
          <cell r="D931">
            <v>444389</v>
          </cell>
          <cell r="F931" t="str">
            <v>Femme</v>
          </cell>
        </row>
        <row r="932">
          <cell r="D932">
            <v>410896</v>
          </cell>
          <cell r="F932" t="str">
            <v>Femme</v>
          </cell>
        </row>
        <row r="933">
          <cell r="D933">
            <v>407135</v>
          </cell>
          <cell r="F933" t="str">
            <v>Femme</v>
          </cell>
        </row>
        <row r="934">
          <cell r="D934">
            <v>169878</v>
          </cell>
          <cell r="F934" t="str">
            <v>Homme</v>
          </cell>
        </row>
        <row r="935">
          <cell r="D935">
            <v>118576</v>
          </cell>
          <cell r="F935" t="str">
            <v>Homme</v>
          </cell>
        </row>
        <row r="936">
          <cell r="D936">
            <v>449162</v>
          </cell>
          <cell r="F936" t="str">
            <v>Homme</v>
          </cell>
        </row>
        <row r="937">
          <cell r="D937">
            <v>443671</v>
          </cell>
          <cell r="F937" t="str">
            <v>Femme</v>
          </cell>
        </row>
        <row r="938">
          <cell r="D938">
            <v>446961</v>
          </cell>
          <cell r="F938" t="str">
            <v>Femme</v>
          </cell>
        </row>
        <row r="939">
          <cell r="D939">
            <v>443281</v>
          </cell>
          <cell r="F939" t="str">
            <v>Femme</v>
          </cell>
        </row>
        <row r="940">
          <cell r="D940">
            <v>444882</v>
          </cell>
          <cell r="F940" t="str">
            <v>Femme</v>
          </cell>
        </row>
        <row r="941">
          <cell r="D941">
            <v>283550</v>
          </cell>
          <cell r="F941" t="str">
            <v>Homme</v>
          </cell>
        </row>
        <row r="942">
          <cell r="D942">
            <v>449161</v>
          </cell>
          <cell r="F942" t="str">
            <v>Femme</v>
          </cell>
        </row>
        <row r="943">
          <cell r="D943">
            <v>450406</v>
          </cell>
          <cell r="F943" t="str">
            <v>Femme</v>
          </cell>
        </row>
        <row r="944">
          <cell r="D944">
            <v>272125</v>
          </cell>
          <cell r="F944" t="str">
            <v>Femme</v>
          </cell>
        </row>
        <row r="945">
          <cell r="D945">
            <v>450380</v>
          </cell>
          <cell r="F945" t="str">
            <v>Femme</v>
          </cell>
        </row>
        <row r="946">
          <cell r="D946">
            <v>275013</v>
          </cell>
          <cell r="F946" t="str">
            <v>Femme</v>
          </cell>
        </row>
        <row r="947">
          <cell r="D947">
            <v>450413</v>
          </cell>
          <cell r="F947" t="str">
            <v>Femme</v>
          </cell>
        </row>
        <row r="948">
          <cell r="D948">
            <v>444890</v>
          </cell>
          <cell r="F948" t="str">
            <v>Femme</v>
          </cell>
        </row>
        <row r="949">
          <cell r="D949">
            <v>446970</v>
          </cell>
          <cell r="F949" t="str">
            <v>Homme</v>
          </cell>
        </row>
        <row r="950">
          <cell r="D950">
            <v>388452</v>
          </cell>
          <cell r="F950" t="str">
            <v>Femme</v>
          </cell>
        </row>
        <row r="951">
          <cell r="D951">
            <v>443675</v>
          </cell>
          <cell r="F951" t="str">
            <v>Femme</v>
          </cell>
        </row>
        <row r="952">
          <cell r="D952">
            <v>450869</v>
          </cell>
          <cell r="F952" t="str">
            <v>Homme</v>
          </cell>
        </row>
        <row r="953">
          <cell r="D953">
            <v>437189</v>
          </cell>
          <cell r="F953" t="str">
            <v>Homme</v>
          </cell>
        </row>
        <row r="954">
          <cell r="D954">
            <v>410881</v>
          </cell>
          <cell r="F954" t="str">
            <v>Homme</v>
          </cell>
        </row>
        <row r="955">
          <cell r="D955">
            <v>191944</v>
          </cell>
          <cell r="F955" t="str">
            <v>Femme</v>
          </cell>
        </row>
        <row r="956">
          <cell r="D956">
            <v>208197</v>
          </cell>
          <cell r="F956" t="str">
            <v>Homme</v>
          </cell>
        </row>
        <row r="957">
          <cell r="D957">
            <v>425202</v>
          </cell>
          <cell r="F957" t="str">
            <v>Femme</v>
          </cell>
        </row>
        <row r="958">
          <cell r="D958">
            <v>391462</v>
          </cell>
          <cell r="F958" t="str">
            <v>Femme</v>
          </cell>
        </row>
        <row r="959">
          <cell r="D959">
            <v>444885</v>
          </cell>
          <cell r="F959" t="str">
            <v>Femme</v>
          </cell>
        </row>
        <row r="960">
          <cell r="D960">
            <v>449296</v>
          </cell>
          <cell r="F960" t="str">
            <v>Femme</v>
          </cell>
        </row>
        <row r="961">
          <cell r="D961">
            <v>191495</v>
          </cell>
          <cell r="F961" t="str">
            <v>Femme</v>
          </cell>
        </row>
        <row r="962">
          <cell r="D962">
            <v>439342</v>
          </cell>
          <cell r="F962" t="str">
            <v>Homme</v>
          </cell>
        </row>
        <row r="963">
          <cell r="D963">
            <v>446406</v>
          </cell>
          <cell r="F963" t="str">
            <v>Homme</v>
          </cell>
        </row>
        <row r="964">
          <cell r="D964">
            <v>433609</v>
          </cell>
          <cell r="F964" t="str">
            <v>Homme</v>
          </cell>
        </row>
        <row r="965">
          <cell r="D965">
            <v>272230</v>
          </cell>
          <cell r="F965" t="str">
            <v>Homme</v>
          </cell>
        </row>
        <row r="966">
          <cell r="D966">
            <v>143289</v>
          </cell>
          <cell r="F966" t="str">
            <v>Femme</v>
          </cell>
        </row>
        <row r="967">
          <cell r="D967">
            <v>191515</v>
          </cell>
          <cell r="F967" t="str">
            <v>Homme</v>
          </cell>
        </row>
        <row r="968">
          <cell r="D968">
            <v>450866</v>
          </cell>
          <cell r="F968" t="str">
            <v>Homme</v>
          </cell>
        </row>
        <row r="969">
          <cell r="D969">
            <v>417444</v>
          </cell>
          <cell r="F969" t="str">
            <v>Femme</v>
          </cell>
        </row>
        <row r="970">
          <cell r="D970">
            <v>450499</v>
          </cell>
          <cell r="F970" t="str">
            <v>Femme</v>
          </cell>
        </row>
        <row r="971">
          <cell r="D971">
            <v>434568</v>
          </cell>
          <cell r="F971" t="str">
            <v>Femme</v>
          </cell>
        </row>
        <row r="972">
          <cell r="D972">
            <v>433587</v>
          </cell>
          <cell r="F972" t="str">
            <v>Homme</v>
          </cell>
        </row>
        <row r="973">
          <cell r="D973">
            <v>354814</v>
          </cell>
          <cell r="F973" t="str">
            <v>Femme</v>
          </cell>
        </row>
        <row r="974">
          <cell r="D974">
            <v>433590</v>
          </cell>
          <cell r="F974" t="str">
            <v>Femme</v>
          </cell>
        </row>
        <row r="975">
          <cell r="D975">
            <v>437462</v>
          </cell>
          <cell r="F975" t="str">
            <v>Femme</v>
          </cell>
        </row>
        <row r="976">
          <cell r="D976">
            <v>449304</v>
          </cell>
          <cell r="F976" t="str">
            <v>Homme</v>
          </cell>
        </row>
        <row r="977">
          <cell r="D977">
            <v>449305</v>
          </cell>
          <cell r="F977" t="str">
            <v>Femme</v>
          </cell>
        </row>
        <row r="978">
          <cell r="D978">
            <v>449314</v>
          </cell>
          <cell r="F978" t="str">
            <v>Femme</v>
          </cell>
        </row>
        <row r="979">
          <cell r="D979">
            <v>449315</v>
          </cell>
          <cell r="F979" t="str">
            <v>Homme</v>
          </cell>
        </row>
        <row r="980">
          <cell r="D980">
            <v>221055</v>
          </cell>
          <cell r="F980" t="str">
            <v>Homme</v>
          </cell>
        </row>
        <row r="981">
          <cell r="D981">
            <v>450402</v>
          </cell>
          <cell r="F981" t="str">
            <v>Femme</v>
          </cell>
        </row>
        <row r="982">
          <cell r="D982">
            <v>410890</v>
          </cell>
          <cell r="F982" t="str">
            <v>Femme</v>
          </cell>
        </row>
        <row r="983">
          <cell r="D983">
            <v>434563</v>
          </cell>
          <cell r="F983" t="str">
            <v>Femme</v>
          </cell>
        </row>
        <row r="984">
          <cell r="D984">
            <v>299974</v>
          </cell>
          <cell r="F984" t="str">
            <v>Femme</v>
          </cell>
        </row>
        <row r="985">
          <cell r="D985">
            <v>345819</v>
          </cell>
          <cell r="F985" t="str">
            <v>Homme</v>
          </cell>
        </row>
        <row r="986">
          <cell r="D986">
            <v>358063</v>
          </cell>
          <cell r="F986" t="str">
            <v>Femme</v>
          </cell>
        </row>
        <row r="987">
          <cell r="D987">
            <v>425200</v>
          </cell>
          <cell r="F987" t="str">
            <v>Femme</v>
          </cell>
        </row>
        <row r="988">
          <cell r="D988">
            <v>407134</v>
          </cell>
          <cell r="F988" t="str">
            <v>Homme</v>
          </cell>
        </row>
        <row r="989">
          <cell r="D989">
            <v>417445</v>
          </cell>
          <cell r="F989" t="str">
            <v>Femme</v>
          </cell>
        </row>
        <row r="990">
          <cell r="D990">
            <v>325229</v>
          </cell>
          <cell r="F990" t="str">
            <v>Femme</v>
          </cell>
        </row>
        <row r="991">
          <cell r="D991">
            <v>412943</v>
          </cell>
          <cell r="F991" t="str">
            <v>Homme</v>
          </cell>
        </row>
        <row r="992">
          <cell r="D992">
            <v>434569</v>
          </cell>
          <cell r="F992" t="str">
            <v>Femme</v>
          </cell>
        </row>
        <row r="993">
          <cell r="D993">
            <v>327555</v>
          </cell>
          <cell r="F993" t="str">
            <v>Homme</v>
          </cell>
        </row>
        <row r="994">
          <cell r="D994">
            <v>446960</v>
          </cell>
          <cell r="F994" t="str">
            <v>Femme</v>
          </cell>
        </row>
        <row r="995">
          <cell r="D995">
            <v>356764</v>
          </cell>
          <cell r="F995" t="str">
            <v>Homme</v>
          </cell>
        </row>
        <row r="996">
          <cell r="D996">
            <v>446968</v>
          </cell>
          <cell r="F996" t="str">
            <v>Femme</v>
          </cell>
        </row>
        <row r="997">
          <cell r="D997">
            <v>405473</v>
          </cell>
          <cell r="F997" t="str">
            <v>Homme</v>
          </cell>
        </row>
        <row r="998">
          <cell r="D998">
            <v>426336</v>
          </cell>
          <cell r="F998" t="str">
            <v>Femme</v>
          </cell>
        </row>
        <row r="999">
          <cell r="D999">
            <v>443677</v>
          </cell>
          <cell r="F999" t="str">
            <v>Femme</v>
          </cell>
        </row>
        <row r="1000">
          <cell r="D1000">
            <v>147607</v>
          </cell>
          <cell r="F1000" t="str">
            <v>Femme</v>
          </cell>
        </row>
        <row r="1001">
          <cell r="D1001">
            <v>444384</v>
          </cell>
          <cell r="F1001" t="str">
            <v>Femme</v>
          </cell>
        </row>
        <row r="1002">
          <cell r="D1002">
            <v>444883</v>
          </cell>
          <cell r="F1002" t="str">
            <v>Femme</v>
          </cell>
        </row>
        <row r="1003">
          <cell r="D1003">
            <v>248545</v>
          </cell>
          <cell r="F1003" t="str">
            <v>Homme</v>
          </cell>
        </row>
        <row r="1004">
          <cell r="D1004">
            <v>404743</v>
          </cell>
          <cell r="F1004" t="str">
            <v>Homme</v>
          </cell>
        </row>
        <row r="1005">
          <cell r="D1005">
            <v>273942</v>
          </cell>
          <cell r="F1005" t="str">
            <v>Femme</v>
          </cell>
        </row>
        <row r="1006">
          <cell r="D1006">
            <v>190816</v>
          </cell>
          <cell r="F1006" t="str">
            <v>Femme</v>
          </cell>
        </row>
        <row r="1007">
          <cell r="D1007">
            <v>443678</v>
          </cell>
          <cell r="F1007" t="str">
            <v>Femme</v>
          </cell>
        </row>
        <row r="1008">
          <cell r="D1008">
            <v>354792</v>
          </cell>
          <cell r="F1008" t="str">
            <v>Femme</v>
          </cell>
        </row>
        <row r="1009">
          <cell r="D1009">
            <v>446972</v>
          </cell>
          <cell r="F1009" t="str">
            <v>Femme</v>
          </cell>
        </row>
        <row r="1010">
          <cell r="D1010">
            <v>444392</v>
          </cell>
          <cell r="F1010" t="str">
            <v>Femme</v>
          </cell>
        </row>
        <row r="1011">
          <cell r="D1011">
            <v>404744</v>
          </cell>
          <cell r="F1011" t="str">
            <v>Homme</v>
          </cell>
        </row>
        <row r="1012">
          <cell r="D1012">
            <v>223862</v>
          </cell>
          <cell r="F1012" t="str">
            <v>Femme</v>
          </cell>
        </row>
        <row r="1013">
          <cell r="D1013">
            <v>353333</v>
          </cell>
          <cell r="F1013" t="str">
            <v>Femme</v>
          </cell>
        </row>
        <row r="1014">
          <cell r="D1014">
            <v>385486</v>
          </cell>
          <cell r="F1014" t="str">
            <v>Femme</v>
          </cell>
        </row>
        <row r="1015">
          <cell r="D1015">
            <v>420940</v>
          </cell>
          <cell r="F1015" t="str">
            <v>Femme</v>
          </cell>
        </row>
        <row r="1016">
          <cell r="D1016">
            <v>399985</v>
          </cell>
          <cell r="F1016" t="str">
            <v>Femme</v>
          </cell>
        </row>
        <row r="1017">
          <cell r="D1017">
            <v>327564</v>
          </cell>
          <cell r="F1017" t="str">
            <v>Homme</v>
          </cell>
        </row>
        <row r="1018">
          <cell r="D1018">
            <v>299637</v>
          </cell>
          <cell r="F1018" t="str">
            <v>Femme</v>
          </cell>
        </row>
        <row r="1019">
          <cell r="D1019">
            <v>443278</v>
          </cell>
          <cell r="F1019" t="str">
            <v>Femme</v>
          </cell>
        </row>
        <row r="1020">
          <cell r="D1020">
            <v>274967</v>
          </cell>
          <cell r="F1020" t="str">
            <v>Femme</v>
          </cell>
        </row>
        <row r="1021">
          <cell r="D1021">
            <v>327591</v>
          </cell>
          <cell r="F1021" t="str">
            <v>Femme</v>
          </cell>
        </row>
        <row r="1022">
          <cell r="D1022">
            <v>353321</v>
          </cell>
          <cell r="F1022" t="str">
            <v>Femme</v>
          </cell>
        </row>
        <row r="1023">
          <cell r="D1023">
            <v>433073</v>
          </cell>
          <cell r="F1023" t="str">
            <v>Homme</v>
          </cell>
        </row>
        <row r="1024">
          <cell r="D1024">
            <v>444383</v>
          </cell>
          <cell r="F1024" t="str">
            <v>Femme</v>
          </cell>
        </row>
        <row r="1025">
          <cell r="D1025">
            <v>323637</v>
          </cell>
          <cell r="F1025" t="str">
            <v>Femme</v>
          </cell>
        </row>
        <row r="1026">
          <cell r="D1026">
            <v>259475</v>
          </cell>
          <cell r="F1026" t="str">
            <v>Homme</v>
          </cell>
        </row>
        <row r="1027">
          <cell r="D1027">
            <v>315916</v>
          </cell>
          <cell r="F1027" t="str">
            <v>Homme</v>
          </cell>
        </row>
        <row r="1028">
          <cell r="D1028">
            <v>299710</v>
          </cell>
          <cell r="F1028" t="str">
            <v>Femme</v>
          </cell>
        </row>
        <row r="1029">
          <cell r="D1029">
            <v>147554</v>
          </cell>
          <cell r="F1029" t="str">
            <v>Femme</v>
          </cell>
        </row>
        <row r="1030">
          <cell r="D1030">
            <v>424908</v>
          </cell>
          <cell r="F1030" t="str">
            <v>Homme</v>
          </cell>
        </row>
        <row r="1031">
          <cell r="D1031">
            <v>392730</v>
          </cell>
          <cell r="F1031" t="str">
            <v>Femme</v>
          </cell>
        </row>
        <row r="1032">
          <cell r="D1032">
            <v>170395</v>
          </cell>
          <cell r="F1032" t="str">
            <v>Femme</v>
          </cell>
        </row>
        <row r="1033">
          <cell r="D1033">
            <v>449308</v>
          </cell>
          <cell r="F1033" t="str">
            <v>Femme</v>
          </cell>
        </row>
        <row r="1034">
          <cell r="D1034">
            <v>416490</v>
          </cell>
          <cell r="F1034" t="str">
            <v>Femme</v>
          </cell>
        </row>
        <row r="1035">
          <cell r="D1035">
            <v>121956</v>
          </cell>
          <cell r="F1035" t="str">
            <v>Femme</v>
          </cell>
        </row>
        <row r="1036">
          <cell r="D1036">
            <v>450500</v>
          </cell>
          <cell r="F1036" t="str">
            <v>Femme</v>
          </cell>
        </row>
        <row r="1037">
          <cell r="D1037">
            <v>255978</v>
          </cell>
          <cell r="F1037" t="str">
            <v>Femme</v>
          </cell>
        </row>
        <row r="1038">
          <cell r="D1038">
            <v>433074</v>
          </cell>
          <cell r="F1038" t="str">
            <v>Homme</v>
          </cell>
        </row>
        <row r="1039">
          <cell r="D1039">
            <v>403421</v>
          </cell>
          <cell r="F1039" t="str">
            <v>Homme</v>
          </cell>
        </row>
        <row r="1040">
          <cell r="D1040">
            <v>353323</v>
          </cell>
          <cell r="F1040" t="str">
            <v>Femme</v>
          </cell>
        </row>
        <row r="1041">
          <cell r="D1041">
            <v>158374</v>
          </cell>
          <cell r="F1041" t="str">
            <v>Femme</v>
          </cell>
        </row>
        <row r="1042">
          <cell r="D1042">
            <v>444387</v>
          </cell>
          <cell r="F1042" t="str">
            <v>Femme</v>
          </cell>
        </row>
        <row r="1043">
          <cell r="D1043">
            <v>410889</v>
          </cell>
          <cell r="F1043" t="str">
            <v>Femme</v>
          </cell>
        </row>
        <row r="1044">
          <cell r="D1044">
            <v>434567</v>
          </cell>
          <cell r="F1044" t="str">
            <v>Femme</v>
          </cell>
        </row>
        <row r="1045">
          <cell r="D1045">
            <v>250647</v>
          </cell>
          <cell r="F1045" t="str">
            <v>Femme</v>
          </cell>
        </row>
        <row r="1046">
          <cell r="D1046">
            <v>196289</v>
          </cell>
          <cell r="F1046" t="str">
            <v>Femme</v>
          </cell>
        </row>
        <row r="1047">
          <cell r="D1047">
            <v>418670</v>
          </cell>
          <cell r="F1047" t="str">
            <v>Femme</v>
          </cell>
        </row>
        <row r="1048">
          <cell r="D1048">
            <v>417838</v>
          </cell>
          <cell r="F1048" t="str">
            <v>Homme</v>
          </cell>
        </row>
        <row r="1049">
          <cell r="D1049">
            <v>196362</v>
          </cell>
          <cell r="F1049" t="str">
            <v>Femme</v>
          </cell>
        </row>
        <row r="1050">
          <cell r="D1050">
            <v>450396</v>
          </cell>
          <cell r="F1050" t="str">
            <v>Homme</v>
          </cell>
        </row>
        <row r="1051">
          <cell r="D1051">
            <v>450415</v>
          </cell>
          <cell r="F1051" t="str">
            <v>Femme</v>
          </cell>
        </row>
        <row r="1052">
          <cell r="D1052">
            <v>450418</v>
          </cell>
          <cell r="F1052" t="str">
            <v>Femme</v>
          </cell>
        </row>
        <row r="1053">
          <cell r="D1053">
            <v>450502</v>
          </cell>
          <cell r="F1053" t="str">
            <v>Femme</v>
          </cell>
        </row>
        <row r="1054">
          <cell r="D1054">
            <v>418245</v>
          </cell>
          <cell r="F1054" t="str">
            <v>Homme</v>
          </cell>
        </row>
        <row r="1055">
          <cell r="D1055">
            <v>444878</v>
          </cell>
          <cell r="F1055" t="str">
            <v>Homme</v>
          </cell>
        </row>
        <row r="1056">
          <cell r="D1056">
            <v>449294</v>
          </cell>
          <cell r="F1056" t="str">
            <v>Femme</v>
          </cell>
        </row>
        <row r="1057">
          <cell r="D1057">
            <v>449295</v>
          </cell>
          <cell r="F1057" t="str">
            <v>Femme</v>
          </cell>
        </row>
        <row r="1058">
          <cell r="D1058">
            <v>342163</v>
          </cell>
          <cell r="F1058" t="str">
            <v>Femme</v>
          </cell>
        </row>
        <row r="1059">
          <cell r="D1059">
            <v>152277</v>
          </cell>
          <cell r="F1059" t="str">
            <v>Homme</v>
          </cell>
        </row>
        <row r="1060">
          <cell r="D1060">
            <v>450503</v>
          </cell>
          <cell r="F1060" t="str">
            <v>Femme</v>
          </cell>
        </row>
        <row r="1061">
          <cell r="D1061">
            <v>221033</v>
          </cell>
          <cell r="F1061" t="str">
            <v>Femme</v>
          </cell>
        </row>
        <row r="1062">
          <cell r="D1062">
            <v>438084</v>
          </cell>
          <cell r="F1062" t="str">
            <v>Homme</v>
          </cell>
        </row>
        <row r="1063">
          <cell r="D1063">
            <v>215857</v>
          </cell>
          <cell r="F1063" t="str">
            <v>Femme</v>
          </cell>
        </row>
        <row r="1064">
          <cell r="D1064">
            <v>419066</v>
          </cell>
          <cell r="F1064" t="str">
            <v>Femme</v>
          </cell>
        </row>
        <row r="1065">
          <cell r="D1065">
            <v>450507</v>
          </cell>
          <cell r="F1065" t="str">
            <v>Femme</v>
          </cell>
        </row>
        <row r="1066">
          <cell r="D1066">
            <v>377333</v>
          </cell>
          <cell r="F1066" t="str">
            <v>Homme</v>
          </cell>
        </row>
        <row r="1067">
          <cell r="D1067">
            <v>446211</v>
          </cell>
          <cell r="F1067" t="str">
            <v>Femme</v>
          </cell>
        </row>
        <row r="1068">
          <cell r="D1068">
            <v>135798</v>
          </cell>
          <cell r="F1068" t="str">
            <v>Femme</v>
          </cell>
        </row>
        <row r="1069">
          <cell r="D1069">
            <v>125306</v>
          </cell>
          <cell r="F1069" t="str">
            <v>Femme</v>
          </cell>
        </row>
        <row r="1070">
          <cell r="D1070">
            <v>446214</v>
          </cell>
          <cell r="F1070" t="str">
            <v>Homme</v>
          </cell>
        </row>
        <row r="1071">
          <cell r="D1071">
            <v>439343</v>
          </cell>
          <cell r="F1071" t="str">
            <v>Femme</v>
          </cell>
        </row>
        <row r="1072">
          <cell r="D1072">
            <v>152060</v>
          </cell>
          <cell r="F1072" t="str">
            <v>Femme</v>
          </cell>
        </row>
        <row r="1073">
          <cell r="D1073">
            <v>443282</v>
          </cell>
          <cell r="F1073" t="str">
            <v>Femme</v>
          </cell>
        </row>
        <row r="1074">
          <cell r="D1074">
            <v>442145</v>
          </cell>
          <cell r="F1074" t="str">
            <v>Femme</v>
          </cell>
        </row>
        <row r="1075">
          <cell r="D1075">
            <v>450374</v>
          </cell>
          <cell r="F1075" t="str">
            <v>Homme</v>
          </cell>
        </row>
        <row r="1076">
          <cell r="D1076">
            <v>442151</v>
          </cell>
          <cell r="F1076" t="str">
            <v>Homme</v>
          </cell>
        </row>
        <row r="1077">
          <cell r="D1077">
            <v>442152</v>
          </cell>
          <cell r="F1077" t="str">
            <v>Femme</v>
          </cell>
        </row>
        <row r="1078">
          <cell r="D1078">
            <v>328985</v>
          </cell>
          <cell r="F1078" t="str">
            <v>Femme</v>
          </cell>
        </row>
        <row r="1079">
          <cell r="D1079">
            <v>450373</v>
          </cell>
          <cell r="F1079" t="str">
            <v>Homme</v>
          </cell>
        </row>
        <row r="1080">
          <cell r="D1080">
            <v>362522</v>
          </cell>
          <cell r="F1080" t="str">
            <v>Femme</v>
          </cell>
        </row>
        <row r="1081">
          <cell r="D1081">
            <v>442670</v>
          </cell>
          <cell r="F1081" t="str">
            <v>Homme</v>
          </cell>
        </row>
        <row r="1082">
          <cell r="D1082">
            <v>442675</v>
          </cell>
          <cell r="F1082" t="str">
            <v>Femme</v>
          </cell>
        </row>
        <row r="1083">
          <cell r="D1083">
            <v>375361</v>
          </cell>
          <cell r="F1083" t="str">
            <v>Femme</v>
          </cell>
        </row>
        <row r="1084">
          <cell r="D1084">
            <v>272702</v>
          </cell>
          <cell r="F1084" t="str">
            <v>Femme</v>
          </cell>
        </row>
        <row r="1085">
          <cell r="D1085">
            <v>118555</v>
          </cell>
          <cell r="F1085" t="str">
            <v>Femme</v>
          </cell>
        </row>
        <row r="1086">
          <cell r="D1086">
            <v>293274</v>
          </cell>
          <cell r="F1086" t="str">
            <v>Homme</v>
          </cell>
        </row>
        <row r="1087">
          <cell r="D1087">
            <v>444884</v>
          </cell>
          <cell r="F1087" t="str">
            <v>Femme</v>
          </cell>
        </row>
        <row r="1088">
          <cell r="D1088">
            <v>223795</v>
          </cell>
          <cell r="F1088" t="str">
            <v>Homme</v>
          </cell>
        </row>
        <row r="1089">
          <cell r="D1089">
            <v>245903</v>
          </cell>
          <cell r="F1089" t="str">
            <v>Femme</v>
          </cell>
        </row>
        <row r="1090">
          <cell r="D1090">
            <v>425195</v>
          </cell>
          <cell r="F1090" t="str">
            <v>Femme</v>
          </cell>
        </row>
        <row r="1091">
          <cell r="D1091">
            <v>223813</v>
          </cell>
          <cell r="F1091" t="str">
            <v>Femme</v>
          </cell>
        </row>
        <row r="1092">
          <cell r="D1092">
            <v>147598</v>
          </cell>
          <cell r="F1092" t="str">
            <v>Femme</v>
          </cell>
        </row>
        <row r="1093">
          <cell r="D1093">
            <v>450376</v>
          </cell>
          <cell r="F1093" t="str">
            <v>Femme</v>
          </cell>
        </row>
        <row r="1094">
          <cell r="D1094">
            <v>175085</v>
          </cell>
          <cell r="F1094" t="str">
            <v>Femme</v>
          </cell>
        </row>
        <row r="1095">
          <cell r="D1095">
            <v>147525</v>
          </cell>
          <cell r="F1095" t="str">
            <v>Femme</v>
          </cell>
        </row>
        <row r="1096">
          <cell r="D1096">
            <v>403711</v>
          </cell>
          <cell r="F1096" t="str">
            <v>Femme</v>
          </cell>
        </row>
        <row r="1097">
          <cell r="D1097">
            <v>442153</v>
          </cell>
          <cell r="F1097" t="str">
            <v>Femme</v>
          </cell>
        </row>
        <row r="1098">
          <cell r="D1098">
            <v>323630</v>
          </cell>
          <cell r="F1098" t="str">
            <v>Homme</v>
          </cell>
        </row>
        <row r="1099">
          <cell r="D1099">
            <v>446966</v>
          </cell>
          <cell r="F1099" t="str">
            <v>Femme</v>
          </cell>
        </row>
        <row r="1100">
          <cell r="D1100">
            <v>437194</v>
          </cell>
          <cell r="F1100" t="str">
            <v>Homme</v>
          </cell>
        </row>
        <row r="1101">
          <cell r="D1101">
            <v>299635</v>
          </cell>
          <cell r="F1101" t="str">
            <v>Femme</v>
          </cell>
        </row>
        <row r="1102">
          <cell r="D1102">
            <v>446477</v>
          </cell>
          <cell r="F1102" t="str">
            <v>Homme</v>
          </cell>
        </row>
        <row r="1103">
          <cell r="D1103">
            <v>444879</v>
          </cell>
          <cell r="F1103" t="str">
            <v>Femme</v>
          </cell>
        </row>
        <row r="1104">
          <cell r="D1104">
            <v>450408</v>
          </cell>
          <cell r="F1104" t="str">
            <v>Homme</v>
          </cell>
        </row>
        <row r="1105">
          <cell r="D1105">
            <v>442677</v>
          </cell>
          <cell r="F1105" t="str">
            <v>Femme</v>
          </cell>
        </row>
        <row r="1106">
          <cell r="D1106">
            <v>404745</v>
          </cell>
          <cell r="F1106" t="str">
            <v>Homme</v>
          </cell>
        </row>
        <row r="1107">
          <cell r="D1107">
            <v>361182</v>
          </cell>
          <cell r="F1107" t="str">
            <v>Homme</v>
          </cell>
        </row>
        <row r="1108">
          <cell r="D1108">
            <v>446479</v>
          </cell>
          <cell r="F1108" t="str">
            <v>Femme</v>
          </cell>
        </row>
        <row r="1109">
          <cell r="D1109">
            <v>211292</v>
          </cell>
          <cell r="F1109" t="str">
            <v>Femme</v>
          </cell>
        </row>
        <row r="1110">
          <cell r="D1110">
            <v>446478</v>
          </cell>
          <cell r="F1110" t="str">
            <v>Femme</v>
          </cell>
        </row>
        <row r="1111">
          <cell r="D1111">
            <v>175080</v>
          </cell>
          <cell r="F1111" t="str">
            <v>Femme</v>
          </cell>
        </row>
        <row r="1112">
          <cell r="D1112">
            <v>404736</v>
          </cell>
          <cell r="F1112" t="str">
            <v>Femme</v>
          </cell>
        </row>
        <row r="1113">
          <cell r="D1113">
            <v>180374</v>
          </cell>
          <cell r="F1113" t="str">
            <v>Homme</v>
          </cell>
        </row>
        <row r="1114">
          <cell r="D1114">
            <v>316774</v>
          </cell>
          <cell r="F1114" t="str">
            <v>Femme</v>
          </cell>
        </row>
        <row r="1115">
          <cell r="D1115">
            <v>375973</v>
          </cell>
          <cell r="F1115" t="str">
            <v>Homme</v>
          </cell>
        </row>
        <row r="1116">
          <cell r="D1116">
            <v>449163</v>
          </cell>
          <cell r="F1116" t="str">
            <v>Femme</v>
          </cell>
        </row>
        <row r="1117">
          <cell r="D1117">
            <v>450508</v>
          </cell>
          <cell r="F1117" t="str">
            <v>Homme</v>
          </cell>
        </row>
        <row r="1118">
          <cell r="D1118">
            <v>202844</v>
          </cell>
          <cell r="F1118" t="str">
            <v>Homme</v>
          </cell>
        </row>
        <row r="1119">
          <cell r="D1119">
            <v>116620</v>
          </cell>
          <cell r="F1119" t="str">
            <v>Femme</v>
          </cell>
        </row>
        <row r="1120">
          <cell r="D1120">
            <v>116619</v>
          </cell>
          <cell r="F1120" t="str">
            <v>Homme</v>
          </cell>
        </row>
        <row r="1121">
          <cell r="D1121">
            <v>143307</v>
          </cell>
          <cell r="F1121" t="str">
            <v>Homme</v>
          </cell>
        </row>
        <row r="1122">
          <cell r="D1122">
            <v>243099</v>
          </cell>
          <cell r="F1122" t="str">
            <v>Homme</v>
          </cell>
        </row>
        <row r="1123">
          <cell r="D1123">
            <v>121946</v>
          </cell>
          <cell r="F1123" t="str">
            <v>Femme</v>
          </cell>
        </row>
        <row r="1124">
          <cell r="D1124">
            <v>450379</v>
          </cell>
          <cell r="F1124" t="str">
            <v>Femme</v>
          </cell>
        </row>
        <row r="1125">
          <cell r="D1125">
            <v>442687</v>
          </cell>
          <cell r="F1125" t="str">
            <v>Femme</v>
          </cell>
        </row>
        <row r="1126">
          <cell r="D1126">
            <v>442688</v>
          </cell>
          <cell r="F1126" t="str">
            <v>Femme</v>
          </cell>
        </row>
        <row r="1127">
          <cell r="D1127">
            <v>417426</v>
          </cell>
          <cell r="F1127" t="str">
            <v>Femme</v>
          </cell>
        </row>
        <row r="1128">
          <cell r="D1128">
            <v>433426</v>
          </cell>
          <cell r="F1128" t="str">
            <v>Femme</v>
          </cell>
        </row>
        <row r="1129">
          <cell r="D1129">
            <v>437184</v>
          </cell>
          <cell r="F1129" t="str">
            <v>Homme</v>
          </cell>
        </row>
        <row r="1130">
          <cell r="D1130">
            <v>290427</v>
          </cell>
          <cell r="F1130" t="str">
            <v>Homme</v>
          </cell>
        </row>
        <row r="1131">
          <cell r="D1131">
            <v>450389</v>
          </cell>
          <cell r="F1131" t="str">
            <v>Femme</v>
          </cell>
        </row>
        <row r="1132">
          <cell r="D1132">
            <v>388451</v>
          </cell>
          <cell r="F1132" t="str">
            <v>Femme</v>
          </cell>
        </row>
        <row r="1133">
          <cell r="D1133">
            <v>140664</v>
          </cell>
          <cell r="F1133" t="str">
            <v>Femme</v>
          </cell>
        </row>
        <row r="1134">
          <cell r="D1134">
            <v>128941</v>
          </cell>
          <cell r="F1134" t="str">
            <v>Homme</v>
          </cell>
        </row>
        <row r="1135">
          <cell r="D1135">
            <v>449303</v>
          </cell>
          <cell r="F1135" t="str">
            <v>Femme</v>
          </cell>
        </row>
        <row r="1136">
          <cell r="D1136">
            <v>450405</v>
          </cell>
          <cell r="F1136" t="str">
            <v>Femme</v>
          </cell>
        </row>
        <row r="1137">
          <cell r="D1137">
            <v>418679</v>
          </cell>
          <cell r="F1137" t="str">
            <v>Homme</v>
          </cell>
        </row>
        <row r="1138">
          <cell r="D1138">
            <v>169832</v>
          </cell>
          <cell r="F1138" t="str">
            <v>Femme</v>
          </cell>
        </row>
        <row r="1139">
          <cell r="D1139">
            <v>449298</v>
          </cell>
          <cell r="F1139" t="str">
            <v>Femme</v>
          </cell>
        </row>
        <row r="1140">
          <cell r="D1140">
            <v>425797</v>
          </cell>
          <cell r="F1140" t="str">
            <v>Homme</v>
          </cell>
        </row>
        <row r="1141">
          <cell r="D1141">
            <v>425798</v>
          </cell>
          <cell r="F1141" t="str">
            <v>Femme</v>
          </cell>
        </row>
        <row r="1142">
          <cell r="D1142">
            <v>443673</v>
          </cell>
          <cell r="F1142" t="str">
            <v>Femme</v>
          </cell>
        </row>
        <row r="1143">
          <cell r="D1143">
            <v>450409</v>
          </cell>
          <cell r="F1143" t="str">
            <v>Homme</v>
          </cell>
        </row>
        <row r="1144">
          <cell r="D1144">
            <v>442686</v>
          </cell>
          <cell r="F1144" t="str">
            <v>Homme</v>
          </cell>
        </row>
        <row r="1145">
          <cell r="D1145">
            <v>191501</v>
          </cell>
          <cell r="F1145" t="str">
            <v>Homme</v>
          </cell>
        </row>
        <row r="1146">
          <cell r="D1146">
            <v>359432</v>
          </cell>
          <cell r="F1146" t="str">
            <v>Femme</v>
          </cell>
        </row>
        <row r="1147">
          <cell r="D1147">
            <v>433425</v>
          </cell>
          <cell r="F1147" t="str">
            <v>Homme</v>
          </cell>
        </row>
        <row r="1148">
          <cell r="D1148">
            <v>446209</v>
          </cell>
          <cell r="F1148" t="str">
            <v>Femme</v>
          </cell>
        </row>
        <row r="1149">
          <cell r="D1149">
            <v>449311</v>
          </cell>
          <cell r="F1149" t="str">
            <v>Femme</v>
          </cell>
        </row>
        <row r="1150">
          <cell r="D1150">
            <v>446959</v>
          </cell>
          <cell r="F1150" t="str">
            <v>Femme</v>
          </cell>
        </row>
        <row r="1151">
          <cell r="D1151">
            <v>446212</v>
          </cell>
          <cell r="F1151" t="str">
            <v>Homme</v>
          </cell>
        </row>
        <row r="1152">
          <cell r="D1152">
            <v>180894</v>
          </cell>
          <cell r="F1152" t="str">
            <v>Homme</v>
          </cell>
        </row>
        <row r="1153">
          <cell r="D1153">
            <v>450511</v>
          </cell>
          <cell r="F1153" t="str">
            <v>Homme</v>
          </cell>
        </row>
        <row r="1154">
          <cell r="D1154">
            <v>446967</v>
          </cell>
          <cell r="F1154" t="str">
            <v>Homme</v>
          </cell>
        </row>
        <row r="1155">
          <cell r="D1155">
            <v>118556</v>
          </cell>
          <cell r="F1155" t="str">
            <v>Femme</v>
          </cell>
        </row>
        <row r="1156">
          <cell r="D1156">
            <v>446409</v>
          </cell>
          <cell r="F1156" t="str">
            <v>Homme</v>
          </cell>
        </row>
        <row r="1157">
          <cell r="D1157">
            <v>442689</v>
          </cell>
          <cell r="F1157" t="str">
            <v>Femme</v>
          </cell>
        </row>
        <row r="1158">
          <cell r="D1158">
            <v>449300</v>
          </cell>
          <cell r="F1158" t="str">
            <v>Homme</v>
          </cell>
        </row>
        <row r="1159">
          <cell r="D1159">
            <v>433601</v>
          </cell>
          <cell r="F1159" t="str">
            <v>Femme</v>
          </cell>
        </row>
        <row r="1160">
          <cell r="D1160">
            <v>446217</v>
          </cell>
          <cell r="F1160" t="str">
            <v>Femme</v>
          </cell>
        </row>
        <row r="1161">
          <cell r="D1161">
            <v>116803</v>
          </cell>
          <cell r="F1161" t="str">
            <v>Femme</v>
          </cell>
        </row>
        <row r="1162">
          <cell r="D1162">
            <v>412956</v>
          </cell>
          <cell r="F1162" t="str">
            <v>Homme</v>
          </cell>
        </row>
        <row r="1163">
          <cell r="D1163">
            <v>359431</v>
          </cell>
          <cell r="F1163" t="str">
            <v>Femme</v>
          </cell>
        </row>
        <row r="1164">
          <cell r="D1164">
            <v>444380</v>
          </cell>
          <cell r="F1164" t="str">
            <v>Femme</v>
          </cell>
        </row>
        <row r="1165">
          <cell r="D1165">
            <v>443672</v>
          </cell>
          <cell r="F1165" t="str">
            <v>Homme</v>
          </cell>
        </row>
        <row r="1166">
          <cell r="D1166">
            <v>196258</v>
          </cell>
          <cell r="F1166" t="str">
            <v>Femme</v>
          </cell>
        </row>
        <row r="1167">
          <cell r="D1167">
            <v>446215</v>
          </cell>
          <cell r="F1167" t="str">
            <v>Femme</v>
          </cell>
        </row>
        <row r="1168">
          <cell r="D1168">
            <v>131173</v>
          </cell>
          <cell r="F1168" t="str">
            <v>Femme</v>
          </cell>
        </row>
        <row r="1169">
          <cell r="D1169">
            <v>450510</v>
          </cell>
          <cell r="F1169" t="str">
            <v>Homme</v>
          </cell>
        </row>
        <row r="1170">
          <cell r="D1170">
            <v>272240</v>
          </cell>
          <cell r="F1170" t="str">
            <v>Homme</v>
          </cell>
        </row>
        <row r="1171">
          <cell r="D1171">
            <v>183754</v>
          </cell>
          <cell r="F1171" t="str">
            <v>Homme</v>
          </cell>
        </row>
        <row r="1172">
          <cell r="D1172">
            <v>431210</v>
          </cell>
          <cell r="F1172" t="str">
            <v>Femme</v>
          </cell>
        </row>
        <row r="1173">
          <cell r="D1173">
            <v>269327</v>
          </cell>
          <cell r="F1173" t="str">
            <v>Femme</v>
          </cell>
        </row>
        <row r="1174">
          <cell r="D1174">
            <v>444880</v>
          </cell>
          <cell r="F1174" t="str">
            <v>Femme</v>
          </cell>
        </row>
        <row r="1175">
          <cell r="D1175">
            <v>143350</v>
          </cell>
          <cell r="F1175" t="str">
            <v>Femme</v>
          </cell>
        </row>
        <row r="1176">
          <cell r="D1176">
            <v>404737</v>
          </cell>
          <cell r="F1176" t="str">
            <v>Femme</v>
          </cell>
        </row>
        <row r="1177">
          <cell r="D1177">
            <v>437186</v>
          </cell>
          <cell r="F1177" t="str">
            <v>Homme</v>
          </cell>
        </row>
        <row r="1178">
          <cell r="D1178">
            <v>444286</v>
          </cell>
          <cell r="F1178" t="str">
            <v>Homme</v>
          </cell>
        </row>
        <row r="1179">
          <cell r="D1179">
            <v>191493</v>
          </cell>
          <cell r="F1179" t="str">
            <v>Femme</v>
          </cell>
        </row>
        <row r="1180">
          <cell r="D1180">
            <v>450868</v>
          </cell>
          <cell r="F1180" t="str">
            <v>Homme</v>
          </cell>
        </row>
        <row r="1181">
          <cell r="D1181">
            <v>444391</v>
          </cell>
          <cell r="F1181" t="str">
            <v>Femme</v>
          </cell>
        </row>
        <row r="1182">
          <cell r="D1182">
            <v>450509</v>
          </cell>
          <cell r="F1182" t="str">
            <v>Homme</v>
          </cell>
        </row>
        <row r="1183">
          <cell r="D1183">
            <v>218698</v>
          </cell>
          <cell r="F1183" t="str">
            <v>Homme</v>
          </cell>
        </row>
        <row r="1184">
          <cell r="D1184">
            <v>229212</v>
          </cell>
          <cell r="F1184" t="str">
            <v>Homme</v>
          </cell>
        </row>
        <row r="1185">
          <cell r="D1185">
            <v>442140</v>
          </cell>
          <cell r="F1185" t="str">
            <v>Femme</v>
          </cell>
        </row>
        <row r="1186">
          <cell r="D1186">
            <v>443670</v>
          </cell>
          <cell r="F1186" t="str">
            <v>Femme</v>
          </cell>
        </row>
        <row r="1187">
          <cell r="D1187">
            <v>379565</v>
          </cell>
          <cell r="F1187" t="str">
            <v>Femme</v>
          </cell>
        </row>
        <row r="1188">
          <cell r="D1188">
            <v>449302</v>
          </cell>
          <cell r="F1188" t="str">
            <v>Femme</v>
          </cell>
        </row>
        <row r="1189">
          <cell r="D1189">
            <v>439123</v>
          </cell>
          <cell r="F1189" t="str">
            <v>Femme</v>
          </cell>
        </row>
        <row r="1190">
          <cell r="D1190">
            <v>444284</v>
          </cell>
          <cell r="F1190" t="str">
            <v>Homme</v>
          </cell>
        </row>
        <row r="1191">
          <cell r="D1191">
            <v>450407</v>
          </cell>
          <cell r="F1191" t="str">
            <v>Femme</v>
          </cell>
        </row>
        <row r="1192">
          <cell r="D1192">
            <v>375360</v>
          </cell>
          <cell r="F1192" t="str">
            <v>Femme</v>
          </cell>
        </row>
        <row r="1193">
          <cell r="D1193">
            <v>446480</v>
          </cell>
          <cell r="F1193" t="str">
            <v>Femme</v>
          </cell>
        </row>
        <row r="1194">
          <cell r="D1194">
            <v>444285</v>
          </cell>
          <cell r="F1194" t="str">
            <v>Homme</v>
          </cell>
        </row>
        <row r="1195">
          <cell r="D1195">
            <v>450391</v>
          </cell>
          <cell r="F1195" t="str">
            <v>Homme</v>
          </cell>
        </row>
        <row r="1196">
          <cell r="D1196">
            <v>450411</v>
          </cell>
          <cell r="F1196" t="str">
            <v>Femme</v>
          </cell>
        </row>
        <row r="1197">
          <cell r="D1197">
            <v>450386</v>
          </cell>
          <cell r="F1197" t="str">
            <v>Homme</v>
          </cell>
        </row>
        <row r="1198">
          <cell r="D1198">
            <v>450387</v>
          </cell>
          <cell r="F1198" t="str">
            <v>Homme</v>
          </cell>
        </row>
        <row r="1199">
          <cell r="D1199">
            <v>446210</v>
          </cell>
          <cell r="F1199" t="str">
            <v>Femme</v>
          </cell>
        </row>
        <row r="1200">
          <cell r="D1200">
            <v>411543</v>
          </cell>
          <cell r="F1200" t="str">
            <v>Femme</v>
          </cell>
        </row>
        <row r="1201">
          <cell r="D1201">
            <v>392751</v>
          </cell>
          <cell r="F1201" t="str">
            <v>Femme</v>
          </cell>
        </row>
        <row r="1202">
          <cell r="D1202">
            <v>261516</v>
          </cell>
          <cell r="F1202" t="str">
            <v>Femme</v>
          </cell>
        </row>
        <row r="1203">
          <cell r="D1203">
            <v>220993</v>
          </cell>
          <cell r="F1203" t="str">
            <v>Femme</v>
          </cell>
        </row>
        <row r="1204">
          <cell r="D1204">
            <v>437191</v>
          </cell>
          <cell r="F1204" t="str">
            <v>Homme</v>
          </cell>
        </row>
        <row r="1205">
          <cell r="D1205">
            <v>116720</v>
          </cell>
          <cell r="F1205" t="str">
            <v>Homme</v>
          </cell>
        </row>
        <row r="1206">
          <cell r="D1206">
            <v>331135</v>
          </cell>
          <cell r="F1206" t="str">
            <v>Femme</v>
          </cell>
        </row>
        <row r="1207">
          <cell r="D1207">
            <v>147660</v>
          </cell>
          <cell r="F1207" t="str">
            <v>Femme</v>
          </cell>
        </row>
        <row r="1208">
          <cell r="D1208">
            <v>357551</v>
          </cell>
          <cell r="F1208" t="str">
            <v>Homme</v>
          </cell>
        </row>
        <row r="1209">
          <cell r="D1209">
            <v>147656</v>
          </cell>
          <cell r="F1209" t="str">
            <v>Homme</v>
          </cell>
        </row>
        <row r="1210">
          <cell r="D1210">
            <v>170367</v>
          </cell>
          <cell r="F1210" t="str">
            <v>Homme</v>
          </cell>
        </row>
        <row r="1211">
          <cell r="D1211">
            <v>229169</v>
          </cell>
          <cell r="F1211" t="str">
            <v>Homme</v>
          </cell>
        </row>
        <row r="1212">
          <cell r="D1212">
            <v>444764</v>
          </cell>
          <cell r="F1212" t="str">
            <v>Femme</v>
          </cell>
        </row>
        <row r="1213">
          <cell r="D1213">
            <v>346436</v>
          </cell>
          <cell r="F1213" t="str">
            <v>Femme</v>
          </cell>
        </row>
        <row r="1214">
          <cell r="D1214">
            <v>191927</v>
          </cell>
          <cell r="F1214" t="str">
            <v>Femme</v>
          </cell>
        </row>
        <row r="1215">
          <cell r="D1215">
            <v>273224</v>
          </cell>
          <cell r="F1215" t="str">
            <v>Femme</v>
          </cell>
        </row>
        <row r="1216">
          <cell r="D1216">
            <v>128971</v>
          </cell>
          <cell r="F1216" t="str">
            <v>Homme</v>
          </cell>
        </row>
        <row r="1217">
          <cell r="D1217">
            <v>301522</v>
          </cell>
          <cell r="F1217" t="str">
            <v>Femme</v>
          </cell>
        </row>
        <row r="1218">
          <cell r="D1218">
            <v>449160</v>
          </cell>
          <cell r="F1218" t="str">
            <v>Femme</v>
          </cell>
        </row>
        <row r="1219">
          <cell r="D1219">
            <v>213465</v>
          </cell>
          <cell r="F1219" t="str">
            <v>Homme</v>
          </cell>
        </row>
        <row r="1220">
          <cell r="D1220">
            <v>191499</v>
          </cell>
          <cell r="F1220" t="str">
            <v>Femme</v>
          </cell>
        </row>
        <row r="1221">
          <cell r="D1221">
            <v>443674</v>
          </cell>
          <cell r="F1221" t="str">
            <v>Homme</v>
          </cell>
        </row>
        <row r="1222">
          <cell r="D1222">
            <v>449299</v>
          </cell>
          <cell r="F1222" t="str">
            <v>Femme</v>
          </cell>
        </row>
        <row r="1223">
          <cell r="D1223">
            <v>112221</v>
          </cell>
          <cell r="F1223" t="str">
            <v>Femme</v>
          </cell>
        </row>
        <row r="1224">
          <cell r="D1224">
            <v>240802</v>
          </cell>
          <cell r="F1224" t="str">
            <v>Homme</v>
          </cell>
        </row>
        <row r="1225">
          <cell r="D1225">
            <v>405476</v>
          </cell>
          <cell r="F1225" t="str">
            <v>Femme</v>
          </cell>
        </row>
        <row r="1226">
          <cell r="D1226">
            <v>450393</v>
          </cell>
          <cell r="F1226" t="str">
            <v>Femme</v>
          </cell>
        </row>
        <row r="1227">
          <cell r="D1227">
            <v>433419</v>
          </cell>
          <cell r="F1227" t="str">
            <v>Femme</v>
          </cell>
        </row>
        <row r="1228">
          <cell r="D1228">
            <v>417456</v>
          </cell>
          <cell r="F1228" t="str">
            <v>Homme</v>
          </cell>
        </row>
        <row r="1229">
          <cell r="D1229">
            <v>450382</v>
          </cell>
          <cell r="F1229" t="str">
            <v>Femme</v>
          </cell>
        </row>
        <row r="1230">
          <cell r="D1230">
            <v>425267</v>
          </cell>
          <cell r="F1230" t="str">
            <v>Homme</v>
          </cell>
        </row>
        <row r="1231">
          <cell r="D1231">
            <v>449309</v>
          </cell>
          <cell r="F1231" t="str">
            <v>Femme</v>
          </cell>
        </row>
        <row r="1232">
          <cell r="D1232">
            <v>218697</v>
          </cell>
          <cell r="F1232" t="str">
            <v>Homme</v>
          </cell>
        </row>
        <row r="1233">
          <cell r="D1233">
            <v>275023</v>
          </cell>
          <cell r="F1233" t="str">
            <v>Homme</v>
          </cell>
        </row>
        <row r="1234">
          <cell r="D1234">
            <v>418244</v>
          </cell>
          <cell r="F1234" t="str">
            <v>Homme</v>
          </cell>
        </row>
        <row r="1235">
          <cell r="D1235">
            <v>444763</v>
          </cell>
          <cell r="F1235" t="str">
            <v>Homme</v>
          </cell>
        </row>
        <row r="1236">
          <cell r="D1236">
            <v>450512</v>
          </cell>
          <cell r="F1236" t="str">
            <v>Femme</v>
          </cell>
        </row>
        <row r="1237">
          <cell r="D1237">
            <v>444390</v>
          </cell>
          <cell r="F1237" t="str">
            <v>Femme</v>
          </cell>
        </row>
        <row r="1238">
          <cell r="D1238">
            <v>450414</v>
          </cell>
          <cell r="F1238" t="str">
            <v>Homme</v>
          </cell>
        </row>
        <row r="1239">
          <cell r="D1239">
            <v>196296</v>
          </cell>
          <cell r="F1239" t="str">
            <v>Femme</v>
          </cell>
        </row>
        <row r="1240">
          <cell r="D1240">
            <v>418651</v>
          </cell>
          <cell r="F1240" t="str">
            <v>Homme</v>
          </cell>
        </row>
        <row r="1241">
          <cell r="D1241">
            <v>439116</v>
          </cell>
          <cell r="F1241" t="str">
            <v>Femme</v>
          </cell>
        </row>
        <row r="1242">
          <cell r="D1242">
            <v>446216</v>
          </cell>
          <cell r="F1242" t="str">
            <v>Homme</v>
          </cell>
        </row>
        <row r="1243">
          <cell r="D1243">
            <v>385506</v>
          </cell>
          <cell r="F1243" t="str">
            <v>Femme</v>
          </cell>
        </row>
        <row r="1244">
          <cell r="D1244">
            <v>446969</v>
          </cell>
          <cell r="F1244" t="str">
            <v>Homme</v>
          </cell>
        </row>
        <row r="1245">
          <cell r="D1245">
            <v>302185</v>
          </cell>
          <cell r="F1245" t="str">
            <v>Femme</v>
          </cell>
        </row>
        <row r="1246">
          <cell r="D1246">
            <v>422398</v>
          </cell>
          <cell r="F1246" t="str">
            <v>Femme</v>
          </cell>
        </row>
        <row r="1247">
          <cell r="D1247">
            <v>433606</v>
          </cell>
          <cell r="F1247" t="str">
            <v>Femme</v>
          </cell>
        </row>
        <row r="1248">
          <cell r="D1248">
            <v>254334</v>
          </cell>
          <cell r="F1248" t="str">
            <v>Femme</v>
          </cell>
        </row>
        <row r="1249">
          <cell r="D1249">
            <v>449307</v>
          </cell>
          <cell r="F1249" t="str">
            <v>Femme</v>
          </cell>
        </row>
        <row r="1250">
          <cell r="D1250">
            <v>191016</v>
          </cell>
          <cell r="F1250" t="str">
            <v>Homme</v>
          </cell>
        </row>
        <row r="1251">
          <cell r="D1251">
            <v>175054</v>
          </cell>
          <cell r="F1251" t="str">
            <v>Femme</v>
          </cell>
        </row>
        <row r="1252">
          <cell r="D1252">
            <v>439114</v>
          </cell>
          <cell r="F1252" t="str">
            <v>Femme</v>
          </cell>
        </row>
        <row r="1253">
          <cell r="D1253">
            <v>449316</v>
          </cell>
          <cell r="F1253" t="str">
            <v>Femme</v>
          </cell>
        </row>
        <row r="1254">
          <cell r="D1254">
            <v>170460</v>
          </cell>
          <cell r="F1254" t="str">
            <v>Homme</v>
          </cell>
        </row>
        <row r="1255">
          <cell r="D1255">
            <v>446408</v>
          </cell>
          <cell r="F1255" t="str">
            <v>Femme</v>
          </cell>
        </row>
        <row r="1256">
          <cell r="D1256">
            <v>203797</v>
          </cell>
          <cell r="F1256" t="str">
            <v>Homme</v>
          </cell>
        </row>
        <row r="1257">
          <cell r="D1257">
            <v>267308</v>
          </cell>
          <cell r="F1257" t="str">
            <v>Femme</v>
          </cell>
        </row>
        <row r="1258">
          <cell r="D1258">
            <v>299317</v>
          </cell>
          <cell r="F1258" t="str">
            <v>Femme</v>
          </cell>
        </row>
        <row r="1259">
          <cell r="D1259">
            <v>450864</v>
          </cell>
          <cell r="F1259" t="str">
            <v>Homme</v>
          </cell>
        </row>
        <row r="1260">
          <cell r="D1260">
            <v>245902</v>
          </cell>
          <cell r="F1260" t="str">
            <v>Femme</v>
          </cell>
        </row>
        <row r="1261">
          <cell r="D1261">
            <v>169873</v>
          </cell>
          <cell r="F1261" t="str">
            <v>Femme</v>
          </cell>
        </row>
        <row r="1262">
          <cell r="D1262">
            <v>446958</v>
          </cell>
          <cell r="F1262" t="str">
            <v>Homme</v>
          </cell>
        </row>
        <row r="1263">
          <cell r="D1263">
            <v>290426</v>
          </cell>
          <cell r="F1263" t="str">
            <v>Femme</v>
          </cell>
        </row>
        <row r="1264">
          <cell r="D1264">
            <v>417199</v>
          </cell>
          <cell r="F1264" t="str">
            <v>Femme</v>
          </cell>
        </row>
        <row r="1265">
          <cell r="D1265">
            <v>273221</v>
          </cell>
          <cell r="F1265" t="str">
            <v>Femme</v>
          </cell>
        </row>
        <row r="1266">
          <cell r="D1266">
            <v>444385</v>
          </cell>
          <cell r="F1266" t="str">
            <v>Homme</v>
          </cell>
        </row>
        <row r="1267">
          <cell r="D1267">
            <v>450403</v>
          </cell>
          <cell r="F1267" t="str">
            <v>Femme</v>
          </cell>
        </row>
        <row r="1268">
          <cell r="D1268">
            <v>259488</v>
          </cell>
          <cell r="F1268" t="str">
            <v>Femme</v>
          </cell>
        </row>
        <row r="1269">
          <cell r="D1269">
            <v>376846</v>
          </cell>
          <cell r="F1269" t="str">
            <v>Femme</v>
          </cell>
        </row>
        <row r="1270">
          <cell r="D1270">
            <v>450395</v>
          </cell>
          <cell r="F1270" t="str">
            <v>Femme</v>
          </cell>
        </row>
        <row r="1271">
          <cell r="D1271">
            <v>351897</v>
          </cell>
          <cell r="F1271" t="str">
            <v>Femme</v>
          </cell>
        </row>
        <row r="1272">
          <cell r="D1272">
            <v>446964</v>
          </cell>
          <cell r="F1272" t="str">
            <v>Femme</v>
          </cell>
        </row>
        <row r="1273">
          <cell r="D1273">
            <v>446965</v>
          </cell>
          <cell r="F1273" t="str">
            <v>Femme</v>
          </cell>
        </row>
        <row r="1274">
          <cell r="D1274">
            <v>391457</v>
          </cell>
          <cell r="F1274" t="str">
            <v>Homme</v>
          </cell>
        </row>
        <row r="1275">
          <cell r="D1275">
            <v>432596</v>
          </cell>
          <cell r="F1275" t="str">
            <v>Femme</v>
          </cell>
        </row>
        <row r="1276">
          <cell r="D1276">
            <v>444886</v>
          </cell>
          <cell r="F1276" t="str">
            <v>Homme</v>
          </cell>
        </row>
        <row r="1277">
          <cell r="D1277">
            <v>350438</v>
          </cell>
          <cell r="F1277" t="str">
            <v>Femme</v>
          </cell>
        </row>
        <row r="1278">
          <cell r="D1278">
            <v>147601</v>
          </cell>
          <cell r="F1278" t="str">
            <v>Homme</v>
          </cell>
        </row>
        <row r="1279">
          <cell r="D1279">
            <v>444375</v>
          </cell>
          <cell r="F1279" t="str">
            <v>Femme</v>
          </cell>
        </row>
        <row r="1280">
          <cell r="D1280">
            <v>193388</v>
          </cell>
          <cell r="F1280" t="str">
            <v>Homme</v>
          </cell>
        </row>
        <row r="1281">
          <cell r="D1281">
            <v>450377</v>
          </cell>
          <cell r="F1281" t="str">
            <v>Homme</v>
          </cell>
        </row>
        <row r="1282">
          <cell r="D1282">
            <v>450417</v>
          </cell>
          <cell r="F1282" t="str">
            <v>Femme</v>
          </cell>
        </row>
        <row r="1283">
          <cell r="D1283">
            <v>170376</v>
          </cell>
          <cell r="F1283" t="str">
            <v>Femme</v>
          </cell>
        </row>
        <row r="1284">
          <cell r="D1284">
            <v>254335</v>
          </cell>
          <cell r="F1284" t="str">
            <v>Femme</v>
          </cell>
        </row>
        <row r="1285">
          <cell r="D1285">
            <v>211299</v>
          </cell>
          <cell r="F1285" t="str">
            <v>Femme</v>
          </cell>
        </row>
        <row r="1286">
          <cell r="D1286">
            <v>332496</v>
          </cell>
          <cell r="F1286" t="str">
            <v>Homme</v>
          </cell>
        </row>
        <row r="1287">
          <cell r="D1287">
            <v>449310</v>
          </cell>
          <cell r="F1287" t="str">
            <v>Femme</v>
          </cell>
        </row>
        <row r="1288">
          <cell r="D1288">
            <v>203832</v>
          </cell>
          <cell r="F1288" t="str">
            <v>Femme</v>
          </cell>
        </row>
        <row r="1289">
          <cell r="D1289">
            <v>147534</v>
          </cell>
          <cell r="F1289" t="str">
            <v>Femme</v>
          </cell>
        </row>
        <row r="1290">
          <cell r="D1290">
            <v>403713</v>
          </cell>
          <cell r="F1290" t="str">
            <v>Femme</v>
          </cell>
        </row>
        <row r="1291">
          <cell r="D1291">
            <v>128919</v>
          </cell>
          <cell r="F1291" t="str">
            <v>Homme</v>
          </cell>
        </row>
        <row r="1292">
          <cell r="D1292">
            <v>450416</v>
          </cell>
          <cell r="F1292" t="str">
            <v>Femme</v>
          </cell>
        </row>
        <row r="1293">
          <cell r="D1293">
            <v>170422</v>
          </cell>
          <cell r="F1293" t="str">
            <v>Homme</v>
          </cell>
        </row>
        <row r="1294">
          <cell r="D1294">
            <v>364524</v>
          </cell>
          <cell r="F1294" t="str">
            <v>Homme</v>
          </cell>
        </row>
        <row r="1295">
          <cell r="D1295">
            <v>432595</v>
          </cell>
          <cell r="F1295" t="str">
            <v>Femme</v>
          </cell>
        </row>
        <row r="1296">
          <cell r="D1296">
            <v>235563</v>
          </cell>
          <cell r="F1296" t="str">
            <v>Femme</v>
          </cell>
        </row>
        <row r="1297">
          <cell r="D1297">
            <v>443676</v>
          </cell>
          <cell r="F1297" t="str">
            <v>Femme</v>
          </cell>
        </row>
        <row r="1298">
          <cell r="D1298">
            <v>273936</v>
          </cell>
          <cell r="F1298" t="str">
            <v>Femme</v>
          </cell>
        </row>
        <row r="1299">
          <cell r="D1299">
            <v>304345</v>
          </cell>
          <cell r="F1299" t="str">
            <v>Femme</v>
          </cell>
        </row>
        <row r="1300">
          <cell r="D1300">
            <v>450513</v>
          </cell>
          <cell r="F1300" t="str">
            <v>Homme</v>
          </cell>
        </row>
        <row r="1301">
          <cell r="D1301">
            <v>295006</v>
          </cell>
          <cell r="F1301" t="str">
            <v>Femme</v>
          </cell>
        </row>
        <row r="1302">
          <cell r="D1302">
            <v>450370</v>
          </cell>
          <cell r="F1302" t="str">
            <v>Homme</v>
          </cell>
        </row>
        <row r="1303">
          <cell r="D1303">
            <v>446957</v>
          </cell>
          <cell r="F1303" t="str">
            <v>Femme</v>
          </cell>
        </row>
        <row r="1304">
          <cell r="D1304">
            <v>190800</v>
          </cell>
          <cell r="F1304" t="str">
            <v>Femme</v>
          </cell>
        </row>
        <row r="1305">
          <cell r="D1305">
            <v>287504</v>
          </cell>
          <cell r="F1305" t="str">
            <v>Homme</v>
          </cell>
        </row>
        <row r="1306">
          <cell r="D1306">
            <v>118557</v>
          </cell>
          <cell r="F1306" t="str">
            <v>Femme</v>
          </cell>
        </row>
        <row r="1307">
          <cell r="D1307">
            <v>175084</v>
          </cell>
          <cell r="F1307" t="str">
            <v>Femme</v>
          </cell>
        </row>
        <row r="1308">
          <cell r="D1308">
            <v>449313</v>
          </cell>
          <cell r="F1308" t="str">
            <v>Homme</v>
          </cell>
        </row>
        <row r="1309">
          <cell r="D1309">
            <v>450867</v>
          </cell>
          <cell r="F1309" t="str">
            <v>Homme</v>
          </cell>
        </row>
        <row r="1310">
          <cell r="D1310">
            <v>131133</v>
          </cell>
          <cell r="F1310" t="str">
            <v>Homme</v>
          </cell>
        </row>
        <row r="1311">
          <cell r="D1311">
            <v>444377</v>
          </cell>
          <cell r="F1311" t="str">
            <v>Homme</v>
          </cell>
        </row>
        <row r="1312">
          <cell r="D1312">
            <v>375977</v>
          </cell>
          <cell r="F1312" t="str">
            <v>Femme</v>
          </cell>
        </row>
        <row r="1313">
          <cell r="D1313">
            <v>128966</v>
          </cell>
          <cell r="F1313" t="str">
            <v>Femme</v>
          </cell>
        </row>
        <row r="1314">
          <cell r="D1314">
            <v>391464</v>
          </cell>
          <cell r="F1314" t="str">
            <v>Homme</v>
          </cell>
        </row>
        <row r="1315">
          <cell r="D1315">
            <v>449297</v>
          </cell>
          <cell r="F1315" t="str">
            <v>Homme</v>
          </cell>
        </row>
        <row r="1316">
          <cell r="D1316">
            <v>446971</v>
          </cell>
          <cell r="F1316" t="str">
            <v>Femme</v>
          </cell>
        </row>
        <row r="1317">
          <cell r="D1317">
            <v>384800</v>
          </cell>
          <cell r="F1317" t="str">
            <v>Femme</v>
          </cell>
        </row>
        <row r="1318">
          <cell r="D1318">
            <v>274971</v>
          </cell>
          <cell r="F1318" t="str">
            <v>Femme</v>
          </cell>
        </row>
        <row r="1319">
          <cell r="D1319">
            <v>426371</v>
          </cell>
          <cell r="F1319" t="str">
            <v>Femme</v>
          </cell>
        </row>
        <row r="1320">
          <cell r="D1320">
            <v>450410</v>
          </cell>
          <cell r="F1320" t="str">
            <v>Homme</v>
          </cell>
        </row>
        <row r="1321">
          <cell r="D1321">
            <v>437193</v>
          </cell>
          <cell r="F1321" t="str">
            <v>Homme</v>
          </cell>
        </row>
        <row r="1322">
          <cell r="D1322">
            <v>143309</v>
          </cell>
          <cell r="F1322" t="str">
            <v>Femme</v>
          </cell>
        </row>
        <row r="1323">
          <cell r="D1323">
            <v>443280</v>
          </cell>
          <cell r="F1323" t="str">
            <v>Femme</v>
          </cell>
        </row>
        <row r="1324">
          <cell r="D1324">
            <v>450865</v>
          </cell>
          <cell r="F1324" t="str">
            <v>Homme</v>
          </cell>
        </row>
        <row r="1325">
          <cell r="D1325">
            <v>446213</v>
          </cell>
          <cell r="F1325" t="str">
            <v>Homme</v>
          </cell>
        </row>
        <row r="1326">
          <cell r="D1326">
            <v>450384</v>
          </cell>
          <cell r="F1326" t="str">
            <v>Homme</v>
          </cell>
        </row>
        <row r="1327">
          <cell r="D1327">
            <v>442680</v>
          </cell>
          <cell r="F1327" t="str">
            <v>Femme</v>
          </cell>
        </row>
        <row r="1328">
          <cell r="D1328">
            <v>449312</v>
          </cell>
          <cell r="F1328" t="str">
            <v>Femme</v>
          </cell>
        </row>
        <row r="1329">
          <cell r="D1329">
            <v>412949</v>
          </cell>
          <cell r="F1329" t="str">
            <v>Femme</v>
          </cell>
        </row>
        <row r="1330">
          <cell r="D1330">
            <v>128947</v>
          </cell>
          <cell r="F1330" t="str">
            <v>Homme</v>
          </cell>
        </row>
        <row r="1331">
          <cell r="D1331">
            <v>408173</v>
          </cell>
          <cell r="F1331" t="str">
            <v>Homme</v>
          </cell>
        </row>
        <row r="1332">
          <cell r="D1332">
            <v>390226</v>
          </cell>
          <cell r="F1332" t="str">
            <v>Femme</v>
          </cell>
        </row>
        <row r="1333">
          <cell r="D1333">
            <v>444386</v>
          </cell>
          <cell r="F1333" t="str">
            <v>Femme</v>
          </cell>
        </row>
        <row r="1334">
          <cell r="D1334">
            <v>420938</v>
          </cell>
          <cell r="F1334" t="str">
            <v>Homme</v>
          </cell>
        </row>
        <row r="1335">
          <cell r="D1335">
            <v>223731</v>
          </cell>
          <cell r="F1335" t="str">
            <v>Femme</v>
          </cell>
        </row>
        <row r="1336">
          <cell r="D1336">
            <v>433421</v>
          </cell>
          <cell r="F1336" t="str">
            <v>Femme</v>
          </cell>
        </row>
        <row r="1337">
          <cell r="D1337">
            <v>202869</v>
          </cell>
          <cell r="F1337" t="str">
            <v>Femme</v>
          </cell>
        </row>
        <row r="1338">
          <cell r="D1338">
            <v>240794</v>
          </cell>
          <cell r="F1338" t="str">
            <v>Femme</v>
          </cell>
        </row>
        <row r="1339">
          <cell r="D1339">
            <v>443286</v>
          </cell>
          <cell r="F1339" t="str">
            <v>Femme</v>
          </cell>
        </row>
        <row r="1340">
          <cell r="D1340">
            <v>444765</v>
          </cell>
          <cell r="F1340" t="str">
            <v>Homme</v>
          </cell>
        </row>
        <row r="1341">
          <cell r="D1341">
            <v>450401</v>
          </cell>
          <cell r="F1341" t="str">
            <v>Femme</v>
          </cell>
        </row>
        <row r="1342">
          <cell r="D1342">
            <v>116777</v>
          </cell>
          <cell r="F1342" t="str">
            <v>Homme</v>
          </cell>
        </row>
        <row r="1343">
          <cell r="D1343">
            <v>446218</v>
          </cell>
          <cell r="F1343" t="str">
            <v>Femme</v>
          </cell>
        </row>
        <row r="1344">
          <cell r="D1344">
            <v>446403</v>
          </cell>
          <cell r="F1344" t="str">
            <v>Femme</v>
          </cell>
        </row>
        <row r="1345">
          <cell r="D1345">
            <v>433072</v>
          </cell>
          <cell r="F1345" t="str">
            <v>Femme</v>
          </cell>
        </row>
        <row r="1346">
          <cell r="D1346">
            <v>442142</v>
          </cell>
          <cell r="F1346" t="str">
            <v>Homme</v>
          </cell>
        </row>
        <row r="1347">
          <cell r="D1347">
            <v>250680</v>
          </cell>
          <cell r="F1347" t="str">
            <v>Femme</v>
          </cell>
        </row>
        <row r="1348">
          <cell r="D1348">
            <v>299674</v>
          </cell>
          <cell r="F1348" t="str">
            <v>Homme</v>
          </cell>
        </row>
        <row r="1349">
          <cell r="D1349">
            <v>383458</v>
          </cell>
          <cell r="F1349" t="str">
            <v>Femme</v>
          </cell>
        </row>
        <row r="1350">
          <cell r="D1350">
            <v>449306</v>
          </cell>
          <cell r="F1350" t="str">
            <v>Homme</v>
          </cell>
        </row>
        <row r="1351">
          <cell r="D1351">
            <v>444388</v>
          </cell>
          <cell r="F1351" t="str">
            <v>Femme</v>
          </cell>
        </row>
        <row r="1352">
          <cell r="D1352">
            <v>116800</v>
          </cell>
          <cell r="F1352" t="str">
            <v>Femme</v>
          </cell>
        </row>
        <row r="1353">
          <cell r="D1353">
            <v>444881</v>
          </cell>
          <cell r="F1353" t="str">
            <v>Femme</v>
          </cell>
        </row>
        <row r="1354">
          <cell r="D1354">
            <v>450398</v>
          </cell>
          <cell r="F1354" t="str">
            <v>Homme</v>
          </cell>
        </row>
        <row r="1355">
          <cell r="D1355">
            <v>275046</v>
          </cell>
          <cell r="F1355" t="str">
            <v>Femme</v>
          </cell>
        </row>
        <row r="1356">
          <cell r="D1356">
            <v>442685</v>
          </cell>
          <cell r="F1356" t="str">
            <v>Homme</v>
          </cell>
        </row>
        <row r="1357">
          <cell r="D1357">
            <v>444378</v>
          </cell>
          <cell r="F1357" t="str">
            <v>Femme</v>
          </cell>
        </row>
        <row r="1358">
          <cell r="D1358">
            <v>444379</v>
          </cell>
          <cell r="F1358" t="str">
            <v>Homme</v>
          </cell>
        </row>
        <row r="1359">
          <cell r="D1359">
            <v>417193</v>
          </cell>
          <cell r="F1359" t="str">
            <v>Homme</v>
          </cell>
        </row>
        <row r="1360">
          <cell r="D1360">
            <v>416489</v>
          </cell>
          <cell r="F1360" t="str">
            <v>Homme</v>
          </cell>
        </row>
        <row r="1361">
          <cell r="D1361">
            <v>391460</v>
          </cell>
          <cell r="F1361" t="str">
            <v>Femme</v>
          </cell>
        </row>
        <row r="1362">
          <cell r="D1362">
            <v>444382</v>
          </cell>
          <cell r="F1362" t="str">
            <v>Homme</v>
          </cell>
        </row>
        <row r="1363">
          <cell r="D1363">
            <v>450399</v>
          </cell>
          <cell r="F1363" t="str">
            <v>Femme</v>
          </cell>
        </row>
        <row r="1364">
          <cell r="D1364">
            <v>412220</v>
          </cell>
          <cell r="F1364" t="str">
            <v>Femme</v>
          </cell>
        </row>
        <row r="1365">
          <cell r="D1365">
            <v>446559</v>
          </cell>
          <cell r="F1365" t="str">
            <v>Homme</v>
          </cell>
        </row>
        <row r="1366">
          <cell r="D1366">
            <v>402279</v>
          </cell>
          <cell r="F1366" t="str">
            <v>Homme</v>
          </cell>
        </row>
        <row r="1367">
          <cell r="D1367">
            <v>446558</v>
          </cell>
          <cell r="F1367" t="str">
            <v>Femme</v>
          </cell>
        </row>
        <row r="1368">
          <cell r="D1368">
            <v>429344</v>
          </cell>
          <cell r="F1368" t="str">
            <v>Homme</v>
          </cell>
        </row>
        <row r="1369">
          <cell r="D1369">
            <v>415791</v>
          </cell>
          <cell r="F1369" t="str">
            <v>Homme</v>
          </cell>
        </row>
        <row r="1370">
          <cell r="D1370">
            <v>441996</v>
          </cell>
          <cell r="F1370" t="str">
            <v>Femme</v>
          </cell>
        </row>
        <row r="1371">
          <cell r="D1371">
            <v>190040</v>
          </cell>
          <cell r="F1371" t="str">
            <v>Homme</v>
          </cell>
        </row>
        <row r="1372">
          <cell r="D1372">
            <v>97644</v>
          </cell>
          <cell r="F1372" t="str">
            <v>Femme</v>
          </cell>
        </row>
        <row r="1373">
          <cell r="D1373">
            <v>310633</v>
          </cell>
          <cell r="F1373" t="str">
            <v>Homme</v>
          </cell>
        </row>
        <row r="1374">
          <cell r="D1374">
            <v>422166</v>
          </cell>
          <cell r="F1374" t="str">
            <v>Homme</v>
          </cell>
        </row>
        <row r="1375">
          <cell r="D1375">
            <v>413952</v>
          </cell>
          <cell r="F1375" t="str">
            <v>Homme</v>
          </cell>
        </row>
        <row r="1376">
          <cell r="D1376">
            <v>441995</v>
          </cell>
          <cell r="F1376" t="str">
            <v>Femme</v>
          </cell>
        </row>
        <row r="1377">
          <cell r="D1377">
            <v>425109</v>
          </cell>
          <cell r="F1377" t="str">
            <v>Homme</v>
          </cell>
        </row>
        <row r="1378">
          <cell r="D1378">
            <v>439903</v>
          </cell>
          <cell r="F1378" t="str">
            <v>Femme</v>
          </cell>
        </row>
        <row r="1379">
          <cell r="D1379">
            <v>290105</v>
          </cell>
          <cell r="F1379" t="str">
            <v>Femme</v>
          </cell>
        </row>
        <row r="1380">
          <cell r="D1380">
            <v>375101</v>
          </cell>
          <cell r="F1380" t="str">
            <v>Femme</v>
          </cell>
        </row>
        <row r="1381">
          <cell r="D1381">
            <v>75478</v>
          </cell>
          <cell r="F1381" t="str">
            <v>Homme</v>
          </cell>
        </row>
        <row r="1382">
          <cell r="D1382">
            <v>351504</v>
          </cell>
          <cell r="F1382" t="str">
            <v>Femme</v>
          </cell>
        </row>
        <row r="1383">
          <cell r="D1383">
            <v>442761</v>
          </cell>
          <cell r="F1383" t="str">
            <v>Femme</v>
          </cell>
        </row>
        <row r="1384">
          <cell r="D1384">
            <v>32740</v>
          </cell>
          <cell r="F1384" t="str">
            <v>Femme</v>
          </cell>
        </row>
        <row r="1385">
          <cell r="D1385">
            <v>446072</v>
          </cell>
          <cell r="F1385" t="str">
            <v>Homme</v>
          </cell>
        </row>
        <row r="1386">
          <cell r="D1386">
            <v>443353</v>
          </cell>
          <cell r="F1386" t="str">
            <v>Homme</v>
          </cell>
        </row>
        <row r="1387">
          <cell r="D1387">
            <v>443357</v>
          </cell>
          <cell r="F1387" t="str">
            <v>Femme</v>
          </cell>
        </row>
        <row r="1388">
          <cell r="D1388">
            <v>443355</v>
          </cell>
          <cell r="F1388" t="str">
            <v>Femme</v>
          </cell>
        </row>
        <row r="1389">
          <cell r="D1389">
            <v>443354</v>
          </cell>
          <cell r="F1389" t="str">
            <v>Femme</v>
          </cell>
        </row>
        <row r="1390">
          <cell r="D1390">
            <v>393107</v>
          </cell>
          <cell r="F1390" t="str">
            <v>Homme</v>
          </cell>
        </row>
        <row r="1391">
          <cell r="D1391">
            <v>443358</v>
          </cell>
          <cell r="F1391" t="str">
            <v>Femme</v>
          </cell>
        </row>
        <row r="1392">
          <cell r="D1392">
            <v>447765</v>
          </cell>
          <cell r="F1392" t="str">
            <v>Homme</v>
          </cell>
        </row>
        <row r="1393">
          <cell r="D1393">
            <v>446071</v>
          </cell>
          <cell r="F1393" t="str">
            <v>Homme</v>
          </cell>
        </row>
        <row r="1394">
          <cell r="D1394">
            <v>447777</v>
          </cell>
          <cell r="F1394" t="str">
            <v>Femme</v>
          </cell>
        </row>
        <row r="1395">
          <cell r="D1395">
            <v>401246</v>
          </cell>
          <cell r="F1395" t="str">
            <v>Femme</v>
          </cell>
        </row>
        <row r="1396">
          <cell r="D1396">
            <v>418917</v>
          </cell>
          <cell r="F1396" t="str">
            <v>Homme</v>
          </cell>
        </row>
        <row r="1397">
          <cell r="D1397">
            <v>441467</v>
          </cell>
          <cell r="F1397" t="str">
            <v>Homme</v>
          </cell>
        </row>
        <row r="1398">
          <cell r="D1398">
            <v>441475</v>
          </cell>
          <cell r="F1398" t="str">
            <v>Homme</v>
          </cell>
        </row>
        <row r="1399">
          <cell r="D1399">
            <v>3789</v>
          </cell>
          <cell r="F1399" t="str">
            <v>Homme</v>
          </cell>
        </row>
        <row r="1400">
          <cell r="D1400">
            <v>421296</v>
          </cell>
          <cell r="F1400" t="str">
            <v>Homme</v>
          </cell>
        </row>
        <row r="1401">
          <cell r="D1401">
            <v>372000</v>
          </cell>
          <cell r="F1401" t="str">
            <v>Homme</v>
          </cell>
        </row>
        <row r="1402">
          <cell r="D1402">
            <v>442587</v>
          </cell>
          <cell r="F1402" t="str">
            <v>Homme</v>
          </cell>
        </row>
        <row r="1403">
          <cell r="D1403">
            <v>390290</v>
          </cell>
          <cell r="F1403" t="str">
            <v>Homme</v>
          </cell>
        </row>
        <row r="1404">
          <cell r="D1404">
            <v>445250</v>
          </cell>
          <cell r="F1404" t="str">
            <v>Homme</v>
          </cell>
        </row>
        <row r="1405">
          <cell r="D1405">
            <v>251459</v>
          </cell>
          <cell r="F1405" t="str">
            <v>Homme</v>
          </cell>
        </row>
        <row r="1406">
          <cell r="D1406">
            <v>222717</v>
          </cell>
          <cell r="F1406" t="str">
            <v>Homme</v>
          </cell>
        </row>
        <row r="1407">
          <cell r="D1407">
            <v>438055</v>
          </cell>
          <cell r="F1407" t="str">
            <v>Homme</v>
          </cell>
        </row>
        <row r="1408">
          <cell r="D1408">
            <v>400526</v>
          </cell>
          <cell r="F1408" t="str">
            <v>Homme</v>
          </cell>
        </row>
        <row r="1409">
          <cell r="D1409">
            <v>438060</v>
          </cell>
          <cell r="F1409" t="str">
            <v>Homme</v>
          </cell>
        </row>
        <row r="1410">
          <cell r="D1410">
            <v>17645</v>
          </cell>
          <cell r="F1410" t="str">
            <v>Homme</v>
          </cell>
        </row>
        <row r="1411">
          <cell r="D1411">
            <v>250351</v>
          </cell>
          <cell r="F1411" t="str">
            <v>Femme</v>
          </cell>
        </row>
        <row r="1412">
          <cell r="D1412">
            <v>434166</v>
          </cell>
          <cell r="F1412" t="str">
            <v>Homme</v>
          </cell>
        </row>
        <row r="1413">
          <cell r="D1413">
            <v>368451</v>
          </cell>
          <cell r="F1413" t="str">
            <v>Homme</v>
          </cell>
        </row>
        <row r="1414">
          <cell r="D1414">
            <v>403043</v>
          </cell>
          <cell r="F1414" t="str">
            <v>Homme</v>
          </cell>
        </row>
        <row r="1415">
          <cell r="D1415">
            <v>445251</v>
          </cell>
          <cell r="F1415" t="str">
            <v>Homme</v>
          </cell>
        </row>
        <row r="1416">
          <cell r="D1416">
            <v>444753</v>
          </cell>
          <cell r="F1416" t="str">
            <v>Femme</v>
          </cell>
        </row>
        <row r="1417">
          <cell r="D1417">
            <v>447754</v>
          </cell>
          <cell r="F1417" t="str">
            <v>Homme</v>
          </cell>
        </row>
        <row r="1418">
          <cell r="D1418">
            <v>379250</v>
          </cell>
          <cell r="F1418" t="str">
            <v>Femme</v>
          </cell>
        </row>
        <row r="1419">
          <cell r="D1419">
            <v>399913</v>
          </cell>
          <cell r="F1419" t="str">
            <v>Femme</v>
          </cell>
        </row>
        <row r="1420">
          <cell r="D1420">
            <v>442588</v>
          </cell>
          <cell r="F1420" t="str">
            <v>Femme</v>
          </cell>
        </row>
        <row r="1421">
          <cell r="D1421">
            <v>447512</v>
          </cell>
          <cell r="F1421" t="str">
            <v>Homme</v>
          </cell>
        </row>
        <row r="1422">
          <cell r="D1422">
            <v>436588</v>
          </cell>
          <cell r="F1422" t="str">
            <v>Femme</v>
          </cell>
        </row>
        <row r="1423">
          <cell r="D1423">
            <v>415438</v>
          </cell>
          <cell r="F1423" t="str">
            <v>Femme</v>
          </cell>
        </row>
        <row r="1424">
          <cell r="D1424">
            <v>404408</v>
          </cell>
          <cell r="F1424" t="str">
            <v>Homme</v>
          </cell>
        </row>
        <row r="1425">
          <cell r="D1425">
            <v>424236</v>
          </cell>
          <cell r="F1425" t="str">
            <v>Femme</v>
          </cell>
        </row>
        <row r="1426">
          <cell r="D1426">
            <v>441345</v>
          </cell>
          <cell r="F1426" t="str">
            <v>Homme</v>
          </cell>
        </row>
        <row r="1427">
          <cell r="D1427">
            <v>425762</v>
          </cell>
          <cell r="F1427" t="str">
            <v>Femme</v>
          </cell>
        </row>
        <row r="1428">
          <cell r="D1428">
            <v>415629</v>
          </cell>
          <cell r="F1428" t="str">
            <v>Homme</v>
          </cell>
        </row>
        <row r="1429">
          <cell r="D1429">
            <v>438056</v>
          </cell>
          <cell r="F1429" t="str">
            <v>Homme</v>
          </cell>
        </row>
        <row r="1430">
          <cell r="D1430">
            <v>442959</v>
          </cell>
          <cell r="F1430" t="str">
            <v>Homme</v>
          </cell>
        </row>
        <row r="1431">
          <cell r="D1431">
            <v>326408</v>
          </cell>
          <cell r="F1431" t="str">
            <v>Femme</v>
          </cell>
        </row>
        <row r="1432">
          <cell r="D1432">
            <v>44558</v>
          </cell>
          <cell r="F1432" t="str">
            <v>Homme</v>
          </cell>
        </row>
        <row r="1433">
          <cell r="D1433">
            <v>421531</v>
          </cell>
          <cell r="F1433" t="str">
            <v>Homme</v>
          </cell>
        </row>
        <row r="1434">
          <cell r="D1434">
            <v>419942</v>
          </cell>
          <cell r="F1434" t="str">
            <v>Femme</v>
          </cell>
        </row>
        <row r="1435">
          <cell r="D1435">
            <v>438053</v>
          </cell>
          <cell r="F1435" t="str">
            <v>Homme</v>
          </cell>
        </row>
        <row r="1436">
          <cell r="D1436">
            <v>415433</v>
          </cell>
          <cell r="F1436" t="str">
            <v>Homme</v>
          </cell>
        </row>
        <row r="1437">
          <cell r="D1437">
            <v>430996</v>
          </cell>
          <cell r="F1437" t="str">
            <v>Homme</v>
          </cell>
        </row>
        <row r="1438">
          <cell r="D1438">
            <v>404309</v>
          </cell>
          <cell r="F1438" t="str">
            <v>Homme</v>
          </cell>
        </row>
        <row r="1439">
          <cell r="D1439">
            <v>442600</v>
          </cell>
          <cell r="F1439" t="str">
            <v>Femme</v>
          </cell>
        </row>
        <row r="1440">
          <cell r="D1440">
            <v>436662</v>
          </cell>
          <cell r="F1440" t="str">
            <v>Homme</v>
          </cell>
        </row>
        <row r="1441">
          <cell r="D1441">
            <v>443607</v>
          </cell>
          <cell r="F1441" t="str">
            <v>Femme</v>
          </cell>
        </row>
        <row r="1442">
          <cell r="D1442">
            <v>441341</v>
          </cell>
          <cell r="F1442" t="str">
            <v>Homme</v>
          </cell>
        </row>
        <row r="1443">
          <cell r="D1443">
            <v>438052</v>
          </cell>
          <cell r="F1443" t="str">
            <v>Homme</v>
          </cell>
        </row>
        <row r="1444">
          <cell r="D1444">
            <v>445252</v>
          </cell>
          <cell r="F1444" t="str">
            <v>Femme</v>
          </cell>
        </row>
        <row r="1445">
          <cell r="D1445">
            <v>379247</v>
          </cell>
          <cell r="F1445" t="str">
            <v>Homme</v>
          </cell>
        </row>
        <row r="1446">
          <cell r="D1446">
            <v>439707</v>
          </cell>
          <cell r="F1446" t="str">
            <v>Homme</v>
          </cell>
        </row>
        <row r="1447">
          <cell r="D1447">
            <v>400263</v>
          </cell>
          <cell r="F1447" t="str">
            <v>Homme</v>
          </cell>
        </row>
        <row r="1448">
          <cell r="D1448">
            <v>415631</v>
          </cell>
          <cell r="F1448" t="str">
            <v>Femme</v>
          </cell>
        </row>
        <row r="1449">
          <cell r="D1449">
            <v>419944</v>
          </cell>
          <cell r="F1449" t="str">
            <v>Homme</v>
          </cell>
        </row>
        <row r="1450">
          <cell r="D1450">
            <v>430280</v>
          </cell>
          <cell r="F1450" t="str">
            <v>Homme</v>
          </cell>
        </row>
        <row r="1451">
          <cell r="D1451">
            <v>438062</v>
          </cell>
          <cell r="F1451" t="str">
            <v>Homme</v>
          </cell>
        </row>
        <row r="1452">
          <cell r="D1452">
            <v>381652</v>
          </cell>
          <cell r="F1452" t="str">
            <v>Homme</v>
          </cell>
        </row>
        <row r="1453">
          <cell r="D1453">
            <v>436587</v>
          </cell>
          <cell r="F1453" t="str">
            <v>Homme</v>
          </cell>
        </row>
        <row r="1454">
          <cell r="D1454">
            <v>377138</v>
          </cell>
          <cell r="F1454" t="str">
            <v>Femme</v>
          </cell>
        </row>
        <row r="1455">
          <cell r="D1455">
            <v>305021</v>
          </cell>
          <cell r="F1455" t="str">
            <v>Homme</v>
          </cell>
        </row>
        <row r="1456">
          <cell r="D1456">
            <v>447852</v>
          </cell>
          <cell r="F1456" t="str">
            <v>Femme</v>
          </cell>
        </row>
        <row r="1457">
          <cell r="D1457">
            <v>430929</v>
          </cell>
          <cell r="F1457" t="str">
            <v>Homme</v>
          </cell>
        </row>
        <row r="1458">
          <cell r="D1458">
            <v>449286</v>
          </cell>
          <cell r="F1458" t="str">
            <v>Homme</v>
          </cell>
        </row>
        <row r="1459">
          <cell r="D1459">
            <v>449287</v>
          </cell>
          <cell r="F1459" t="str">
            <v>Femme</v>
          </cell>
        </row>
        <row r="1460">
          <cell r="D1460">
            <v>446607</v>
          </cell>
          <cell r="F1460" t="str">
            <v>Femme</v>
          </cell>
        </row>
        <row r="1461">
          <cell r="D1461">
            <v>438057</v>
          </cell>
          <cell r="F1461" t="str">
            <v>Homme</v>
          </cell>
        </row>
        <row r="1462">
          <cell r="D1462">
            <v>417840</v>
          </cell>
          <cell r="F1462" t="str">
            <v>Femme</v>
          </cell>
        </row>
        <row r="1463">
          <cell r="D1463">
            <v>404310</v>
          </cell>
          <cell r="F1463" t="str">
            <v>Femme</v>
          </cell>
        </row>
        <row r="1464">
          <cell r="D1464">
            <v>449388</v>
          </cell>
          <cell r="F1464" t="str">
            <v>Homme</v>
          </cell>
        </row>
        <row r="1465">
          <cell r="D1465">
            <v>415897</v>
          </cell>
          <cell r="F1465" t="str">
            <v>Homme</v>
          </cell>
        </row>
        <row r="1466">
          <cell r="D1466">
            <v>447718</v>
          </cell>
          <cell r="F1466" t="str">
            <v>Femme</v>
          </cell>
        </row>
        <row r="1467">
          <cell r="D1467">
            <v>447755</v>
          </cell>
          <cell r="F1467" t="str">
            <v>Homme</v>
          </cell>
        </row>
        <row r="1468">
          <cell r="D1468">
            <v>449392</v>
          </cell>
          <cell r="F1468" t="str">
            <v>Homme</v>
          </cell>
        </row>
        <row r="1469">
          <cell r="D1469">
            <v>447717</v>
          </cell>
          <cell r="F1469" t="str">
            <v>Femme</v>
          </cell>
        </row>
        <row r="1470">
          <cell r="D1470">
            <v>425162</v>
          </cell>
          <cell r="F1470" t="str">
            <v>Homme</v>
          </cell>
        </row>
        <row r="1471">
          <cell r="D1471">
            <v>325731</v>
          </cell>
          <cell r="F1471" t="str">
            <v>Femme</v>
          </cell>
        </row>
        <row r="1472">
          <cell r="D1472">
            <v>415891</v>
          </cell>
          <cell r="F1472" t="str">
            <v>Homme</v>
          </cell>
        </row>
        <row r="1473">
          <cell r="D1473">
            <v>447720</v>
          </cell>
          <cell r="F1473" t="str">
            <v>Femme</v>
          </cell>
        </row>
        <row r="1474">
          <cell r="D1474">
            <v>449819</v>
          </cell>
          <cell r="F1474" t="str">
            <v>Homme</v>
          </cell>
        </row>
        <row r="1475">
          <cell r="D1475">
            <v>399016</v>
          </cell>
          <cell r="F1475" t="str">
            <v>Homme</v>
          </cell>
        </row>
        <row r="1476">
          <cell r="D1476">
            <v>412703</v>
          </cell>
          <cell r="F1476" t="str">
            <v>Homme</v>
          </cell>
        </row>
        <row r="1477">
          <cell r="D1477">
            <v>447758</v>
          </cell>
          <cell r="F1477" t="str">
            <v>Homme</v>
          </cell>
        </row>
        <row r="1478">
          <cell r="D1478">
            <v>238407</v>
          </cell>
          <cell r="F1478" t="str">
            <v>Homme</v>
          </cell>
        </row>
        <row r="1479">
          <cell r="D1479">
            <v>213417</v>
          </cell>
          <cell r="F1479" t="str">
            <v>Homme</v>
          </cell>
        </row>
        <row r="1480">
          <cell r="D1480">
            <v>239617</v>
          </cell>
          <cell r="F1480" t="str">
            <v>Homme</v>
          </cell>
        </row>
        <row r="1481">
          <cell r="D1481">
            <v>449391</v>
          </cell>
          <cell r="F1481" t="str">
            <v>Homme</v>
          </cell>
        </row>
        <row r="1482">
          <cell r="D1482">
            <v>447762</v>
          </cell>
          <cell r="F1482" t="str">
            <v>Femme</v>
          </cell>
        </row>
        <row r="1483">
          <cell r="D1483">
            <v>325727</v>
          </cell>
          <cell r="F1483" t="str">
            <v>Femme</v>
          </cell>
        </row>
        <row r="1484">
          <cell r="D1484">
            <v>349776</v>
          </cell>
          <cell r="F1484" t="str">
            <v>Homme</v>
          </cell>
        </row>
        <row r="1485">
          <cell r="D1485">
            <v>450960</v>
          </cell>
          <cell r="F1485" t="str">
            <v>Homme</v>
          </cell>
        </row>
        <row r="1486">
          <cell r="D1486">
            <v>433959</v>
          </cell>
          <cell r="F1486" t="str">
            <v>Femme</v>
          </cell>
        </row>
        <row r="1487">
          <cell r="D1487">
            <v>331820</v>
          </cell>
          <cell r="F1487" t="str">
            <v>Homme</v>
          </cell>
        </row>
        <row r="1488">
          <cell r="D1488">
            <v>450575</v>
          </cell>
          <cell r="F1488" t="str">
            <v>Femme</v>
          </cell>
        </row>
        <row r="1489">
          <cell r="D1489">
            <v>449767</v>
          </cell>
          <cell r="F1489" t="str">
            <v>Homme</v>
          </cell>
        </row>
        <row r="1490">
          <cell r="D1490">
            <v>430881</v>
          </cell>
          <cell r="F1490" t="str">
            <v>Homme</v>
          </cell>
        </row>
        <row r="1491">
          <cell r="D1491">
            <v>331822</v>
          </cell>
          <cell r="F1491" t="str">
            <v>Homme</v>
          </cell>
        </row>
        <row r="1492">
          <cell r="D1492">
            <v>449387</v>
          </cell>
          <cell r="F1492" t="str">
            <v>Homme</v>
          </cell>
        </row>
        <row r="1493">
          <cell r="D1493">
            <v>331821</v>
          </cell>
          <cell r="F1493" t="str">
            <v>Homme</v>
          </cell>
        </row>
        <row r="1494">
          <cell r="D1494">
            <v>447759</v>
          </cell>
          <cell r="F1494" t="str">
            <v>Homme</v>
          </cell>
        </row>
        <row r="1495">
          <cell r="D1495">
            <v>334603</v>
          </cell>
          <cell r="F1495" t="str">
            <v>Femme</v>
          </cell>
        </row>
        <row r="1496">
          <cell r="D1496">
            <v>447761</v>
          </cell>
          <cell r="F1496" t="str">
            <v>Homme</v>
          </cell>
        </row>
        <row r="1497">
          <cell r="D1497">
            <v>449768</v>
          </cell>
          <cell r="F1497" t="str">
            <v>Homme</v>
          </cell>
        </row>
        <row r="1498">
          <cell r="D1498">
            <v>325732</v>
          </cell>
          <cell r="F1498" t="str">
            <v>Femme</v>
          </cell>
        </row>
        <row r="1499">
          <cell r="D1499">
            <v>305867</v>
          </cell>
          <cell r="F1499" t="str">
            <v>Homme</v>
          </cell>
        </row>
        <row r="1500">
          <cell r="D1500">
            <v>331823</v>
          </cell>
          <cell r="F1500" t="str">
            <v>Homme</v>
          </cell>
        </row>
        <row r="1501">
          <cell r="D1501">
            <v>392947</v>
          </cell>
          <cell r="F1501" t="str">
            <v>Homme</v>
          </cell>
        </row>
        <row r="1502">
          <cell r="D1502">
            <v>331828</v>
          </cell>
          <cell r="F1502" t="str">
            <v>Femme</v>
          </cell>
        </row>
        <row r="1503">
          <cell r="D1503">
            <v>450567</v>
          </cell>
          <cell r="F1503" t="str">
            <v>Homme</v>
          </cell>
        </row>
        <row r="1504">
          <cell r="D1504">
            <v>449821</v>
          </cell>
          <cell r="F1504" t="str">
            <v>Homme</v>
          </cell>
        </row>
        <row r="1505">
          <cell r="D1505">
            <v>334609</v>
          </cell>
          <cell r="F1505" t="str">
            <v>Femme</v>
          </cell>
        </row>
        <row r="1506">
          <cell r="D1506">
            <v>353933</v>
          </cell>
          <cell r="F1506" t="str">
            <v>Homme</v>
          </cell>
        </row>
        <row r="1507">
          <cell r="D1507">
            <v>184054</v>
          </cell>
          <cell r="F1507" t="str">
            <v>Homme</v>
          </cell>
        </row>
        <row r="1508">
          <cell r="D1508">
            <v>419626</v>
          </cell>
          <cell r="F1508" t="str">
            <v>Homme</v>
          </cell>
        </row>
        <row r="1509">
          <cell r="D1509">
            <v>450572</v>
          </cell>
          <cell r="F1509" t="str">
            <v>Homme</v>
          </cell>
        </row>
        <row r="1510">
          <cell r="D1510">
            <v>430930</v>
          </cell>
          <cell r="F1510" t="str">
            <v>Homme</v>
          </cell>
        </row>
        <row r="1511">
          <cell r="D1511">
            <v>339025</v>
          </cell>
          <cell r="F1511" t="str">
            <v>Femme</v>
          </cell>
        </row>
        <row r="1512">
          <cell r="D1512">
            <v>447763</v>
          </cell>
          <cell r="F1512" t="str">
            <v>Homme</v>
          </cell>
        </row>
        <row r="1513">
          <cell r="D1513">
            <v>332211</v>
          </cell>
          <cell r="F1513" t="str">
            <v>Femme</v>
          </cell>
        </row>
        <row r="1514">
          <cell r="D1514">
            <v>441346</v>
          </cell>
          <cell r="F1514" t="str">
            <v>Femme</v>
          </cell>
        </row>
        <row r="1515">
          <cell r="D1515">
            <v>449385</v>
          </cell>
          <cell r="F1515" t="str">
            <v>Homme</v>
          </cell>
        </row>
        <row r="1516">
          <cell r="D1516">
            <v>400127</v>
          </cell>
          <cell r="F1516" t="str">
            <v>Homme</v>
          </cell>
        </row>
        <row r="1517">
          <cell r="D1517">
            <v>441344</v>
          </cell>
          <cell r="F1517" t="str">
            <v>Femme</v>
          </cell>
        </row>
        <row r="1518">
          <cell r="D1518">
            <v>324588</v>
          </cell>
          <cell r="F1518" t="str">
            <v>Homme</v>
          </cell>
        </row>
        <row r="1519">
          <cell r="D1519">
            <v>353939</v>
          </cell>
          <cell r="F1519" t="str">
            <v>Homme</v>
          </cell>
        </row>
        <row r="1520">
          <cell r="D1520">
            <v>450571</v>
          </cell>
          <cell r="F1520" t="str">
            <v>Homme</v>
          </cell>
        </row>
        <row r="1521">
          <cell r="D1521">
            <v>449384</v>
          </cell>
          <cell r="F1521" t="str">
            <v>Homme</v>
          </cell>
        </row>
        <row r="1522">
          <cell r="D1522">
            <v>370632</v>
          </cell>
          <cell r="F1522" t="str">
            <v>Homme</v>
          </cell>
        </row>
        <row r="1523">
          <cell r="D1523">
            <v>399654</v>
          </cell>
          <cell r="F1523" t="str">
            <v>Homme</v>
          </cell>
        </row>
        <row r="1524">
          <cell r="D1524">
            <v>447756</v>
          </cell>
          <cell r="F1524" t="str">
            <v>Homme</v>
          </cell>
        </row>
        <row r="1525">
          <cell r="D1525">
            <v>268749</v>
          </cell>
          <cell r="F1525" t="str">
            <v>Homme</v>
          </cell>
        </row>
        <row r="1526">
          <cell r="D1526">
            <v>298952</v>
          </cell>
          <cell r="F1526" t="str">
            <v>Homme</v>
          </cell>
        </row>
        <row r="1527">
          <cell r="D1527">
            <v>406400</v>
          </cell>
          <cell r="F1527" t="str">
            <v>Femme</v>
          </cell>
        </row>
        <row r="1528">
          <cell r="D1528">
            <v>447719</v>
          </cell>
          <cell r="F1528" t="str">
            <v>Femme</v>
          </cell>
        </row>
        <row r="1529">
          <cell r="D1529">
            <v>381940</v>
          </cell>
          <cell r="F1529" t="str">
            <v>Homme</v>
          </cell>
        </row>
        <row r="1530">
          <cell r="D1530">
            <v>184059</v>
          </cell>
          <cell r="F1530" t="str">
            <v>Homme</v>
          </cell>
        </row>
        <row r="1531">
          <cell r="D1531">
            <v>447757</v>
          </cell>
          <cell r="F1531" t="str">
            <v>Homme</v>
          </cell>
        </row>
        <row r="1532">
          <cell r="D1532">
            <v>421431</v>
          </cell>
          <cell r="F1532" t="str">
            <v>Homme</v>
          </cell>
        </row>
        <row r="1533">
          <cell r="D1533">
            <v>300000</v>
          </cell>
          <cell r="F1533" t="str">
            <v>Homme</v>
          </cell>
        </row>
        <row r="1534">
          <cell r="D1534">
            <v>447760</v>
          </cell>
          <cell r="F1534" t="str">
            <v>Femme</v>
          </cell>
        </row>
        <row r="1535">
          <cell r="D1535">
            <v>399105</v>
          </cell>
          <cell r="F1535" t="str">
            <v>Femme</v>
          </cell>
        </row>
        <row r="1536">
          <cell r="D1536">
            <v>399106</v>
          </cell>
          <cell r="F1536" t="str">
            <v>Homme</v>
          </cell>
        </row>
        <row r="1537">
          <cell r="D1537">
            <v>449820</v>
          </cell>
          <cell r="F1537" t="str">
            <v>Homme</v>
          </cell>
        </row>
        <row r="1538">
          <cell r="D1538">
            <v>434041</v>
          </cell>
          <cell r="F1538" t="str">
            <v>Homme</v>
          </cell>
        </row>
        <row r="1539">
          <cell r="D1539">
            <v>437305</v>
          </cell>
          <cell r="F1539" t="str">
            <v>Homme</v>
          </cell>
        </row>
        <row r="1540">
          <cell r="D1540">
            <v>238544</v>
          </cell>
          <cell r="F1540" t="str">
            <v>Homme</v>
          </cell>
        </row>
        <row r="1541">
          <cell r="D1541">
            <v>413061</v>
          </cell>
          <cell r="F1541" t="str">
            <v>Homme</v>
          </cell>
        </row>
        <row r="1542">
          <cell r="D1542">
            <v>450568</v>
          </cell>
          <cell r="F1542" t="str">
            <v>Homme</v>
          </cell>
        </row>
        <row r="1543">
          <cell r="D1543">
            <v>258888</v>
          </cell>
          <cell r="F1543" t="str">
            <v>Homme</v>
          </cell>
        </row>
        <row r="1544">
          <cell r="D1544">
            <v>449386</v>
          </cell>
          <cell r="F1544" t="str">
            <v>Femme</v>
          </cell>
        </row>
        <row r="1545">
          <cell r="D1545">
            <v>334606</v>
          </cell>
          <cell r="F1545" t="str">
            <v>Femme</v>
          </cell>
        </row>
        <row r="1546">
          <cell r="D1546">
            <v>449383</v>
          </cell>
          <cell r="F1546" t="str">
            <v>Homme</v>
          </cell>
        </row>
        <row r="1547">
          <cell r="D1547">
            <v>449818</v>
          </cell>
          <cell r="F1547" t="str">
            <v>Homme</v>
          </cell>
        </row>
        <row r="1548">
          <cell r="D1548">
            <v>325739</v>
          </cell>
          <cell r="F1548" t="str">
            <v>Homme</v>
          </cell>
        </row>
        <row r="1549">
          <cell r="D1549">
            <v>331827</v>
          </cell>
          <cell r="F1549" t="str">
            <v>Femme</v>
          </cell>
        </row>
        <row r="1550">
          <cell r="D1550">
            <v>2426</v>
          </cell>
          <cell r="F1550" t="str">
            <v>Homme</v>
          </cell>
        </row>
        <row r="1551">
          <cell r="D1551">
            <v>450574</v>
          </cell>
          <cell r="F1551" t="str">
            <v>Homme</v>
          </cell>
        </row>
        <row r="1552">
          <cell r="D1552">
            <v>449390</v>
          </cell>
          <cell r="F1552" t="str">
            <v>Homme</v>
          </cell>
        </row>
        <row r="1553">
          <cell r="D1553">
            <v>402078</v>
          </cell>
          <cell r="F1553" t="str">
            <v>Femme</v>
          </cell>
        </row>
        <row r="1554">
          <cell r="D1554">
            <v>331818</v>
          </cell>
          <cell r="F1554" t="str">
            <v>Femme</v>
          </cell>
        </row>
        <row r="1555">
          <cell r="D1555">
            <v>325741</v>
          </cell>
          <cell r="F1555" t="str">
            <v>Femme</v>
          </cell>
        </row>
        <row r="1556">
          <cell r="D1556">
            <v>352224</v>
          </cell>
          <cell r="F1556" t="str">
            <v>Homme</v>
          </cell>
        </row>
        <row r="1557">
          <cell r="D1557">
            <v>450577</v>
          </cell>
          <cell r="F1557" t="str">
            <v>Homme</v>
          </cell>
        </row>
        <row r="1558">
          <cell r="D1558">
            <v>450576</v>
          </cell>
          <cell r="F1558" t="str">
            <v>Homme</v>
          </cell>
        </row>
        <row r="1559">
          <cell r="D1559">
            <v>448138</v>
          </cell>
          <cell r="F1559" t="str">
            <v>Homme</v>
          </cell>
        </row>
        <row r="1560">
          <cell r="D1560">
            <v>450570</v>
          </cell>
          <cell r="F1560" t="str">
            <v>Homme</v>
          </cell>
        </row>
        <row r="1561">
          <cell r="D1561">
            <v>325726</v>
          </cell>
          <cell r="F1561" t="str">
            <v>Femme</v>
          </cell>
        </row>
        <row r="1562">
          <cell r="D1562">
            <v>366179</v>
          </cell>
          <cell r="F1562" t="str">
            <v>Femme</v>
          </cell>
        </row>
        <row r="1563">
          <cell r="D1563">
            <v>450569</v>
          </cell>
          <cell r="F1563" t="str">
            <v>Homme</v>
          </cell>
        </row>
        <row r="1564">
          <cell r="D1564">
            <v>449389</v>
          </cell>
          <cell r="F1564" t="str">
            <v>Homme</v>
          </cell>
        </row>
        <row r="1565">
          <cell r="D1565">
            <v>448139</v>
          </cell>
          <cell r="F1565" t="str">
            <v>Homme</v>
          </cell>
        </row>
        <row r="1566">
          <cell r="D1566">
            <v>339027</v>
          </cell>
          <cell r="F1566" t="str">
            <v>Femme</v>
          </cell>
        </row>
        <row r="1567">
          <cell r="D1567">
            <v>388189</v>
          </cell>
          <cell r="F1567" t="str">
            <v>Homme</v>
          </cell>
        </row>
        <row r="1568">
          <cell r="D1568">
            <v>297325</v>
          </cell>
          <cell r="F1568" t="str">
            <v>Femme</v>
          </cell>
        </row>
        <row r="1569">
          <cell r="D1569">
            <v>325746</v>
          </cell>
          <cell r="F1569" t="str">
            <v>Femme</v>
          </cell>
        </row>
        <row r="1570">
          <cell r="D1570">
            <v>450573</v>
          </cell>
          <cell r="F1570" t="str">
            <v>Homme</v>
          </cell>
        </row>
        <row r="1571">
          <cell r="D1571">
            <v>442329</v>
          </cell>
          <cell r="F1571" t="str">
            <v>Femme</v>
          </cell>
        </row>
        <row r="1572">
          <cell r="D1572">
            <v>430352</v>
          </cell>
          <cell r="F1572" t="str">
            <v>Homme</v>
          </cell>
        </row>
        <row r="1573">
          <cell r="D1573">
            <v>419158</v>
          </cell>
          <cell r="F1573" t="str">
            <v>Homme</v>
          </cell>
        </row>
        <row r="1574">
          <cell r="D1574">
            <v>325338</v>
          </cell>
          <cell r="F1574" t="str">
            <v>Homme</v>
          </cell>
        </row>
        <row r="1575">
          <cell r="D1575">
            <v>377426</v>
          </cell>
          <cell r="F1575" t="str">
            <v>Homme</v>
          </cell>
        </row>
        <row r="1576">
          <cell r="D1576">
            <v>442337</v>
          </cell>
          <cell r="F1576" t="str">
            <v>Homme</v>
          </cell>
        </row>
        <row r="1577">
          <cell r="D1577">
            <v>446837</v>
          </cell>
          <cell r="F1577" t="str">
            <v>Homme</v>
          </cell>
        </row>
        <row r="1578">
          <cell r="D1578">
            <v>442340</v>
          </cell>
          <cell r="F1578" t="str">
            <v>Homme</v>
          </cell>
        </row>
        <row r="1579">
          <cell r="D1579">
            <v>159330</v>
          </cell>
          <cell r="F1579" t="str">
            <v>Homme</v>
          </cell>
        </row>
        <row r="1580">
          <cell r="D1580">
            <v>447408</v>
          </cell>
          <cell r="F1580" t="str">
            <v>Homme</v>
          </cell>
        </row>
        <row r="1581">
          <cell r="D1581">
            <v>377429</v>
          </cell>
          <cell r="F1581" t="str">
            <v>Homme</v>
          </cell>
        </row>
        <row r="1582">
          <cell r="D1582">
            <v>176752</v>
          </cell>
          <cell r="F1582" t="str">
            <v>Homme</v>
          </cell>
        </row>
        <row r="1583">
          <cell r="D1583">
            <v>445585</v>
          </cell>
          <cell r="F1583" t="str">
            <v>Homme</v>
          </cell>
        </row>
        <row r="1584">
          <cell r="D1584">
            <v>430359</v>
          </cell>
          <cell r="F1584" t="str">
            <v>Homme</v>
          </cell>
        </row>
        <row r="1585">
          <cell r="D1585">
            <v>232428</v>
          </cell>
          <cell r="F1585" t="str">
            <v>Homme</v>
          </cell>
        </row>
        <row r="1586">
          <cell r="D1586">
            <v>428254</v>
          </cell>
          <cell r="F1586" t="str">
            <v>Femme</v>
          </cell>
        </row>
        <row r="1587">
          <cell r="D1587">
            <v>417259</v>
          </cell>
          <cell r="F1587" t="str">
            <v>Homme</v>
          </cell>
        </row>
        <row r="1588">
          <cell r="D1588">
            <v>175014</v>
          </cell>
          <cell r="F1588" t="str">
            <v>Femme</v>
          </cell>
        </row>
        <row r="1589">
          <cell r="D1589">
            <v>442335</v>
          </cell>
          <cell r="F1589" t="str">
            <v>Homme</v>
          </cell>
        </row>
        <row r="1590">
          <cell r="D1590">
            <v>447753</v>
          </cell>
          <cell r="F1590" t="str">
            <v>Homme</v>
          </cell>
        </row>
        <row r="1591">
          <cell r="D1591">
            <v>431016</v>
          </cell>
          <cell r="F1591" t="str">
            <v>Homme</v>
          </cell>
        </row>
        <row r="1592">
          <cell r="D1592">
            <v>442909</v>
          </cell>
          <cell r="F1592" t="str">
            <v>Homme</v>
          </cell>
        </row>
        <row r="1593">
          <cell r="D1593">
            <v>438873</v>
          </cell>
          <cell r="F1593" t="str">
            <v>Homme</v>
          </cell>
        </row>
        <row r="1594">
          <cell r="D1594">
            <v>442904</v>
          </cell>
          <cell r="F1594" t="str">
            <v>Homme</v>
          </cell>
        </row>
        <row r="1595">
          <cell r="D1595">
            <v>442906</v>
          </cell>
          <cell r="F1595" t="str">
            <v>Femme</v>
          </cell>
        </row>
        <row r="1596">
          <cell r="D1596">
            <v>381541</v>
          </cell>
          <cell r="F1596" t="str">
            <v>Homme</v>
          </cell>
        </row>
        <row r="1597">
          <cell r="D1597">
            <v>387383</v>
          </cell>
          <cell r="F1597" t="str">
            <v>Homme</v>
          </cell>
        </row>
        <row r="1598">
          <cell r="D1598">
            <v>444486</v>
          </cell>
          <cell r="F1598" t="str">
            <v>Homme</v>
          </cell>
        </row>
        <row r="1599">
          <cell r="D1599">
            <v>381542</v>
          </cell>
          <cell r="F1599" t="str">
            <v>Homme</v>
          </cell>
        </row>
        <row r="1600">
          <cell r="D1600">
            <v>400537</v>
          </cell>
          <cell r="F1600" t="str">
            <v>Femme</v>
          </cell>
        </row>
        <row r="1601">
          <cell r="D1601">
            <v>399429</v>
          </cell>
          <cell r="F1601" t="str">
            <v>Homme</v>
          </cell>
        </row>
        <row r="1602">
          <cell r="D1602">
            <v>442911</v>
          </cell>
          <cell r="F1602" t="str">
            <v>Homme</v>
          </cell>
        </row>
        <row r="1603">
          <cell r="D1603">
            <v>443011</v>
          </cell>
          <cell r="F1603" t="str">
            <v>Homme</v>
          </cell>
        </row>
        <row r="1604">
          <cell r="D1604">
            <v>381555</v>
          </cell>
          <cell r="F1604" t="str">
            <v>Homme</v>
          </cell>
        </row>
        <row r="1605">
          <cell r="D1605">
            <v>356840</v>
          </cell>
          <cell r="F1605" t="str">
            <v>Homme</v>
          </cell>
        </row>
        <row r="1606">
          <cell r="D1606">
            <v>443012</v>
          </cell>
          <cell r="F1606" t="str">
            <v>Femme</v>
          </cell>
        </row>
        <row r="1607">
          <cell r="D1607">
            <v>443201</v>
          </cell>
          <cell r="F1607" t="str">
            <v>Homme</v>
          </cell>
        </row>
        <row r="1608">
          <cell r="D1608">
            <v>415532</v>
          </cell>
          <cell r="F1608" t="str">
            <v>Homme</v>
          </cell>
        </row>
        <row r="1609">
          <cell r="D1609">
            <v>443014</v>
          </cell>
          <cell r="F1609" t="str">
            <v>Homme</v>
          </cell>
        </row>
        <row r="1610">
          <cell r="D1610">
            <v>411971</v>
          </cell>
          <cell r="F1610" t="str">
            <v>Homme</v>
          </cell>
        </row>
        <row r="1611">
          <cell r="D1611">
            <v>443015</v>
          </cell>
          <cell r="F1611" t="str">
            <v>Homme</v>
          </cell>
        </row>
        <row r="1612">
          <cell r="D1612">
            <v>387393</v>
          </cell>
          <cell r="F1612" t="str">
            <v>Homme</v>
          </cell>
        </row>
        <row r="1613">
          <cell r="D1613">
            <v>231211</v>
          </cell>
          <cell r="F1613" t="str">
            <v>Homme</v>
          </cell>
        </row>
        <row r="1614">
          <cell r="D1614">
            <v>400022</v>
          </cell>
          <cell r="F1614" t="str">
            <v>Homme</v>
          </cell>
        </row>
        <row r="1615">
          <cell r="D1615">
            <v>381569</v>
          </cell>
          <cell r="F1615" t="str">
            <v>Homme</v>
          </cell>
        </row>
        <row r="1616">
          <cell r="D1616">
            <v>231216</v>
          </cell>
          <cell r="F1616" t="str">
            <v>Femme</v>
          </cell>
        </row>
        <row r="1617">
          <cell r="D1617">
            <v>356862</v>
          </cell>
          <cell r="F1617" t="str">
            <v>Homme</v>
          </cell>
        </row>
        <row r="1618">
          <cell r="D1618">
            <v>443076</v>
          </cell>
          <cell r="F1618" t="str">
            <v>Homme</v>
          </cell>
        </row>
        <row r="1619">
          <cell r="D1619">
            <v>443072</v>
          </cell>
          <cell r="F1619" t="str">
            <v>Homme</v>
          </cell>
        </row>
        <row r="1620">
          <cell r="D1620">
            <v>443073</v>
          </cell>
          <cell r="F1620" t="str">
            <v>Femme</v>
          </cell>
        </row>
        <row r="1621">
          <cell r="D1621">
            <v>443074</v>
          </cell>
          <cell r="F1621" t="str">
            <v>Homme</v>
          </cell>
        </row>
        <row r="1622">
          <cell r="D1622">
            <v>443075</v>
          </cell>
          <cell r="F1622" t="str">
            <v>Femme</v>
          </cell>
        </row>
        <row r="1623">
          <cell r="D1623">
            <v>415706</v>
          </cell>
          <cell r="F1623" t="str">
            <v>Homme</v>
          </cell>
        </row>
        <row r="1624">
          <cell r="D1624">
            <v>176739</v>
          </cell>
          <cell r="F1624" t="str">
            <v>Femme</v>
          </cell>
        </row>
        <row r="1625">
          <cell r="D1625">
            <v>443077</v>
          </cell>
          <cell r="F1625" t="str">
            <v>Homme</v>
          </cell>
        </row>
        <row r="1626">
          <cell r="D1626">
            <v>443078</v>
          </cell>
          <cell r="F1626" t="str">
            <v>Homme</v>
          </cell>
        </row>
        <row r="1627">
          <cell r="D1627">
            <v>435481</v>
          </cell>
          <cell r="F1627" t="str">
            <v>Femme</v>
          </cell>
        </row>
        <row r="1628">
          <cell r="D1628">
            <v>417290</v>
          </cell>
          <cell r="F1628" t="str">
            <v>Homme</v>
          </cell>
        </row>
        <row r="1629">
          <cell r="D1629">
            <v>405006</v>
          </cell>
          <cell r="F1629" t="str">
            <v>Homme</v>
          </cell>
        </row>
        <row r="1630">
          <cell r="D1630">
            <v>443079</v>
          </cell>
          <cell r="F1630" t="str">
            <v>Homme</v>
          </cell>
        </row>
        <row r="1631">
          <cell r="D1631">
            <v>443478</v>
          </cell>
          <cell r="F1631" t="str">
            <v>Homme</v>
          </cell>
        </row>
        <row r="1632">
          <cell r="D1632">
            <v>443479</v>
          </cell>
          <cell r="F1632" t="str">
            <v>Femme</v>
          </cell>
        </row>
        <row r="1633">
          <cell r="D1633">
            <v>443146</v>
          </cell>
          <cell r="F1633" t="str">
            <v>Homme</v>
          </cell>
        </row>
        <row r="1634">
          <cell r="D1634">
            <v>443275</v>
          </cell>
          <cell r="F1634" t="str">
            <v>Femme</v>
          </cell>
        </row>
        <row r="1635">
          <cell r="D1635">
            <v>173820</v>
          </cell>
          <cell r="F1635" t="str">
            <v>Femme</v>
          </cell>
        </row>
        <row r="1636">
          <cell r="D1636">
            <v>365801</v>
          </cell>
          <cell r="F1636" t="str">
            <v>Homme</v>
          </cell>
        </row>
        <row r="1637">
          <cell r="D1637">
            <v>410541</v>
          </cell>
          <cell r="F1637" t="str">
            <v>Homme</v>
          </cell>
        </row>
        <row r="1638">
          <cell r="D1638">
            <v>443202</v>
          </cell>
          <cell r="F1638" t="str">
            <v>Femme</v>
          </cell>
        </row>
        <row r="1639">
          <cell r="D1639">
            <v>329944</v>
          </cell>
          <cell r="F1639" t="str">
            <v>Homme</v>
          </cell>
        </row>
        <row r="1640">
          <cell r="D1640">
            <v>365254</v>
          </cell>
          <cell r="F1640" t="str">
            <v>Femme</v>
          </cell>
        </row>
      </sheetData>
      <sheetData sheetId="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VIDUEL"/>
      <sheetName val="Minimas"/>
    </sheetNames>
    <sheetDataSet>
      <sheetData sheetId="0" refreshError="1"/>
      <sheetData sheetId="1">
        <row r="3">
          <cell r="C3" t="str">
            <v>U15 F40</v>
          </cell>
          <cell r="D3" t="str">
            <v>U15 F45</v>
          </cell>
          <cell r="E3" t="str">
            <v>U15 F49</v>
          </cell>
          <cell r="F3" t="str">
            <v>U15 F55</v>
          </cell>
          <cell r="G3" t="str">
            <v>U15 F59</v>
          </cell>
          <cell r="H3" t="str">
            <v>U15 F64</v>
          </cell>
          <cell r="I3" t="str">
            <v>U15 F71</v>
          </cell>
          <cell r="J3" t="str">
            <v>U15 F76</v>
          </cell>
          <cell r="K3" t="str">
            <v>U15 F81</v>
          </cell>
          <cell r="L3" t="str">
            <v>U15 F&gt;81</v>
          </cell>
          <cell r="M3" t="str">
            <v>U17 F40</v>
          </cell>
          <cell r="N3" t="str">
            <v>U17 F45</v>
          </cell>
          <cell r="O3" t="str">
            <v>U17 F49</v>
          </cell>
          <cell r="P3" t="str">
            <v>U17 F55</v>
          </cell>
          <cell r="Q3" t="str">
            <v>U17 F59</v>
          </cell>
          <cell r="R3" t="str">
            <v>U17 F64</v>
          </cell>
          <cell r="S3" t="str">
            <v>U17 F71</v>
          </cell>
          <cell r="T3" t="str">
            <v>U17 F76</v>
          </cell>
          <cell r="U3" t="str">
            <v>U17 F81</v>
          </cell>
          <cell r="V3" t="str">
            <v>U17 F&gt;81</v>
          </cell>
          <cell r="W3" t="str">
            <v>U20 F45</v>
          </cell>
          <cell r="X3" t="str">
            <v>U20 F49</v>
          </cell>
          <cell r="Y3" t="str">
            <v>U20 F55</v>
          </cell>
          <cell r="Z3" t="str">
            <v>U20 F59</v>
          </cell>
          <cell r="AA3" t="str">
            <v>U20 F64</v>
          </cell>
          <cell r="AB3" t="str">
            <v>U20 F71</v>
          </cell>
          <cell r="AC3" t="str">
            <v>U20 F76</v>
          </cell>
          <cell r="AD3" t="str">
            <v>U20 F81</v>
          </cell>
          <cell r="AE3" t="str">
            <v>U20 F87</v>
          </cell>
          <cell r="AF3" t="str">
            <v>U20 F&gt;87</v>
          </cell>
          <cell r="AG3" t="str">
            <v>SE F45</v>
          </cell>
          <cell r="AH3" t="str">
            <v>SE F49</v>
          </cell>
          <cell r="AI3" t="str">
            <v>SE F55</v>
          </cell>
          <cell r="AJ3" t="str">
            <v>SE F59</v>
          </cell>
          <cell r="AK3" t="str">
            <v>SE F64</v>
          </cell>
          <cell r="AL3" t="str">
            <v>SE F71</v>
          </cell>
          <cell r="AM3" t="str">
            <v>SE F76</v>
          </cell>
          <cell r="AN3" t="str">
            <v>SE F81</v>
          </cell>
          <cell r="AO3" t="str">
            <v>SE F87</v>
          </cell>
          <cell r="AP3" t="str">
            <v>SE F&gt;87</v>
          </cell>
          <cell r="AQ3" t="str">
            <v>U15 M49</v>
          </cell>
          <cell r="AR3" t="str">
            <v>U15 M55</v>
          </cell>
          <cell r="AS3" t="str">
            <v>U15 M61</v>
          </cell>
          <cell r="AT3" t="str">
            <v>U15 M67</v>
          </cell>
          <cell r="AU3" t="str">
            <v>U15 M73</v>
          </cell>
          <cell r="AV3" t="str">
            <v>U15 M81</v>
          </cell>
          <cell r="AW3" t="str">
            <v>U15 M89</v>
          </cell>
          <cell r="AX3" t="str">
            <v>U15 M96</v>
          </cell>
          <cell r="AY3" t="str">
            <v>U15 M102</v>
          </cell>
          <cell r="AZ3" t="str">
            <v>U15 M&gt;102</v>
          </cell>
          <cell r="BA3" t="str">
            <v>U17 M49</v>
          </cell>
          <cell r="BB3" t="str">
            <v>U17 M55</v>
          </cell>
          <cell r="BC3" t="str">
            <v>U17 M61</v>
          </cell>
          <cell r="BD3" t="str">
            <v>U17 M67</v>
          </cell>
          <cell r="BE3" t="str">
            <v>U17 M73</v>
          </cell>
          <cell r="BF3" t="str">
            <v>U17 M81</v>
          </cell>
          <cell r="BG3" t="str">
            <v>U17 M89</v>
          </cell>
          <cell r="BH3" t="str">
            <v>U17 M96</v>
          </cell>
          <cell r="BI3" t="str">
            <v>U17 M102</v>
          </cell>
          <cell r="BJ3" t="str">
            <v>U17 M&gt;102</v>
          </cell>
          <cell r="BK3" t="str">
            <v>U20 M55</v>
          </cell>
          <cell r="BL3" t="str">
            <v>U20 M61</v>
          </cell>
          <cell r="BM3" t="str">
            <v>U20 M67</v>
          </cell>
          <cell r="BN3" t="str">
            <v>U20 M73</v>
          </cell>
          <cell r="BO3" t="str">
            <v>U20 M81</v>
          </cell>
          <cell r="BP3" t="str">
            <v>U20 M89</v>
          </cell>
          <cell r="BQ3" t="str">
            <v>U20 M96</v>
          </cell>
          <cell r="BR3" t="str">
            <v>U20 M102</v>
          </cell>
          <cell r="BS3" t="str">
            <v>U20 M109</v>
          </cell>
          <cell r="BT3" t="str">
            <v>U20 M&gt;109</v>
          </cell>
          <cell r="BU3" t="str">
            <v>SE M55</v>
          </cell>
          <cell r="BV3" t="str">
            <v>SE M61</v>
          </cell>
          <cell r="BW3" t="str">
            <v>SE M67</v>
          </cell>
          <cell r="BX3" t="str">
            <v>SE M73</v>
          </cell>
          <cell r="BY3" t="str">
            <v>SE M81</v>
          </cell>
          <cell r="BZ3" t="str">
            <v>SE M89</v>
          </cell>
          <cell r="CA3" t="str">
            <v>SE M96</v>
          </cell>
          <cell r="CB3" t="str">
            <v>SE M102</v>
          </cell>
          <cell r="CC3" t="str">
            <v>SE M109</v>
          </cell>
          <cell r="CD3" t="str">
            <v>SE M&gt;109</v>
          </cell>
        </row>
        <row r="4">
          <cell r="C4">
            <v>20</v>
          </cell>
          <cell r="D4">
            <v>25</v>
          </cell>
          <cell r="E4">
            <v>30</v>
          </cell>
          <cell r="F4">
            <v>35</v>
          </cell>
          <cell r="G4">
            <v>40</v>
          </cell>
          <cell r="H4">
            <v>45</v>
          </cell>
          <cell r="I4">
            <v>50</v>
          </cell>
          <cell r="J4">
            <v>55</v>
          </cell>
          <cell r="K4">
            <v>57</v>
          </cell>
          <cell r="L4">
            <v>60</v>
          </cell>
          <cell r="M4">
            <v>30</v>
          </cell>
          <cell r="N4">
            <v>35</v>
          </cell>
          <cell r="O4">
            <v>40</v>
          </cell>
          <cell r="P4">
            <v>45</v>
          </cell>
          <cell r="Q4">
            <v>50</v>
          </cell>
          <cell r="R4">
            <v>55</v>
          </cell>
          <cell r="S4">
            <v>60</v>
          </cell>
          <cell r="T4">
            <v>65</v>
          </cell>
          <cell r="U4">
            <v>67</v>
          </cell>
          <cell r="V4">
            <v>70</v>
          </cell>
          <cell r="W4">
            <v>40</v>
          </cell>
          <cell r="X4">
            <v>45</v>
          </cell>
          <cell r="Y4">
            <v>50</v>
          </cell>
          <cell r="Z4">
            <v>55</v>
          </cell>
          <cell r="AA4">
            <v>60</v>
          </cell>
          <cell r="AB4">
            <v>65</v>
          </cell>
          <cell r="AC4">
            <v>70</v>
          </cell>
          <cell r="AD4">
            <v>75</v>
          </cell>
          <cell r="AE4">
            <v>77</v>
          </cell>
          <cell r="AF4">
            <v>80</v>
          </cell>
          <cell r="AG4">
            <v>50</v>
          </cell>
          <cell r="AH4">
            <v>55</v>
          </cell>
          <cell r="AI4">
            <v>60</v>
          </cell>
          <cell r="AJ4">
            <v>65</v>
          </cell>
          <cell r="AK4">
            <v>70</v>
          </cell>
          <cell r="AL4">
            <v>75</v>
          </cell>
          <cell r="AM4">
            <v>80</v>
          </cell>
          <cell r="AN4">
            <v>85</v>
          </cell>
          <cell r="AO4">
            <v>87</v>
          </cell>
          <cell r="AP4">
            <v>90</v>
          </cell>
          <cell r="AQ4">
            <v>40</v>
          </cell>
          <cell r="AR4">
            <v>55</v>
          </cell>
          <cell r="AS4">
            <v>65</v>
          </cell>
          <cell r="AT4">
            <v>75</v>
          </cell>
          <cell r="AU4">
            <v>80</v>
          </cell>
          <cell r="AV4">
            <v>85</v>
          </cell>
          <cell r="AW4">
            <v>90</v>
          </cell>
          <cell r="AX4">
            <v>95</v>
          </cell>
          <cell r="AY4">
            <v>100</v>
          </cell>
          <cell r="AZ4">
            <v>105</v>
          </cell>
          <cell r="BA4">
            <v>50</v>
          </cell>
          <cell r="BB4">
            <v>65</v>
          </cell>
          <cell r="BC4">
            <v>80</v>
          </cell>
          <cell r="BD4">
            <v>90</v>
          </cell>
          <cell r="BE4">
            <v>100</v>
          </cell>
          <cell r="BF4">
            <v>110</v>
          </cell>
          <cell r="BG4">
            <v>115</v>
          </cell>
          <cell r="BH4">
            <v>120</v>
          </cell>
          <cell r="BI4">
            <v>125</v>
          </cell>
          <cell r="BJ4">
            <v>130</v>
          </cell>
          <cell r="BK4">
            <v>80</v>
          </cell>
          <cell r="BL4">
            <v>95</v>
          </cell>
          <cell r="BM4">
            <v>105</v>
          </cell>
          <cell r="BN4">
            <v>120</v>
          </cell>
          <cell r="BO4">
            <v>130</v>
          </cell>
          <cell r="BP4">
            <v>135</v>
          </cell>
          <cell r="BQ4">
            <v>140</v>
          </cell>
          <cell r="BR4">
            <v>145</v>
          </cell>
          <cell r="BS4">
            <v>150</v>
          </cell>
          <cell r="BT4">
            <v>155</v>
          </cell>
          <cell r="BU4">
            <v>95</v>
          </cell>
          <cell r="BV4">
            <v>110</v>
          </cell>
          <cell r="BW4">
            <v>125</v>
          </cell>
          <cell r="BX4">
            <v>135</v>
          </cell>
          <cell r="BY4">
            <v>145</v>
          </cell>
          <cell r="BZ4">
            <v>150</v>
          </cell>
          <cell r="CA4">
            <v>155</v>
          </cell>
          <cell r="CB4">
            <v>160</v>
          </cell>
          <cell r="CC4">
            <v>165</v>
          </cell>
          <cell r="CD4">
            <v>170</v>
          </cell>
        </row>
        <row r="5">
          <cell r="C5">
            <v>25</v>
          </cell>
          <cell r="D5">
            <v>35</v>
          </cell>
          <cell r="E5">
            <v>40</v>
          </cell>
          <cell r="F5">
            <v>45</v>
          </cell>
          <cell r="G5">
            <v>50</v>
          </cell>
          <cell r="H5">
            <v>55</v>
          </cell>
          <cell r="I5">
            <v>60</v>
          </cell>
          <cell r="J5">
            <v>65</v>
          </cell>
          <cell r="K5">
            <v>67</v>
          </cell>
          <cell r="L5">
            <v>70</v>
          </cell>
          <cell r="M5">
            <v>35</v>
          </cell>
          <cell r="N5">
            <v>42</v>
          </cell>
          <cell r="O5">
            <v>50</v>
          </cell>
          <cell r="P5">
            <v>55</v>
          </cell>
          <cell r="Q5">
            <v>60</v>
          </cell>
          <cell r="R5">
            <v>65</v>
          </cell>
          <cell r="S5">
            <v>70</v>
          </cell>
          <cell r="T5">
            <v>75</v>
          </cell>
          <cell r="U5">
            <v>77</v>
          </cell>
          <cell r="V5">
            <v>80</v>
          </cell>
          <cell r="W5">
            <v>50</v>
          </cell>
          <cell r="X5">
            <v>55</v>
          </cell>
          <cell r="Y5">
            <v>62</v>
          </cell>
          <cell r="Z5">
            <v>70</v>
          </cell>
          <cell r="AA5">
            <v>75</v>
          </cell>
          <cell r="AB5">
            <v>80</v>
          </cell>
          <cell r="AC5">
            <v>85</v>
          </cell>
          <cell r="AD5">
            <v>90</v>
          </cell>
          <cell r="AE5">
            <v>92</v>
          </cell>
          <cell r="AF5">
            <v>95</v>
          </cell>
          <cell r="AG5">
            <v>60</v>
          </cell>
          <cell r="AH5">
            <v>67</v>
          </cell>
          <cell r="AI5">
            <v>75</v>
          </cell>
          <cell r="AJ5">
            <v>80</v>
          </cell>
          <cell r="AK5">
            <v>85</v>
          </cell>
          <cell r="AL5">
            <v>90</v>
          </cell>
          <cell r="AM5">
            <v>95</v>
          </cell>
          <cell r="AN5">
            <v>100</v>
          </cell>
          <cell r="AO5">
            <v>102</v>
          </cell>
          <cell r="AP5">
            <v>105</v>
          </cell>
          <cell r="AQ5">
            <v>55</v>
          </cell>
          <cell r="AR5">
            <v>70</v>
          </cell>
          <cell r="AS5">
            <v>80</v>
          </cell>
          <cell r="AT5">
            <v>95</v>
          </cell>
          <cell r="AU5">
            <v>100</v>
          </cell>
          <cell r="AV5">
            <v>105</v>
          </cell>
          <cell r="AW5">
            <v>110</v>
          </cell>
          <cell r="AX5">
            <v>115</v>
          </cell>
          <cell r="AY5">
            <v>120</v>
          </cell>
          <cell r="AZ5">
            <v>125</v>
          </cell>
          <cell r="BA5">
            <v>65</v>
          </cell>
          <cell r="BB5">
            <v>85</v>
          </cell>
          <cell r="BC5">
            <v>100</v>
          </cell>
          <cell r="BD5">
            <v>110</v>
          </cell>
          <cell r="BE5">
            <v>120</v>
          </cell>
          <cell r="BF5">
            <v>130</v>
          </cell>
          <cell r="BG5">
            <v>135</v>
          </cell>
          <cell r="BH5">
            <v>140</v>
          </cell>
          <cell r="BI5">
            <v>145</v>
          </cell>
          <cell r="BJ5">
            <v>150</v>
          </cell>
          <cell r="BK5">
            <v>100</v>
          </cell>
          <cell r="BL5">
            <v>115</v>
          </cell>
          <cell r="BM5">
            <v>125</v>
          </cell>
          <cell r="BN5">
            <v>140</v>
          </cell>
          <cell r="BO5">
            <v>150</v>
          </cell>
          <cell r="BP5">
            <v>160</v>
          </cell>
          <cell r="BQ5">
            <v>165</v>
          </cell>
          <cell r="BR5">
            <v>170</v>
          </cell>
          <cell r="BS5">
            <v>175</v>
          </cell>
          <cell r="BT5">
            <v>180</v>
          </cell>
          <cell r="BU5">
            <v>115</v>
          </cell>
          <cell r="BV5">
            <v>130</v>
          </cell>
          <cell r="BW5">
            <v>145</v>
          </cell>
          <cell r="BX5">
            <v>160</v>
          </cell>
          <cell r="BY5">
            <v>170</v>
          </cell>
          <cell r="BZ5">
            <v>175</v>
          </cell>
          <cell r="CA5">
            <v>180</v>
          </cell>
          <cell r="CB5">
            <v>185</v>
          </cell>
          <cell r="CC5">
            <v>190</v>
          </cell>
          <cell r="CD5">
            <v>195</v>
          </cell>
        </row>
        <row r="6">
          <cell r="C6">
            <v>35</v>
          </cell>
          <cell r="D6">
            <v>45</v>
          </cell>
          <cell r="E6">
            <v>50</v>
          </cell>
          <cell r="F6">
            <v>57</v>
          </cell>
          <cell r="G6">
            <v>62</v>
          </cell>
          <cell r="H6">
            <v>67</v>
          </cell>
          <cell r="I6">
            <v>72</v>
          </cell>
          <cell r="J6">
            <v>75</v>
          </cell>
          <cell r="K6">
            <v>77</v>
          </cell>
          <cell r="L6">
            <v>80</v>
          </cell>
          <cell r="M6">
            <v>45</v>
          </cell>
          <cell r="N6">
            <v>50</v>
          </cell>
          <cell r="O6">
            <v>57</v>
          </cell>
          <cell r="P6">
            <v>65</v>
          </cell>
          <cell r="Q6">
            <v>70</v>
          </cell>
          <cell r="R6">
            <v>75</v>
          </cell>
          <cell r="S6">
            <v>80</v>
          </cell>
          <cell r="T6">
            <v>85</v>
          </cell>
          <cell r="U6">
            <v>90</v>
          </cell>
          <cell r="V6">
            <v>95</v>
          </cell>
          <cell r="W6">
            <v>60</v>
          </cell>
          <cell r="X6">
            <v>65</v>
          </cell>
          <cell r="Y6">
            <v>75</v>
          </cell>
          <cell r="Z6">
            <v>82</v>
          </cell>
          <cell r="AA6">
            <v>90</v>
          </cell>
          <cell r="AB6">
            <v>95</v>
          </cell>
          <cell r="AC6">
            <v>100</v>
          </cell>
          <cell r="AD6">
            <v>105</v>
          </cell>
          <cell r="AE6">
            <v>107</v>
          </cell>
          <cell r="AF6">
            <v>110</v>
          </cell>
          <cell r="AG6">
            <v>70</v>
          </cell>
          <cell r="AH6">
            <v>80</v>
          </cell>
          <cell r="AI6">
            <v>87</v>
          </cell>
          <cell r="AJ6">
            <v>92</v>
          </cell>
          <cell r="AK6">
            <v>100</v>
          </cell>
          <cell r="AL6">
            <v>107</v>
          </cell>
          <cell r="AM6">
            <v>115</v>
          </cell>
          <cell r="AN6">
            <v>120</v>
          </cell>
          <cell r="AO6">
            <v>122</v>
          </cell>
          <cell r="AP6">
            <v>125</v>
          </cell>
          <cell r="AQ6">
            <v>70</v>
          </cell>
          <cell r="AR6">
            <v>85</v>
          </cell>
          <cell r="AS6">
            <v>100</v>
          </cell>
          <cell r="AT6">
            <v>110</v>
          </cell>
          <cell r="AU6">
            <v>120</v>
          </cell>
          <cell r="AV6">
            <v>130</v>
          </cell>
          <cell r="AW6">
            <v>135</v>
          </cell>
          <cell r="AX6">
            <v>140</v>
          </cell>
          <cell r="AY6">
            <v>145</v>
          </cell>
          <cell r="AZ6">
            <v>150</v>
          </cell>
          <cell r="BA6">
            <v>80</v>
          </cell>
          <cell r="BB6">
            <v>100</v>
          </cell>
          <cell r="BC6">
            <v>120</v>
          </cell>
          <cell r="BD6">
            <v>130</v>
          </cell>
          <cell r="BE6">
            <v>140</v>
          </cell>
          <cell r="BF6">
            <v>150</v>
          </cell>
          <cell r="BG6">
            <v>160</v>
          </cell>
          <cell r="BH6">
            <v>165</v>
          </cell>
          <cell r="BI6">
            <v>170</v>
          </cell>
          <cell r="BJ6">
            <v>175</v>
          </cell>
          <cell r="BK6">
            <v>115</v>
          </cell>
          <cell r="BL6">
            <v>130</v>
          </cell>
          <cell r="BM6">
            <v>150</v>
          </cell>
          <cell r="BN6">
            <v>160</v>
          </cell>
          <cell r="BO6">
            <v>170</v>
          </cell>
          <cell r="BP6">
            <v>180</v>
          </cell>
          <cell r="BQ6">
            <v>185</v>
          </cell>
          <cell r="BR6">
            <v>190</v>
          </cell>
          <cell r="BS6">
            <v>195</v>
          </cell>
          <cell r="BT6">
            <v>200</v>
          </cell>
          <cell r="BU6">
            <v>130</v>
          </cell>
          <cell r="BV6">
            <v>150</v>
          </cell>
          <cell r="BW6">
            <v>170</v>
          </cell>
          <cell r="BX6">
            <v>185</v>
          </cell>
          <cell r="BY6">
            <v>195</v>
          </cell>
          <cell r="BZ6">
            <v>200</v>
          </cell>
          <cell r="CA6">
            <v>205</v>
          </cell>
          <cell r="CB6">
            <v>210</v>
          </cell>
          <cell r="CC6">
            <v>215</v>
          </cell>
          <cell r="CD6">
            <v>220</v>
          </cell>
        </row>
        <row r="7">
          <cell r="C7">
            <v>45</v>
          </cell>
          <cell r="D7">
            <v>55</v>
          </cell>
          <cell r="E7">
            <v>60</v>
          </cell>
          <cell r="F7">
            <v>67</v>
          </cell>
          <cell r="G7">
            <v>72</v>
          </cell>
          <cell r="H7">
            <v>77</v>
          </cell>
          <cell r="I7">
            <v>82</v>
          </cell>
          <cell r="J7">
            <v>85</v>
          </cell>
          <cell r="K7">
            <v>87</v>
          </cell>
          <cell r="L7">
            <v>90</v>
          </cell>
          <cell r="M7">
            <v>55</v>
          </cell>
          <cell r="N7">
            <v>60</v>
          </cell>
          <cell r="O7">
            <v>67</v>
          </cell>
          <cell r="P7">
            <v>77</v>
          </cell>
          <cell r="Q7">
            <v>82</v>
          </cell>
          <cell r="R7">
            <v>87</v>
          </cell>
          <cell r="S7">
            <v>92</v>
          </cell>
          <cell r="T7">
            <v>97</v>
          </cell>
          <cell r="U7">
            <v>100</v>
          </cell>
          <cell r="V7">
            <v>105</v>
          </cell>
          <cell r="W7">
            <v>70</v>
          </cell>
          <cell r="X7">
            <v>77</v>
          </cell>
          <cell r="Y7">
            <v>87</v>
          </cell>
          <cell r="Z7">
            <v>95</v>
          </cell>
          <cell r="AA7">
            <v>105</v>
          </cell>
          <cell r="AB7">
            <v>110</v>
          </cell>
          <cell r="AC7">
            <v>115</v>
          </cell>
          <cell r="AD7">
            <v>120</v>
          </cell>
          <cell r="AE7">
            <v>122</v>
          </cell>
          <cell r="AF7">
            <v>125</v>
          </cell>
          <cell r="AG7">
            <v>82</v>
          </cell>
          <cell r="AH7">
            <v>92</v>
          </cell>
          <cell r="AI7">
            <v>102</v>
          </cell>
          <cell r="AJ7">
            <v>107</v>
          </cell>
          <cell r="AK7">
            <v>117</v>
          </cell>
          <cell r="AL7">
            <v>122</v>
          </cell>
          <cell r="AM7">
            <v>130</v>
          </cell>
          <cell r="AN7">
            <v>135</v>
          </cell>
          <cell r="AO7">
            <v>137</v>
          </cell>
          <cell r="AP7">
            <v>140</v>
          </cell>
          <cell r="AQ7">
            <v>85</v>
          </cell>
          <cell r="AR7">
            <v>100</v>
          </cell>
          <cell r="AS7">
            <v>115</v>
          </cell>
          <cell r="AT7">
            <v>130</v>
          </cell>
          <cell r="AU7">
            <v>140</v>
          </cell>
          <cell r="AV7">
            <v>150</v>
          </cell>
          <cell r="AW7">
            <v>155</v>
          </cell>
          <cell r="AX7">
            <v>160</v>
          </cell>
          <cell r="AY7">
            <v>165</v>
          </cell>
          <cell r="AZ7">
            <v>170</v>
          </cell>
          <cell r="BA7">
            <v>95</v>
          </cell>
          <cell r="BB7">
            <v>115</v>
          </cell>
          <cell r="BC7">
            <v>135</v>
          </cell>
          <cell r="BD7">
            <v>150</v>
          </cell>
          <cell r="BE7">
            <v>160</v>
          </cell>
          <cell r="BF7">
            <v>170</v>
          </cell>
          <cell r="BG7">
            <v>180</v>
          </cell>
          <cell r="BH7">
            <v>185</v>
          </cell>
          <cell r="BI7">
            <v>190</v>
          </cell>
          <cell r="BJ7">
            <v>195</v>
          </cell>
          <cell r="BK7">
            <v>130</v>
          </cell>
          <cell r="BL7">
            <v>150</v>
          </cell>
          <cell r="BM7">
            <v>170</v>
          </cell>
          <cell r="BN7">
            <v>180</v>
          </cell>
          <cell r="BO7">
            <v>190</v>
          </cell>
          <cell r="BP7">
            <v>200</v>
          </cell>
          <cell r="BQ7">
            <v>210</v>
          </cell>
          <cell r="BR7">
            <v>215</v>
          </cell>
          <cell r="BS7">
            <v>220</v>
          </cell>
          <cell r="BT7">
            <v>225</v>
          </cell>
          <cell r="BU7">
            <v>145</v>
          </cell>
          <cell r="BV7">
            <v>170</v>
          </cell>
          <cell r="BW7">
            <v>195</v>
          </cell>
          <cell r="BX7">
            <v>210</v>
          </cell>
          <cell r="BY7">
            <v>220</v>
          </cell>
          <cell r="BZ7">
            <v>230</v>
          </cell>
          <cell r="CA7">
            <v>235</v>
          </cell>
          <cell r="CB7">
            <v>240</v>
          </cell>
          <cell r="CC7">
            <v>245</v>
          </cell>
          <cell r="CD7">
            <v>250</v>
          </cell>
        </row>
        <row r="8">
          <cell r="C8">
            <v>55</v>
          </cell>
          <cell r="D8">
            <v>65</v>
          </cell>
          <cell r="E8">
            <v>72</v>
          </cell>
          <cell r="F8">
            <v>82</v>
          </cell>
          <cell r="G8">
            <v>87</v>
          </cell>
          <cell r="H8">
            <v>92</v>
          </cell>
          <cell r="I8">
            <v>97</v>
          </cell>
          <cell r="J8">
            <v>100</v>
          </cell>
          <cell r="K8">
            <v>102</v>
          </cell>
          <cell r="L8">
            <v>105</v>
          </cell>
          <cell r="M8">
            <v>68</v>
          </cell>
          <cell r="N8">
            <v>75</v>
          </cell>
          <cell r="O8">
            <v>82</v>
          </cell>
          <cell r="P8">
            <v>92</v>
          </cell>
          <cell r="Q8">
            <v>97</v>
          </cell>
          <cell r="R8">
            <v>102</v>
          </cell>
          <cell r="S8">
            <v>107</v>
          </cell>
          <cell r="T8">
            <v>110</v>
          </cell>
          <cell r="U8">
            <v>112</v>
          </cell>
          <cell r="V8">
            <v>115</v>
          </cell>
          <cell r="W8">
            <v>83</v>
          </cell>
          <cell r="X8">
            <v>90</v>
          </cell>
          <cell r="Y8">
            <v>103</v>
          </cell>
          <cell r="Z8">
            <v>110</v>
          </cell>
          <cell r="AA8">
            <v>118</v>
          </cell>
          <cell r="AB8">
            <v>123</v>
          </cell>
          <cell r="AC8">
            <v>127</v>
          </cell>
          <cell r="AD8">
            <v>132</v>
          </cell>
          <cell r="AE8">
            <v>135</v>
          </cell>
          <cell r="AF8">
            <v>140</v>
          </cell>
          <cell r="AG8">
            <v>95</v>
          </cell>
          <cell r="AH8">
            <v>107</v>
          </cell>
          <cell r="AI8">
            <v>123</v>
          </cell>
          <cell r="AJ8">
            <v>130</v>
          </cell>
          <cell r="AK8">
            <v>137</v>
          </cell>
          <cell r="AL8">
            <v>142</v>
          </cell>
          <cell r="AM8">
            <v>147</v>
          </cell>
          <cell r="AN8">
            <v>150</v>
          </cell>
          <cell r="AO8">
            <v>152</v>
          </cell>
          <cell r="AP8">
            <v>155</v>
          </cell>
          <cell r="AQ8">
            <v>100</v>
          </cell>
          <cell r="AR8">
            <v>115</v>
          </cell>
          <cell r="AS8">
            <v>130</v>
          </cell>
          <cell r="AT8">
            <v>150</v>
          </cell>
          <cell r="AU8">
            <v>160</v>
          </cell>
          <cell r="AV8">
            <v>170</v>
          </cell>
          <cell r="AW8">
            <v>175</v>
          </cell>
          <cell r="AX8">
            <v>180</v>
          </cell>
          <cell r="AY8">
            <v>185</v>
          </cell>
          <cell r="AZ8">
            <v>190</v>
          </cell>
          <cell r="BA8">
            <v>110</v>
          </cell>
          <cell r="BB8">
            <v>130</v>
          </cell>
          <cell r="BC8">
            <v>150</v>
          </cell>
          <cell r="BD8">
            <v>170</v>
          </cell>
          <cell r="BE8">
            <v>180</v>
          </cell>
          <cell r="BF8">
            <v>190</v>
          </cell>
          <cell r="BG8">
            <v>200</v>
          </cell>
          <cell r="BH8">
            <v>205</v>
          </cell>
          <cell r="BI8">
            <v>210</v>
          </cell>
          <cell r="BJ8">
            <v>215</v>
          </cell>
          <cell r="BK8">
            <v>145</v>
          </cell>
          <cell r="BL8">
            <v>170</v>
          </cell>
          <cell r="BM8">
            <v>190</v>
          </cell>
          <cell r="BN8">
            <v>200</v>
          </cell>
          <cell r="BO8">
            <v>215</v>
          </cell>
          <cell r="BP8">
            <v>225</v>
          </cell>
          <cell r="BQ8">
            <v>230</v>
          </cell>
          <cell r="BR8">
            <v>240</v>
          </cell>
          <cell r="BS8">
            <v>245</v>
          </cell>
          <cell r="BT8">
            <v>250</v>
          </cell>
          <cell r="BU8">
            <v>170</v>
          </cell>
          <cell r="BV8">
            <v>195</v>
          </cell>
          <cell r="BW8">
            <v>225</v>
          </cell>
          <cell r="BX8">
            <v>240</v>
          </cell>
          <cell r="BY8">
            <v>250</v>
          </cell>
          <cell r="BZ8">
            <v>260</v>
          </cell>
          <cell r="CA8">
            <v>265</v>
          </cell>
          <cell r="CB8">
            <v>270</v>
          </cell>
          <cell r="CC8">
            <v>275</v>
          </cell>
          <cell r="CD8">
            <v>280</v>
          </cell>
        </row>
        <row r="9">
          <cell r="C9">
            <v>68</v>
          </cell>
          <cell r="D9">
            <v>78</v>
          </cell>
          <cell r="E9">
            <v>85</v>
          </cell>
          <cell r="F9">
            <v>95</v>
          </cell>
          <cell r="G9">
            <v>100</v>
          </cell>
          <cell r="H9">
            <v>105</v>
          </cell>
          <cell r="I9">
            <v>110</v>
          </cell>
          <cell r="J9">
            <v>115</v>
          </cell>
          <cell r="K9">
            <v>117</v>
          </cell>
          <cell r="L9">
            <v>120</v>
          </cell>
          <cell r="M9">
            <v>80</v>
          </cell>
          <cell r="N9">
            <v>88</v>
          </cell>
          <cell r="O9">
            <v>95</v>
          </cell>
          <cell r="P9">
            <v>105</v>
          </cell>
          <cell r="Q9">
            <v>110</v>
          </cell>
          <cell r="R9">
            <v>115</v>
          </cell>
          <cell r="S9">
            <v>120</v>
          </cell>
          <cell r="T9">
            <v>125</v>
          </cell>
          <cell r="U9">
            <v>130</v>
          </cell>
          <cell r="V9">
            <v>135</v>
          </cell>
          <cell r="W9">
            <v>97</v>
          </cell>
          <cell r="X9">
            <v>105</v>
          </cell>
          <cell r="Y9">
            <v>118</v>
          </cell>
          <cell r="Z9">
            <v>125</v>
          </cell>
          <cell r="AA9">
            <v>135</v>
          </cell>
          <cell r="AB9">
            <v>142</v>
          </cell>
          <cell r="AC9">
            <v>147</v>
          </cell>
          <cell r="AD9">
            <v>152</v>
          </cell>
          <cell r="AE9">
            <v>155</v>
          </cell>
          <cell r="AF9">
            <v>160</v>
          </cell>
          <cell r="AG9">
            <v>110</v>
          </cell>
          <cell r="AH9">
            <v>122</v>
          </cell>
          <cell r="AI9">
            <v>138</v>
          </cell>
          <cell r="AJ9">
            <v>145</v>
          </cell>
          <cell r="AK9">
            <v>155</v>
          </cell>
          <cell r="AL9">
            <v>165</v>
          </cell>
          <cell r="AM9">
            <v>170</v>
          </cell>
          <cell r="AN9">
            <v>172</v>
          </cell>
          <cell r="AO9">
            <v>175</v>
          </cell>
          <cell r="AP9">
            <v>180</v>
          </cell>
          <cell r="AQ9">
            <v>115</v>
          </cell>
          <cell r="AR9">
            <v>130</v>
          </cell>
          <cell r="AS9">
            <v>150</v>
          </cell>
          <cell r="AT9">
            <v>170</v>
          </cell>
          <cell r="AU9">
            <v>180</v>
          </cell>
          <cell r="AV9">
            <v>190</v>
          </cell>
          <cell r="AW9">
            <v>200</v>
          </cell>
          <cell r="AX9">
            <v>205</v>
          </cell>
          <cell r="AY9">
            <v>210</v>
          </cell>
          <cell r="AZ9">
            <v>215</v>
          </cell>
          <cell r="BA9">
            <v>125</v>
          </cell>
          <cell r="BB9">
            <v>145</v>
          </cell>
          <cell r="BC9">
            <v>170</v>
          </cell>
          <cell r="BD9">
            <v>190</v>
          </cell>
          <cell r="BE9">
            <v>200</v>
          </cell>
          <cell r="BF9">
            <v>210</v>
          </cell>
          <cell r="BG9">
            <v>220</v>
          </cell>
          <cell r="BH9">
            <v>225</v>
          </cell>
          <cell r="BI9">
            <v>230</v>
          </cell>
          <cell r="BJ9">
            <v>235</v>
          </cell>
          <cell r="BK9">
            <v>170</v>
          </cell>
          <cell r="BL9">
            <v>190</v>
          </cell>
          <cell r="BM9">
            <v>218</v>
          </cell>
          <cell r="BN9">
            <v>230</v>
          </cell>
          <cell r="BO9">
            <v>245</v>
          </cell>
          <cell r="BP9">
            <v>255</v>
          </cell>
          <cell r="BQ9">
            <v>260</v>
          </cell>
          <cell r="BR9">
            <v>270</v>
          </cell>
          <cell r="BS9">
            <v>275</v>
          </cell>
          <cell r="BT9">
            <v>280</v>
          </cell>
          <cell r="BU9">
            <v>190</v>
          </cell>
          <cell r="BV9">
            <v>215</v>
          </cell>
          <cell r="BW9">
            <v>240</v>
          </cell>
          <cell r="BX9">
            <v>260</v>
          </cell>
          <cell r="BY9">
            <v>275</v>
          </cell>
          <cell r="BZ9">
            <v>287</v>
          </cell>
          <cell r="CA9">
            <v>295</v>
          </cell>
          <cell r="CB9">
            <v>302</v>
          </cell>
          <cell r="CC9">
            <v>310</v>
          </cell>
          <cell r="CD9">
            <v>315</v>
          </cell>
        </row>
        <row r="10">
          <cell r="C10">
            <v>80</v>
          </cell>
          <cell r="D10">
            <v>90</v>
          </cell>
          <cell r="E10">
            <v>100</v>
          </cell>
          <cell r="F10">
            <v>110</v>
          </cell>
          <cell r="G10">
            <v>115</v>
          </cell>
          <cell r="H10">
            <v>120</v>
          </cell>
          <cell r="I10">
            <v>125</v>
          </cell>
          <cell r="J10">
            <v>130</v>
          </cell>
          <cell r="K10">
            <v>132</v>
          </cell>
          <cell r="L10">
            <v>135</v>
          </cell>
          <cell r="M10">
            <v>90</v>
          </cell>
          <cell r="N10">
            <v>100</v>
          </cell>
          <cell r="O10">
            <v>110</v>
          </cell>
          <cell r="P10">
            <v>120</v>
          </cell>
          <cell r="Q10">
            <v>125</v>
          </cell>
          <cell r="R10">
            <v>130</v>
          </cell>
          <cell r="S10">
            <v>135</v>
          </cell>
          <cell r="T10">
            <v>140</v>
          </cell>
          <cell r="U10">
            <v>145</v>
          </cell>
          <cell r="V10">
            <v>150</v>
          </cell>
          <cell r="W10">
            <v>110</v>
          </cell>
          <cell r="X10">
            <v>120</v>
          </cell>
          <cell r="Y10">
            <v>138</v>
          </cell>
          <cell r="Z10">
            <v>145</v>
          </cell>
          <cell r="AA10">
            <v>155</v>
          </cell>
          <cell r="AB10">
            <v>162</v>
          </cell>
          <cell r="AC10">
            <v>167</v>
          </cell>
          <cell r="AD10">
            <v>172</v>
          </cell>
          <cell r="AE10">
            <v>175</v>
          </cell>
          <cell r="AF10">
            <v>180</v>
          </cell>
          <cell r="AG10">
            <v>125</v>
          </cell>
          <cell r="AH10">
            <v>140</v>
          </cell>
          <cell r="AI10">
            <v>155</v>
          </cell>
          <cell r="AJ10">
            <v>165</v>
          </cell>
          <cell r="AK10">
            <v>175</v>
          </cell>
          <cell r="AL10">
            <v>185</v>
          </cell>
          <cell r="AM10">
            <v>190</v>
          </cell>
          <cell r="AN10">
            <v>192</v>
          </cell>
          <cell r="AO10">
            <v>195</v>
          </cell>
          <cell r="AP10">
            <v>200</v>
          </cell>
          <cell r="AQ10">
            <v>130</v>
          </cell>
          <cell r="AR10">
            <v>150</v>
          </cell>
          <cell r="AS10">
            <v>170</v>
          </cell>
          <cell r="AT10">
            <v>190</v>
          </cell>
          <cell r="AU10">
            <v>200</v>
          </cell>
          <cell r="AV10">
            <v>210</v>
          </cell>
          <cell r="AW10">
            <v>220</v>
          </cell>
          <cell r="AX10">
            <v>225</v>
          </cell>
          <cell r="AY10">
            <v>230</v>
          </cell>
          <cell r="AZ10">
            <v>235</v>
          </cell>
          <cell r="BA10">
            <v>140</v>
          </cell>
          <cell r="BB10">
            <v>170</v>
          </cell>
          <cell r="BC10">
            <v>190</v>
          </cell>
          <cell r="BD10">
            <v>210</v>
          </cell>
          <cell r="BE10">
            <v>220</v>
          </cell>
          <cell r="BF10">
            <v>230</v>
          </cell>
          <cell r="BG10">
            <v>240</v>
          </cell>
          <cell r="BH10">
            <v>250</v>
          </cell>
          <cell r="BI10">
            <v>255</v>
          </cell>
          <cell r="BJ10">
            <v>260</v>
          </cell>
          <cell r="BK10">
            <v>190</v>
          </cell>
          <cell r="BL10">
            <v>210</v>
          </cell>
          <cell r="BM10">
            <v>240</v>
          </cell>
          <cell r="BN10">
            <v>250</v>
          </cell>
          <cell r="BO10">
            <v>270</v>
          </cell>
          <cell r="BP10">
            <v>285</v>
          </cell>
          <cell r="BQ10">
            <v>290</v>
          </cell>
          <cell r="BR10">
            <v>300</v>
          </cell>
          <cell r="BS10">
            <v>305</v>
          </cell>
          <cell r="BT10">
            <v>310</v>
          </cell>
          <cell r="BU10">
            <v>210</v>
          </cell>
          <cell r="BV10">
            <v>235</v>
          </cell>
          <cell r="BW10">
            <v>260</v>
          </cell>
          <cell r="BX10">
            <v>280</v>
          </cell>
          <cell r="BY10">
            <v>295</v>
          </cell>
          <cell r="BZ10">
            <v>310</v>
          </cell>
          <cell r="CA10">
            <v>320</v>
          </cell>
          <cell r="CB10">
            <v>330</v>
          </cell>
          <cell r="CC10">
            <v>335</v>
          </cell>
          <cell r="CD10">
            <v>340</v>
          </cell>
        </row>
        <row r="11">
          <cell r="C11">
            <v>90</v>
          </cell>
          <cell r="D11">
            <v>105</v>
          </cell>
          <cell r="E11">
            <v>115</v>
          </cell>
          <cell r="F11">
            <v>125</v>
          </cell>
          <cell r="G11">
            <v>130</v>
          </cell>
          <cell r="H11">
            <v>135</v>
          </cell>
          <cell r="I11">
            <v>140</v>
          </cell>
          <cell r="J11">
            <v>145</v>
          </cell>
          <cell r="K11">
            <v>147</v>
          </cell>
          <cell r="L11">
            <v>150</v>
          </cell>
          <cell r="M11">
            <v>105</v>
          </cell>
          <cell r="N11">
            <v>115</v>
          </cell>
          <cell r="O11">
            <v>125</v>
          </cell>
          <cell r="P11">
            <v>135</v>
          </cell>
          <cell r="Q11">
            <v>140</v>
          </cell>
          <cell r="R11">
            <v>145</v>
          </cell>
          <cell r="S11">
            <v>150</v>
          </cell>
          <cell r="T11">
            <v>160</v>
          </cell>
          <cell r="U11">
            <v>165</v>
          </cell>
          <cell r="V11">
            <v>170</v>
          </cell>
          <cell r="W11">
            <v>130</v>
          </cell>
          <cell r="X11">
            <v>140</v>
          </cell>
          <cell r="Y11">
            <v>160</v>
          </cell>
          <cell r="Z11">
            <v>165</v>
          </cell>
          <cell r="AA11">
            <v>175</v>
          </cell>
          <cell r="AB11">
            <v>182</v>
          </cell>
          <cell r="AC11">
            <v>187</v>
          </cell>
          <cell r="AD11">
            <v>192</v>
          </cell>
          <cell r="AE11">
            <v>195</v>
          </cell>
          <cell r="AF11">
            <v>200</v>
          </cell>
          <cell r="AG11">
            <v>145</v>
          </cell>
          <cell r="AH11">
            <v>160</v>
          </cell>
          <cell r="AI11">
            <v>175</v>
          </cell>
          <cell r="AJ11">
            <v>185</v>
          </cell>
          <cell r="AK11">
            <v>195</v>
          </cell>
          <cell r="AL11">
            <v>205</v>
          </cell>
          <cell r="AM11">
            <v>210</v>
          </cell>
          <cell r="AN11">
            <v>212</v>
          </cell>
          <cell r="AO11">
            <v>215</v>
          </cell>
          <cell r="AP11">
            <v>220</v>
          </cell>
          <cell r="AQ11">
            <v>145</v>
          </cell>
          <cell r="AR11">
            <v>170</v>
          </cell>
          <cell r="AS11">
            <v>190</v>
          </cell>
          <cell r="AT11">
            <v>210</v>
          </cell>
          <cell r="AU11">
            <v>220</v>
          </cell>
          <cell r="AV11">
            <v>230</v>
          </cell>
          <cell r="AW11">
            <v>240</v>
          </cell>
          <cell r="AX11">
            <v>245</v>
          </cell>
          <cell r="AY11">
            <v>250</v>
          </cell>
          <cell r="AZ11">
            <v>255</v>
          </cell>
          <cell r="BA11">
            <v>155</v>
          </cell>
          <cell r="BB11">
            <v>190</v>
          </cell>
          <cell r="BC11">
            <v>210</v>
          </cell>
          <cell r="BD11">
            <v>230</v>
          </cell>
          <cell r="BE11">
            <v>240</v>
          </cell>
          <cell r="BF11">
            <v>260</v>
          </cell>
          <cell r="BG11">
            <v>270</v>
          </cell>
          <cell r="BH11">
            <v>280</v>
          </cell>
          <cell r="BI11">
            <v>285</v>
          </cell>
          <cell r="BJ11">
            <v>290</v>
          </cell>
          <cell r="BK11">
            <v>210</v>
          </cell>
          <cell r="BL11">
            <v>230</v>
          </cell>
          <cell r="BM11">
            <v>260</v>
          </cell>
          <cell r="BN11">
            <v>275</v>
          </cell>
          <cell r="BO11">
            <v>295</v>
          </cell>
          <cell r="BP11">
            <v>310</v>
          </cell>
          <cell r="BQ11">
            <v>315</v>
          </cell>
          <cell r="BR11">
            <v>325</v>
          </cell>
          <cell r="BS11">
            <v>330</v>
          </cell>
          <cell r="BT11">
            <v>335</v>
          </cell>
          <cell r="BU11">
            <v>230</v>
          </cell>
          <cell r="BV11">
            <v>260</v>
          </cell>
          <cell r="BW11">
            <v>280</v>
          </cell>
          <cell r="BX11">
            <v>300</v>
          </cell>
          <cell r="BY11">
            <v>320</v>
          </cell>
          <cell r="BZ11">
            <v>330</v>
          </cell>
          <cell r="CA11">
            <v>340</v>
          </cell>
          <cell r="CB11">
            <v>350</v>
          </cell>
          <cell r="CC11">
            <v>360</v>
          </cell>
          <cell r="CD11">
            <v>365</v>
          </cell>
        </row>
        <row r="12">
          <cell r="C12">
            <v>175</v>
          </cell>
          <cell r="D12">
            <v>175</v>
          </cell>
          <cell r="E12">
            <v>175</v>
          </cell>
          <cell r="F12">
            <v>190</v>
          </cell>
          <cell r="G12">
            <v>200</v>
          </cell>
          <cell r="H12">
            <v>210</v>
          </cell>
          <cell r="I12">
            <v>225</v>
          </cell>
          <cell r="J12">
            <v>225</v>
          </cell>
          <cell r="K12">
            <v>230</v>
          </cell>
          <cell r="L12">
            <v>230</v>
          </cell>
          <cell r="M12">
            <v>175</v>
          </cell>
          <cell r="N12">
            <v>175</v>
          </cell>
          <cell r="O12">
            <v>175</v>
          </cell>
          <cell r="P12">
            <v>190</v>
          </cell>
          <cell r="Q12">
            <v>200</v>
          </cell>
          <cell r="R12">
            <v>210</v>
          </cell>
          <cell r="S12">
            <v>225</v>
          </cell>
          <cell r="T12">
            <v>225</v>
          </cell>
          <cell r="U12">
            <v>230</v>
          </cell>
          <cell r="V12">
            <v>230</v>
          </cell>
          <cell r="W12">
            <v>175</v>
          </cell>
          <cell r="X12">
            <v>175</v>
          </cell>
          <cell r="Y12">
            <v>190</v>
          </cell>
          <cell r="Z12">
            <v>200</v>
          </cell>
          <cell r="AA12">
            <v>210</v>
          </cell>
          <cell r="AB12">
            <v>225</v>
          </cell>
          <cell r="AC12">
            <v>225</v>
          </cell>
          <cell r="AD12">
            <v>230</v>
          </cell>
          <cell r="AE12">
            <v>230</v>
          </cell>
          <cell r="AF12">
            <v>235</v>
          </cell>
          <cell r="AG12">
            <v>175</v>
          </cell>
          <cell r="AH12">
            <v>175</v>
          </cell>
          <cell r="AI12">
            <v>190</v>
          </cell>
          <cell r="AJ12">
            <v>200</v>
          </cell>
          <cell r="AK12">
            <v>210</v>
          </cell>
          <cell r="AL12">
            <v>225</v>
          </cell>
          <cell r="AM12">
            <v>225</v>
          </cell>
          <cell r="AN12">
            <v>230</v>
          </cell>
          <cell r="AO12">
            <v>230</v>
          </cell>
          <cell r="AP12">
            <v>235</v>
          </cell>
          <cell r="AQ12">
            <v>275</v>
          </cell>
          <cell r="AR12">
            <v>275</v>
          </cell>
          <cell r="AS12">
            <v>275</v>
          </cell>
          <cell r="AT12">
            <v>295</v>
          </cell>
          <cell r="AU12">
            <v>315</v>
          </cell>
          <cell r="AV12">
            <v>335</v>
          </cell>
          <cell r="AW12">
            <v>360</v>
          </cell>
          <cell r="AX12">
            <v>360</v>
          </cell>
          <cell r="AY12">
            <v>380</v>
          </cell>
          <cell r="AZ12">
            <v>380</v>
          </cell>
          <cell r="BA12">
            <v>275</v>
          </cell>
          <cell r="BB12">
            <v>275</v>
          </cell>
          <cell r="BC12">
            <v>275</v>
          </cell>
          <cell r="BD12">
            <v>295</v>
          </cell>
          <cell r="BE12">
            <v>315</v>
          </cell>
          <cell r="BF12">
            <v>335</v>
          </cell>
          <cell r="BG12">
            <v>360</v>
          </cell>
          <cell r="BH12">
            <v>360</v>
          </cell>
          <cell r="BI12">
            <v>380</v>
          </cell>
          <cell r="BJ12">
            <v>380</v>
          </cell>
          <cell r="BK12">
            <v>275</v>
          </cell>
          <cell r="BL12">
            <v>275</v>
          </cell>
          <cell r="BM12">
            <v>295</v>
          </cell>
          <cell r="BN12">
            <v>315</v>
          </cell>
          <cell r="BO12">
            <v>335</v>
          </cell>
          <cell r="BP12">
            <v>360</v>
          </cell>
          <cell r="BQ12">
            <v>360</v>
          </cell>
          <cell r="BR12">
            <v>380</v>
          </cell>
          <cell r="BS12">
            <v>380</v>
          </cell>
          <cell r="BT12">
            <v>385</v>
          </cell>
          <cell r="BU12">
            <v>275</v>
          </cell>
          <cell r="BV12">
            <v>275</v>
          </cell>
          <cell r="BW12">
            <v>295</v>
          </cell>
          <cell r="BX12">
            <v>315</v>
          </cell>
          <cell r="BY12">
            <v>335</v>
          </cell>
          <cell r="BZ12">
            <v>360</v>
          </cell>
          <cell r="CA12">
            <v>360</v>
          </cell>
          <cell r="CB12">
            <v>380</v>
          </cell>
          <cell r="CC12">
            <v>380</v>
          </cell>
          <cell r="CD12">
            <v>385</v>
          </cell>
        </row>
        <row r="15">
          <cell r="B15" t="str">
            <v>MINIME</v>
          </cell>
          <cell r="C15" t="str">
            <v>CADET</v>
          </cell>
          <cell r="D15" t="str">
            <v>CADET</v>
          </cell>
          <cell r="E15" t="str">
            <v>JUNIOR</v>
          </cell>
          <cell r="F15" t="str">
            <v>SENIOR</v>
          </cell>
          <cell r="H15" t="str">
            <v>MINIME</v>
          </cell>
          <cell r="I15" t="str">
            <v>CADETTE</v>
          </cell>
          <cell r="J15" t="str">
            <v>CADETTE</v>
          </cell>
          <cell r="K15" t="str">
            <v>JUNIOR</v>
          </cell>
          <cell r="L15" t="str">
            <v>SENIOR</v>
          </cell>
        </row>
        <row r="16">
          <cell r="A16">
            <v>10</v>
          </cell>
          <cell r="B16" t="str">
            <v>NON</v>
          </cell>
          <cell r="C16" t="str">
            <v>U15 M49</v>
          </cell>
          <cell r="D16" t="str">
            <v>U17 M49</v>
          </cell>
          <cell r="E16" t="str">
            <v>U20 M55</v>
          </cell>
          <cell r="F16" t="str">
            <v>SE M55</v>
          </cell>
          <cell r="G16">
            <v>10</v>
          </cell>
          <cell r="H16" t="str">
            <v>NON</v>
          </cell>
          <cell r="I16" t="str">
            <v>U15 F40</v>
          </cell>
          <cell r="J16" t="str">
            <v>U17 F40</v>
          </cell>
          <cell r="K16" t="str">
            <v>U20 F45</v>
          </cell>
          <cell r="L16" t="str">
            <v>SE F45</v>
          </cell>
        </row>
        <row r="17">
          <cell r="A17">
            <v>35.01</v>
          </cell>
          <cell r="B17" t="str">
            <v>NON</v>
          </cell>
          <cell r="C17" t="str">
            <v>U15 M49</v>
          </cell>
          <cell r="D17" t="str">
            <v>U17 M49</v>
          </cell>
          <cell r="E17" t="str">
            <v>U20 M55</v>
          </cell>
          <cell r="F17" t="str">
            <v>SE M55</v>
          </cell>
          <cell r="G17">
            <v>35.01</v>
          </cell>
          <cell r="H17" t="str">
            <v>NON</v>
          </cell>
          <cell r="I17" t="str">
            <v>U15 F40</v>
          </cell>
          <cell r="J17" t="str">
            <v>U17 F40</v>
          </cell>
          <cell r="K17" t="str">
            <v>U20 F45</v>
          </cell>
          <cell r="L17" t="str">
            <v>SE F45</v>
          </cell>
        </row>
        <row r="18">
          <cell r="A18">
            <v>40.01</v>
          </cell>
          <cell r="B18" t="str">
            <v>NON</v>
          </cell>
          <cell r="C18" t="str">
            <v>U15 M49</v>
          </cell>
          <cell r="D18" t="str">
            <v>U17 M49</v>
          </cell>
          <cell r="E18" t="str">
            <v>U20 M55</v>
          </cell>
          <cell r="F18" t="str">
            <v>SE M55</v>
          </cell>
          <cell r="G18">
            <v>40.01</v>
          </cell>
          <cell r="H18" t="str">
            <v>NON</v>
          </cell>
          <cell r="I18" t="str">
            <v>U15 F45</v>
          </cell>
          <cell r="J18" t="str">
            <v>U17 F45</v>
          </cell>
          <cell r="K18" t="str">
            <v>U20 F45</v>
          </cell>
          <cell r="L18" t="str">
            <v>SE F45</v>
          </cell>
        </row>
        <row r="19">
          <cell r="A19">
            <v>45.01</v>
          </cell>
          <cell r="B19" t="str">
            <v>NON</v>
          </cell>
          <cell r="C19" t="str">
            <v>U15 M49</v>
          </cell>
          <cell r="D19" t="str">
            <v>U17 M49</v>
          </cell>
          <cell r="E19" t="str">
            <v>U20 M55</v>
          </cell>
          <cell r="F19" t="str">
            <v>SE M55</v>
          </cell>
          <cell r="G19">
            <v>45.01</v>
          </cell>
          <cell r="H19" t="str">
            <v>NON</v>
          </cell>
          <cell r="I19" t="str">
            <v>U15 F49</v>
          </cell>
          <cell r="J19" t="str">
            <v>U17 F49</v>
          </cell>
          <cell r="K19" t="str">
            <v>U20 F49</v>
          </cell>
          <cell r="L19" t="str">
            <v>SE F49</v>
          </cell>
        </row>
        <row r="20">
          <cell r="A20">
            <v>49.01</v>
          </cell>
          <cell r="B20" t="str">
            <v>NON</v>
          </cell>
          <cell r="C20" t="str">
            <v>U15 M55</v>
          </cell>
          <cell r="D20" t="str">
            <v>U17 M55</v>
          </cell>
          <cell r="E20" t="str">
            <v>U20 M55</v>
          </cell>
          <cell r="F20" t="str">
            <v>SE M55</v>
          </cell>
          <cell r="G20">
            <v>49.01</v>
          </cell>
          <cell r="H20" t="str">
            <v>NON</v>
          </cell>
          <cell r="I20" t="str">
            <v>U15 F55</v>
          </cell>
          <cell r="J20" t="str">
            <v>U17 F55</v>
          </cell>
          <cell r="K20" t="str">
            <v>U20 F55</v>
          </cell>
          <cell r="L20" t="str">
            <v>SE F55</v>
          </cell>
        </row>
        <row r="21">
          <cell r="A21">
            <v>55.01</v>
          </cell>
          <cell r="B21" t="str">
            <v>NON</v>
          </cell>
          <cell r="C21" t="str">
            <v>U15 M61</v>
          </cell>
          <cell r="D21" t="str">
            <v>U17 M61</v>
          </cell>
          <cell r="E21" t="str">
            <v>U20 M61</v>
          </cell>
          <cell r="F21" t="str">
            <v>SE M61</v>
          </cell>
          <cell r="G21">
            <v>55.01</v>
          </cell>
          <cell r="H21" t="str">
            <v>NON</v>
          </cell>
          <cell r="I21" t="str">
            <v>U15 F59</v>
          </cell>
          <cell r="J21" t="str">
            <v>U17 F59</v>
          </cell>
          <cell r="K21" t="str">
            <v>U20 F59</v>
          </cell>
          <cell r="L21" t="str">
            <v>SE F59</v>
          </cell>
        </row>
        <row r="22">
          <cell r="A22">
            <v>61.01</v>
          </cell>
          <cell r="B22" t="str">
            <v>NON</v>
          </cell>
          <cell r="C22" t="str">
            <v>U15 M67</v>
          </cell>
          <cell r="D22" t="str">
            <v>U17 M67</v>
          </cell>
          <cell r="E22" t="str">
            <v>U20 M67</v>
          </cell>
          <cell r="F22" t="str">
            <v>SE M67</v>
          </cell>
          <cell r="G22">
            <v>59.01</v>
          </cell>
          <cell r="H22" t="str">
            <v>NON</v>
          </cell>
          <cell r="I22" t="str">
            <v>U15 F64</v>
          </cell>
          <cell r="J22" t="str">
            <v>U17 F64</v>
          </cell>
          <cell r="K22" t="str">
            <v>U20 F64</v>
          </cell>
          <cell r="L22" t="str">
            <v>SE F64</v>
          </cell>
        </row>
        <row r="23">
          <cell r="A23">
            <v>67.010000000000005</v>
          </cell>
          <cell r="B23" t="str">
            <v>NON</v>
          </cell>
          <cell r="C23" t="str">
            <v>U15 M73</v>
          </cell>
          <cell r="D23" t="str">
            <v>U17 M73</v>
          </cell>
          <cell r="E23" t="str">
            <v>U20 M73</v>
          </cell>
          <cell r="F23" t="str">
            <v>SE M73</v>
          </cell>
          <cell r="G23">
            <v>64.010000000000005</v>
          </cell>
          <cell r="H23" t="str">
            <v>NON</v>
          </cell>
          <cell r="I23" t="str">
            <v>U15 F71</v>
          </cell>
          <cell r="J23" t="str">
            <v>U17 F71</v>
          </cell>
          <cell r="K23" t="str">
            <v>U20 F71</v>
          </cell>
          <cell r="L23" t="str">
            <v>SE F71</v>
          </cell>
        </row>
        <row r="24">
          <cell r="A24">
            <v>73.010000000000005</v>
          </cell>
          <cell r="B24" t="str">
            <v>NON</v>
          </cell>
          <cell r="C24" t="str">
            <v>U15 M81</v>
          </cell>
          <cell r="D24" t="str">
            <v>U17 M81</v>
          </cell>
          <cell r="E24" t="str">
            <v>U20 M81</v>
          </cell>
          <cell r="F24" t="str">
            <v>SE M81</v>
          </cell>
          <cell r="G24">
            <v>71.010000000000005</v>
          </cell>
          <cell r="H24" t="str">
            <v>NON</v>
          </cell>
          <cell r="I24" t="str">
            <v>U15 F76</v>
          </cell>
          <cell r="J24" t="str">
            <v>U17 F76</v>
          </cell>
          <cell r="K24" t="str">
            <v>U20 F76</v>
          </cell>
          <cell r="L24" t="str">
            <v>SE F76</v>
          </cell>
        </row>
        <row r="25">
          <cell r="A25">
            <v>81.010000000000005</v>
          </cell>
          <cell r="B25" t="str">
            <v>NON</v>
          </cell>
          <cell r="C25" t="str">
            <v>U15 M89</v>
          </cell>
          <cell r="D25" t="str">
            <v>U17 M89</v>
          </cell>
          <cell r="E25" t="str">
            <v>U20 M89</v>
          </cell>
          <cell r="F25" t="str">
            <v>SE M89</v>
          </cell>
          <cell r="G25">
            <v>76.010000000000005</v>
          </cell>
          <cell r="H25" t="str">
            <v>NON</v>
          </cell>
          <cell r="I25" t="str">
            <v>U15 F81</v>
          </cell>
          <cell r="J25" t="str">
            <v>U17 F81</v>
          </cell>
          <cell r="K25" t="str">
            <v>U20 F81</v>
          </cell>
          <cell r="L25" t="str">
            <v>SE F81</v>
          </cell>
        </row>
        <row r="26">
          <cell r="A26">
            <v>89.01</v>
          </cell>
          <cell r="B26" t="str">
            <v>NON</v>
          </cell>
          <cell r="C26" t="str">
            <v>U15 M96</v>
          </cell>
          <cell r="D26" t="str">
            <v>U17 M96</v>
          </cell>
          <cell r="E26" t="str">
            <v>U20 M96</v>
          </cell>
          <cell r="F26" t="str">
            <v>SE M96</v>
          </cell>
          <cell r="G26">
            <v>81.010000000000005</v>
          </cell>
          <cell r="H26" t="str">
            <v>NON</v>
          </cell>
          <cell r="I26" t="str">
            <v>U15 F&gt;81</v>
          </cell>
          <cell r="J26" t="str">
            <v>U17 F&gt;81</v>
          </cell>
          <cell r="K26" t="str">
            <v>U20 F87</v>
          </cell>
          <cell r="L26" t="str">
            <v>SE F87</v>
          </cell>
        </row>
        <row r="27">
          <cell r="A27">
            <v>96.01</v>
          </cell>
          <cell r="B27" t="str">
            <v>NON</v>
          </cell>
          <cell r="C27" t="str">
            <v>U15 M102</v>
          </cell>
          <cell r="D27" t="str">
            <v>U17 M102</v>
          </cell>
          <cell r="E27" t="str">
            <v>U20 M102</v>
          </cell>
          <cell r="F27" t="str">
            <v>SE M102</v>
          </cell>
          <cell r="G27">
            <v>87.01</v>
          </cell>
          <cell r="H27" t="str">
            <v>NON</v>
          </cell>
          <cell r="I27" t="str">
            <v>U15 F&gt;81</v>
          </cell>
          <cell r="J27" t="str">
            <v>U17 F&gt;81</v>
          </cell>
          <cell r="K27" t="str">
            <v>U20 F&gt;87</v>
          </cell>
          <cell r="L27" t="str">
            <v>SE F&gt;87</v>
          </cell>
        </row>
        <row r="28">
          <cell r="A28">
            <v>102.01</v>
          </cell>
          <cell r="B28" t="str">
            <v>NON</v>
          </cell>
          <cell r="C28" t="str">
            <v>U15 M&gt;102</v>
          </cell>
          <cell r="D28" t="str">
            <v>U17 M&gt;102</v>
          </cell>
          <cell r="E28" t="str">
            <v>U20 M109</v>
          </cell>
          <cell r="F28" t="str">
            <v>SE M109</v>
          </cell>
        </row>
        <row r="29">
          <cell r="A29">
            <v>109.1</v>
          </cell>
          <cell r="B29" t="str">
            <v>NON</v>
          </cell>
          <cell r="C29" t="str">
            <v>U15 M&gt;102</v>
          </cell>
          <cell r="D29" t="str">
            <v>U17 M&gt;102</v>
          </cell>
          <cell r="E29" t="str">
            <v>U20 M&gt;109</v>
          </cell>
          <cell r="F29" t="str">
            <v>SE M&gt;109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VIDUEL"/>
      <sheetName val="Minimas"/>
    </sheetNames>
    <sheetDataSet>
      <sheetData sheetId="0" refreshError="1"/>
      <sheetData sheetId="1" refreshError="1">
        <row r="15">
          <cell r="B15" t="str">
            <v>MINIME</v>
          </cell>
          <cell r="C15" t="str">
            <v>CADET</v>
          </cell>
          <cell r="D15" t="str">
            <v>CADET</v>
          </cell>
          <cell r="E15" t="str">
            <v>JUNIOR</v>
          </cell>
          <cell r="F15" t="str">
            <v>SENIOR</v>
          </cell>
          <cell r="H15" t="str">
            <v>MINIME</v>
          </cell>
          <cell r="I15" t="str">
            <v>CADETTE</v>
          </cell>
          <cell r="J15" t="str">
            <v>CADETTE</v>
          </cell>
          <cell r="K15" t="str">
            <v>JUNIOR</v>
          </cell>
          <cell r="L15" t="str">
            <v>SENIOR</v>
          </cell>
        </row>
        <row r="16">
          <cell r="A16">
            <v>10</v>
          </cell>
          <cell r="B16" t="str">
            <v>NON</v>
          </cell>
          <cell r="C16" t="str">
            <v>U15 M49</v>
          </cell>
          <cell r="D16" t="str">
            <v>U17 M49</v>
          </cell>
          <cell r="E16" t="str">
            <v>U20 M55</v>
          </cell>
          <cell r="F16" t="str">
            <v>SE M55</v>
          </cell>
          <cell r="G16">
            <v>10</v>
          </cell>
          <cell r="H16" t="str">
            <v>NON</v>
          </cell>
          <cell r="I16" t="str">
            <v>U15 F40</v>
          </cell>
          <cell r="J16" t="str">
            <v>U17 F40</v>
          </cell>
          <cell r="K16" t="str">
            <v>U20 F45</v>
          </cell>
          <cell r="L16" t="str">
            <v>SE F45</v>
          </cell>
        </row>
        <row r="17">
          <cell r="A17">
            <v>35.01</v>
          </cell>
          <cell r="B17" t="str">
            <v>NON</v>
          </cell>
          <cell r="C17" t="str">
            <v>U15 M49</v>
          </cell>
          <cell r="D17" t="str">
            <v>U17 M49</v>
          </cell>
          <cell r="E17" t="str">
            <v>U20 M55</v>
          </cell>
          <cell r="F17" t="str">
            <v>SE M55</v>
          </cell>
          <cell r="G17">
            <v>35.01</v>
          </cell>
          <cell r="H17" t="str">
            <v>NON</v>
          </cell>
          <cell r="I17" t="str">
            <v>U15 F40</v>
          </cell>
          <cell r="J17" t="str">
            <v>U17 F40</v>
          </cell>
          <cell r="K17" t="str">
            <v>U20 F45</v>
          </cell>
          <cell r="L17" t="str">
            <v>SE F45</v>
          </cell>
        </row>
        <row r="18">
          <cell r="A18">
            <v>40.01</v>
          </cell>
          <cell r="B18" t="str">
            <v>NON</v>
          </cell>
          <cell r="C18" t="str">
            <v>U15 M49</v>
          </cell>
          <cell r="D18" t="str">
            <v>U17 M49</v>
          </cell>
          <cell r="E18" t="str">
            <v>U20 M55</v>
          </cell>
          <cell r="F18" t="str">
            <v>SE M55</v>
          </cell>
          <cell r="G18">
            <v>40.01</v>
          </cell>
          <cell r="H18" t="str">
            <v>NON</v>
          </cell>
          <cell r="I18" t="str">
            <v>U15 F45</v>
          </cell>
          <cell r="J18" t="str">
            <v>U17 F45</v>
          </cell>
          <cell r="K18" t="str">
            <v>U20 F45</v>
          </cell>
          <cell r="L18" t="str">
            <v>SE F45</v>
          </cell>
        </row>
        <row r="19">
          <cell r="A19">
            <v>45.01</v>
          </cell>
          <cell r="B19" t="str">
            <v>NON</v>
          </cell>
          <cell r="C19" t="str">
            <v>U15 M49</v>
          </cell>
          <cell r="D19" t="str">
            <v>U17 M49</v>
          </cell>
          <cell r="E19" t="str">
            <v>U20 M55</v>
          </cell>
          <cell r="F19" t="str">
            <v>SE M55</v>
          </cell>
          <cell r="G19">
            <v>45.01</v>
          </cell>
          <cell r="H19" t="str">
            <v>NON</v>
          </cell>
          <cell r="I19" t="str">
            <v>U15 F49</v>
          </cell>
          <cell r="J19" t="str">
            <v>U17 F49</v>
          </cell>
          <cell r="K19" t="str">
            <v>U20 F49</v>
          </cell>
          <cell r="L19" t="str">
            <v>SE F49</v>
          </cell>
        </row>
        <row r="20">
          <cell r="A20">
            <v>49.01</v>
          </cell>
          <cell r="B20" t="str">
            <v>NON</v>
          </cell>
          <cell r="C20" t="str">
            <v>U15 M55</v>
          </cell>
          <cell r="D20" t="str">
            <v>U17 M55</v>
          </cell>
          <cell r="E20" t="str">
            <v>U20 M55</v>
          </cell>
          <cell r="F20" t="str">
            <v>SE M55</v>
          </cell>
          <cell r="G20">
            <v>49.01</v>
          </cell>
          <cell r="H20" t="str">
            <v>NON</v>
          </cell>
          <cell r="I20" t="str">
            <v>U15 F55</v>
          </cell>
          <cell r="J20" t="str">
            <v>U17 F55</v>
          </cell>
          <cell r="K20" t="str">
            <v>U20 F55</v>
          </cell>
          <cell r="L20" t="str">
            <v>SE F55</v>
          </cell>
        </row>
        <row r="21">
          <cell r="A21">
            <v>55.01</v>
          </cell>
          <cell r="B21" t="str">
            <v>NON</v>
          </cell>
          <cell r="C21" t="str">
            <v>U15 M61</v>
          </cell>
          <cell r="D21" t="str">
            <v>U17 M61</v>
          </cell>
          <cell r="E21" t="str">
            <v>U20 M61</v>
          </cell>
          <cell r="F21" t="str">
            <v>SE M61</v>
          </cell>
          <cell r="G21">
            <v>55.01</v>
          </cell>
          <cell r="H21" t="str">
            <v>NON</v>
          </cell>
          <cell r="I21" t="str">
            <v>U15 F59</v>
          </cell>
          <cell r="J21" t="str">
            <v>U17 F59</v>
          </cell>
          <cell r="K21" t="str">
            <v>U20 F59</v>
          </cell>
          <cell r="L21" t="str">
            <v>SE F59</v>
          </cell>
        </row>
        <row r="22">
          <cell r="A22">
            <v>61.01</v>
          </cell>
          <cell r="B22" t="str">
            <v>NON</v>
          </cell>
          <cell r="C22" t="str">
            <v>U15 M67</v>
          </cell>
          <cell r="D22" t="str">
            <v>U17 M67</v>
          </cell>
          <cell r="E22" t="str">
            <v>U20 M67</v>
          </cell>
          <cell r="F22" t="str">
            <v>SE M67</v>
          </cell>
          <cell r="G22">
            <v>59.01</v>
          </cell>
          <cell r="H22" t="str">
            <v>NON</v>
          </cell>
          <cell r="I22" t="str">
            <v>U15 F64</v>
          </cell>
          <cell r="J22" t="str">
            <v>U17 F64</v>
          </cell>
          <cell r="K22" t="str">
            <v>U20 F64</v>
          </cell>
          <cell r="L22" t="str">
            <v>SE F64</v>
          </cell>
        </row>
        <row r="23">
          <cell r="A23">
            <v>67.010000000000005</v>
          </cell>
          <cell r="B23" t="str">
            <v>NON</v>
          </cell>
          <cell r="C23" t="str">
            <v>U15 M73</v>
          </cell>
          <cell r="D23" t="str">
            <v>U17 M73</v>
          </cell>
          <cell r="E23" t="str">
            <v>U20 M73</v>
          </cell>
          <cell r="F23" t="str">
            <v>SE M73</v>
          </cell>
          <cell r="G23">
            <v>64.010000000000005</v>
          </cell>
          <cell r="H23" t="str">
            <v>NON</v>
          </cell>
          <cell r="I23" t="str">
            <v>U15 F71</v>
          </cell>
          <cell r="J23" t="str">
            <v>U17 F71</v>
          </cell>
          <cell r="K23" t="str">
            <v>U20 F71</v>
          </cell>
          <cell r="L23" t="str">
            <v>SE F71</v>
          </cell>
        </row>
        <row r="24">
          <cell r="A24">
            <v>73.010000000000005</v>
          </cell>
          <cell r="B24" t="str">
            <v>NON</v>
          </cell>
          <cell r="C24" t="str">
            <v>U15 M81</v>
          </cell>
          <cell r="D24" t="str">
            <v>U17 M81</v>
          </cell>
          <cell r="E24" t="str">
            <v>U20 M81</v>
          </cell>
          <cell r="F24" t="str">
            <v>SE M81</v>
          </cell>
          <cell r="G24">
            <v>71.010000000000005</v>
          </cell>
          <cell r="H24" t="str">
            <v>NON</v>
          </cell>
          <cell r="I24" t="str">
            <v>U15 F76</v>
          </cell>
          <cell r="J24" t="str">
            <v>U17 F76</v>
          </cell>
          <cell r="K24" t="str">
            <v>U20 F76</v>
          </cell>
          <cell r="L24" t="str">
            <v>SE F76</v>
          </cell>
        </row>
        <row r="25">
          <cell r="A25">
            <v>81.010000000000005</v>
          </cell>
          <cell r="B25" t="str">
            <v>NON</v>
          </cell>
          <cell r="C25" t="str">
            <v>U15 M89</v>
          </cell>
          <cell r="D25" t="str">
            <v>U17 M89</v>
          </cell>
          <cell r="E25" t="str">
            <v>U20 M89</v>
          </cell>
          <cell r="F25" t="str">
            <v>SE M89</v>
          </cell>
          <cell r="G25">
            <v>76.010000000000005</v>
          </cell>
          <cell r="H25" t="str">
            <v>NON</v>
          </cell>
          <cell r="I25" t="str">
            <v>U15 F81</v>
          </cell>
          <cell r="J25" t="str">
            <v>U17 F81</v>
          </cell>
          <cell r="K25" t="str">
            <v>U20 F81</v>
          </cell>
          <cell r="L25" t="str">
            <v>SE F81</v>
          </cell>
        </row>
        <row r="26">
          <cell r="A26">
            <v>89.01</v>
          </cell>
          <cell r="B26" t="str">
            <v>NON</v>
          </cell>
          <cell r="C26" t="str">
            <v>U15 M96</v>
          </cell>
          <cell r="D26" t="str">
            <v>U17 M96</v>
          </cell>
          <cell r="E26" t="str">
            <v>U20 M96</v>
          </cell>
          <cell r="F26" t="str">
            <v>SE M96</v>
          </cell>
          <cell r="G26">
            <v>81.010000000000005</v>
          </cell>
          <cell r="H26" t="str">
            <v>NON</v>
          </cell>
          <cell r="I26" t="str">
            <v>U15 F&gt;81</v>
          </cell>
          <cell r="J26" t="str">
            <v>U17 F&gt;81</v>
          </cell>
          <cell r="K26" t="str">
            <v>U20 F87</v>
          </cell>
          <cell r="L26" t="str">
            <v>SE F87</v>
          </cell>
        </row>
        <row r="27">
          <cell r="A27">
            <v>96.01</v>
          </cell>
          <cell r="B27" t="str">
            <v>NON</v>
          </cell>
          <cell r="C27" t="str">
            <v>U15 M102</v>
          </cell>
          <cell r="D27" t="str">
            <v>U17 M102</v>
          </cell>
          <cell r="E27" t="str">
            <v>U20 M102</v>
          </cell>
          <cell r="F27" t="str">
            <v>SE M102</v>
          </cell>
          <cell r="G27">
            <v>87.01</v>
          </cell>
          <cell r="H27" t="str">
            <v>NON</v>
          </cell>
          <cell r="I27" t="str">
            <v>U15 F&gt;81</v>
          </cell>
          <cell r="J27" t="str">
            <v>U17 F&gt;81</v>
          </cell>
          <cell r="K27" t="str">
            <v>U20 F&gt;87</v>
          </cell>
          <cell r="L27" t="str">
            <v>SE F&gt;87</v>
          </cell>
        </row>
        <row r="28">
          <cell r="A28">
            <v>102.01</v>
          </cell>
          <cell r="B28" t="str">
            <v>NON</v>
          </cell>
          <cell r="C28" t="str">
            <v>U15 M&gt;102</v>
          </cell>
          <cell r="D28" t="str">
            <v>U17 M&gt;102</v>
          </cell>
          <cell r="E28" t="str">
            <v>U20 M109</v>
          </cell>
          <cell r="F28" t="str">
            <v>SE M109</v>
          </cell>
        </row>
        <row r="29">
          <cell r="A29">
            <v>109.1</v>
          </cell>
          <cell r="B29" t="str">
            <v>NON</v>
          </cell>
          <cell r="C29" t="str">
            <v>U15 M&gt;102</v>
          </cell>
          <cell r="D29" t="str">
            <v>U17 M&gt;102</v>
          </cell>
          <cell r="E29" t="str">
            <v>U20 M&gt;109</v>
          </cell>
          <cell r="F29" t="str">
            <v>SE M&gt;109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EAU 2"/>
      <sheetName val="PLATEAU 1"/>
      <sheetName val="Minimas"/>
    </sheetNames>
    <sheetDataSet>
      <sheetData sheetId="0" refreshError="1"/>
      <sheetData sheetId="1" refreshError="1"/>
      <sheetData sheetId="2" refreshError="1">
        <row r="15">
          <cell r="B15" t="str">
            <v>MINIME</v>
          </cell>
          <cell r="C15" t="str">
            <v>CADET</v>
          </cell>
          <cell r="D15" t="str">
            <v>CADET</v>
          </cell>
          <cell r="E15" t="str">
            <v>JUNIOR</v>
          </cell>
          <cell r="F15" t="str">
            <v>SENIOR</v>
          </cell>
          <cell r="H15" t="str">
            <v>MINIME</v>
          </cell>
          <cell r="I15" t="str">
            <v>CADETTE</v>
          </cell>
          <cell r="J15" t="str">
            <v>CADETTE</v>
          </cell>
          <cell r="K15" t="str">
            <v>JUNIOR</v>
          </cell>
          <cell r="L15" t="str">
            <v>SENIOR</v>
          </cell>
        </row>
        <row r="16">
          <cell r="A16">
            <v>10</v>
          </cell>
          <cell r="B16" t="str">
            <v>NON</v>
          </cell>
          <cell r="C16" t="str">
            <v>U15 M49</v>
          </cell>
          <cell r="D16" t="str">
            <v>U17 M49</v>
          </cell>
          <cell r="E16" t="str">
            <v>U20 M55</v>
          </cell>
          <cell r="F16" t="str">
            <v>SE M55</v>
          </cell>
          <cell r="G16">
            <v>10</v>
          </cell>
          <cell r="H16" t="str">
            <v>NON</v>
          </cell>
          <cell r="I16" t="str">
            <v>U15 F40</v>
          </cell>
          <cell r="J16" t="str">
            <v>U17 F40</v>
          </cell>
          <cell r="K16" t="str">
            <v>U20 F45</v>
          </cell>
          <cell r="L16" t="str">
            <v>SE F45</v>
          </cell>
        </row>
        <row r="17">
          <cell r="A17">
            <v>35.01</v>
          </cell>
          <cell r="B17" t="str">
            <v>NON</v>
          </cell>
          <cell r="C17" t="str">
            <v>U15 M49</v>
          </cell>
          <cell r="D17" t="str">
            <v>U17 M49</v>
          </cell>
          <cell r="E17" t="str">
            <v>U20 M55</v>
          </cell>
          <cell r="F17" t="str">
            <v>SE M55</v>
          </cell>
          <cell r="G17">
            <v>35.01</v>
          </cell>
          <cell r="H17" t="str">
            <v>NON</v>
          </cell>
          <cell r="I17" t="str">
            <v>U15 F40</v>
          </cell>
          <cell r="J17" t="str">
            <v>U17 F40</v>
          </cell>
          <cell r="K17" t="str">
            <v>U20 F45</v>
          </cell>
          <cell r="L17" t="str">
            <v>SE F45</v>
          </cell>
        </row>
        <row r="18">
          <cell r="A18">
            <v>40.01</v>
          </cell>
          <cell r="B18" t="str">
            <v>NON</v>
          </cell>
          <cell r="C18" t="str">
            <v>U15 M49</v>
          </cell>
          <cell r="D18" t="str">
            <v>U17 M49</v>
          </cell>
          <cell r="E18" t="str">
            <v>U20 M55</v>
          </cell>
          <cell r="F18" t="str">
            <v>SE M55</v>
          </cell>
          <cell r="G18">
            <v>40.01</v>
          </cell>
          <cell r="H18" t="str">
            <v>NON</v>
          </cell>
          <cell r="I18" t="str">
            <v>U15 F45</v>
          </cell>
          <cell r="J18" t="str">
            <v>U17 F45</v>
          </cell>
          <cell r="K18" t="str">
            <v>U20 F45</v>
          </cell>
          <cell r="L18" t="str">
            <v>SE F45</v>
          </cell>
        </row>
        <row r="19">
          <cell r="A19">
            <v>45.01</v>
          </cell>
          <cell r="B19" t="str">
            <v>NON</v>
          </cell>
          <cell r="C19" t="str">
            <v>U15 M49</v>
          </cell>
          <cell r="D19" t="str">
            <v>U17 M49</v>
          </cell>
          <cell r="E19" t="str">
            <v>U20 M55</v>
          </cell>
          <cell r="F19" t="str">
            <v>SE M55</v>
          </cell>
          <cell r="G19">
            <v>45.01</v>
          </cell>
          <cell r="H19" t="str">
            <v>NON</v>
          </cell>
          <cell r="I19" t="str">
            <v>U15 F49</v>
          </cell>
          <cell r="J19" t="str">
            <v>U17 F49</v>
          </cell>
          <cell r="K19" t="str">
            <v>U20 F49</v>
          </cell>
          <cell r="L19" t="str">
            <v>SE F49</v>
          </cell>
        </row>
        <row r="20">
          <cell r="A20">
            <v>49.01</v>
          </cell>
          <cell r="B20" t="str">
            <v>NON</v>
          </cell>
          <cell r="C20" t="str">
            <v>U15 M55</v>
          </cell>
          <cell r="D20" t="str">
            <v>U17 M55</v>
          </cell>
          <cell r="E20" t="str">
            <v>U20 M55</v>
          </cell>
          <cell r="F20" t="str">
            <v>SE M55</v>
          </cell>
          <cell r="G20">
            <v>49.01</v>
          </cell>
          <cell r="H20" t="str">
            <v>NON</v>
          </cell>
          <cell r="I20" t="str">
            <v>U15 F55</v>
          </cell>
          <cell r="J20" t="str">
            <v>U17 F55</v>
          </cell>
          <cell r="K20" t="str">
            <v>U20 F55</v>
          </cell>
          <cell r="L20" t="str">
            <v>SE F55</v>
          </cell>
        </row>
        <row r="21">
          <cell r="A21">
            <v>55.01</v>
          </cell>
          <cell r="B21" t="str">
            <v>NON</v>
          </cell>
          <cell r="C21" t="str">
            <v>U15 M61</v>
          </cell>
          <cell r="D21" t="str">
            <v>U17 M61</v>
          </cell>
          <cell r="E21" t="str">
            <v>U20 M61</v>
          </cell>
          <cell r="F21" t="str">
            <v>SE M61</v>
          </cell>
          <cell r="G21">
            <v>55.01</v>
          </cell>
          <cell r="H21" t="str">
            <v>NON</v>
          </cell>
          <cell r="I21" t="str">
            <v>U15 F59</v>
          </cell>
          <cell r="J21" t="str">
            <v>U17 F59</v>
          </cell>
          <cell r="K21" t="str">
            <v>U20 F59</v>
          </cell>
          <cell r="L21" t="str">
            <v>SE F59</v>
          </cell>
        </row>
        <row r="22">
          <cell r="A22">
            <v>61.01</v>
          </cell>
          <cell r="B22" t="str">
            <v>NON</v>
          </cell>
          <cell r="C22" t="str">
            <v>U15 M67</v>
          </cell>
          <cell r="D22" t="str">
            <v>U17 M67</v>
          </cell>
          <cell r="E22" t="str">
            <v>U20 M67</v>
          </cell>
          <cell r="F22" t="str">
            <v>SE M67</v>
          </cell>
          <cell r="G22">
            <v>59.01</v>
          </cell>
          <cell r="H22" t="str">
            <v>NON</v>
          </cell>
          <cell r="I22" t="str">
            <v>U15 F64</v>
          </cell>
          <cell r="J22" t="str">
            <v>U17 F64</v>
          </cell>
          <cell r="K22" t="str">
            <v>U20 F64</v>
          </cell>
          <cell r="L22" t="str">
            <v>SE F64</v>
          </cell>
        </row>
        <row r="23">
          <cell r="A23">
            <v>67.010000000000005</v>
          </cell>
          <cell r="B23" t="str">
            <v>NON</v>
          </cell>
          <cell r="C23" t="str">
            <v>U15 M73</v>
          </cell>
          <cell r="D23" t="str">
            <v>U17 M73</v>
          </cell>
          <cell r="E23" t="str">
            <v>U20 M73</v>
          </cell>
          <cell r="F23" t="str">
            <v>SE M73</v>
          </cell>
          <cell r="G23">
            <v>64.010000000000005</v>
          </cell>
          <cell r="H23" t="str">
            <v>NON</v>
          </cell>
          <cell r="I23" t="str">
            <v>U15 F71</v>
          </cell>
          <cell r="J23" t="str">
            <v>U17 F71</v>
          </cell>
          <cell r="K23" t="str">
            <v>U20 F71</v>
          </cell>
          <cell r="L23" t="str">
            <v>SE F71</v>
          </cell>
        </row>
        <row r="24">
          <cell r="A24">
            <v>73.010000000000005</v>
          </cell>
          <cell r="B24" t="str">
            <v>NON</v>
          </cell>
          <cell r="C24" t="str">
            <v>U15 M81</v>
          </cell>
          <cell r="D24" t="str">
            <v>U17 M81</v>
          </cell>
          <cell r="E24" t="str">
            <v>U20 M81</v>
          </cell>
          <cell r="F24" t="str">
            <v>SE M81</v>
          </cell>
          <cell r="G24">
            <v>71.010000000000005</v>
          </cell>
          <cell r="H24" t="str">
            <v>NON</v>
          </cell>
          <cell r="I24" t="str">
            <v>U15 F76</v>
          </cell>
          <cell r="J24" t="str">
            <v>U17 F76</v>
          </cell>
          <cell r="K24" t="str">
            <v>U20 F76</v>
          </cell>
          <cell r="L24" t="str">
            <v>SE F76</v>
          </cell>
        </row>
        <row r="25">
          <cell r="A25">
            <v>81.010000000000005</v>
          </cell>
          <cell r="B25" t="str">
            <v>NON</v>
          </cell>
          <cell r="C25" t="str">
            <v>U15 M89</v>
          </cell>
          <cell r="D25" t="str">
            <v>U17 M89</v>
          </cell>
          <cell r="E25" t="str">
            <v>U20 M89</v>
          </cell>
          <cell r="F25" t="str">
            <v>SE M89</v>
          </cell>
          <cell r="G25">
            <v>76.010000000000005</v>
          </cell>
          <cell r="H25" t="str">
            <v>NON</v>
          </cell>
          <cell r="I25" t="str">
            <v>U15 F81</v>
          </cell>
          <cell r="J25" t="str">
            <v>U17 F81</v>
          </cell>
          <cell r="K25" t="str">
            <v>U20 F81</v>
          </cell>
          <cell r="L25" t="str">
            <v>SE F81</v>
          </cell>
        </row>
        <row r="26">
          <cell r="A26">
            <v>89.01</v>
          </cell>
          <cell r="B26" t="str">
            <v>NON</v>
          </cell>
          <cell r="C26" t="str">
            <v>U15 M96</v>
          </cell>
          <cell r="D26" t="str">
            <v>U17 M96</v>
          </cell>
          <cell r="E26" t="str">
            <v>U20 M96</v>
          </cell>
          <cell r="F26" t="str">
            <v>SE M96</v>
          </cell>
          <cell r="G26">
            <v>81.010000000000005</v>
          </cell>
          <cell r="H26" t="str">
            <v>NON</v>
          </cell>
          <cell r="I26" t="str">
            <v>U15 F&gt;81</v>
          </cell>
          <cell r="J26" t="str">
            <v>U17 F&gt;81</v>
          </cell>
          <cell r="K26" t="str">
            <v>U20 F87</v>
          </cell>
          <cell r="L26" t="str">
            <v>SE F87</v>
          </cell>
        </row>
        <row r="27">
          <cell r="A27">
            <v>96.01</v>
          </cell>
          <cell r="B27" t="str">
            <v>NON</v>
          </cell>
          <cell r="C27" t="str">
            <v>U15 M102</v>
          </cell>
          <cell r="D27" t="str">
            <v>U17 M102</v>
          </cell>
          <cell r="E27" t="str">
            <v>U20 M102</v>
          </cell>
          <cell r="F27" t="str">
            <v>SE M102</v>
          </cell>
          <cell r="G27">
            <v>87.01</v>
          </cell>
          <cell r="H27" t="str">
            <v>NON</v>
          </cell>
          <cell r="I27" t="str">
            <v>U15 F&gt;81</v>
          </cell>
          <cell r="J27" t="str">
            <v>U17 F&gt;81</v>
          </cell>
          <cell r="K27" t="str">
            <v>U20 F&gt;87</v>
          </cell>
          <cell r="L27" t="str">
            <v>SE F&gt;87</v>
          </cell>
        </row>
        <row r="28">
          <cell r="A28">
            <v>102.01</v>
          </cell>
          <cell r="B28" t="str">
            <v>NON</v>
          </cell>
          <cell r="C28" t="str">
            <v>U15 M&gt;102</v>
          </cell>
          <cell r="D28" t="str">
            <v>U17 M&gt;102</v>
          </cell>
          <cell r="E28" t="str">
            <v>U20 M109</v>
          </cell>
          <cell r="F28" t="str">
            <v>SE M109</v>
          </cell>
        </row>
        <row r="29">
          <cell r="A29">
            <v>109.1</v>
          </cell>
          <cell r="B29" t="str">
            <v>NON</v>
          </cell>
          <cell r="C29" t="str">
            <v>U15 M&gt;102</v>
          </cell>
          <cell r="D29" t="str">
            <v>U17 M&gt;102</v>
          </cell>
          <cell r="E29" t="str">
            <v>U20 M&gt;109</v>
          </cell>
          <cell r="F29" t="str">
            <v>SE M&gt;109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EAU 2"/>
      <sheetName val="PLATEAU 1"/>
      <sheetName val="Minimas"/>
    </sheetNames>
    <sheetDataSet>
      <sheetData sheetId="0" refreshError="1"/>
      <sheetData sheetId="1" refreshError="1"/>
      <sheetData sheetId="2">
        <row r="15">
          <cell r="B15" t="str">
            <v>MINIME</v>
          </cell>
          <cell r="C15" t="str">
            <v>CADET</v>
          </cell>
          <cell r="D15" t="str">
            <v>CADET</v>
          </cell>
          <cell r="E15" t="str">
            <v>JUNIOR</v>
          </cell>
          <cell r="F15" t="str">
            <v>SENIOR</v>
          </cell>
          <cell r="H15" t="str">
            <v>MINIME</v>
          </cell>
          <cell r="I15" t="str">
            <v>CADETTE</v>
          </cell>
          <cell r="J15" t="str">
            <v>CADETTE</v>
          </cell>
          <cell r="K15" t="str">
            <v>JUNIOR</v>
          </cell>
          <cell r="L15" t="str">
            <v>SENIOR</v>
          </cell>
        </row>
        <row r="16">
          <cell r="A16">
            <v>10</v>
          </cell>
          <cell r="B16" t="str">
            <v>NON</v>
          </cell>
          <cell r="C16" t="str">
            <v>U15 M49</v>
          </cell>
          <cell r="D16" t="str">
            <v>U17 M49</v>
          </cell>
          <cell r="E16" t="str">
            <v>U20 M55</v>
          </cell>
          <cell r="F16" t="str">
            <v>SE M55</v>
          </cell>
          <cell r="G16">
            <v>10</v>
          </cell>
          <cell r="H16" t="str">
            <v>NON</v>
          </cell>
          <cell r="I16" t="str">
            <v>U15 F40</v>
          </cell>
          <cell r="J16" t="str">
            <v>U17 F40</v>
          </cell>
          <cell r="K16" t="str">
            <v>U20 F45</v>
          </cell>
          <cell r="L16" t="str">
            <v>SE F45</v>
          </cell>
        </row>
        <row r="17">
          <cell r="A17">
            <v>35.01</v>
          </cell>
          <cell r="B17" t="str">
            <v>NON</v>
          </cell>
          <cell r="C17" t="str">
            <v>U15 M49</v>
          </cell>
          <cell r="D17" t="str">
            <v>U17 M49</v>
          </cell>
          <cell r="E17" t="str">
            <v>U20 M55</v>
          </cell>
          <cell r="F17" t="str">
            <v>SE M55</v>
          </cell>
          <cell r="G17">
            <v>35.01</v>
          </cell>
          <cell r="H17" t="str">
            <v>NON</v>
          </cell>
          <cell r="I17" t="str">
            <v>U15 F40</v>
          </cell>
          <cell r="J17" t="str">
            <v>U17 F40</v>
          </cell>
          <cell r="K17" t="str">
            <v>U20 F45</v>
          </cell>
          <cell r="L17" t="str">
            <v>SE F45</v>
          </cell>
        </row>
        <row r="18">
          <cell r="A18">
            <v>40.01</v>
          </cell>
          <cell r="B18" t="str">
            <v>NON</v>
          </cell>
          <cell r="C18" t="str">
            <v>U15 M49</v>
          </cell>
          <cell r="D18" t="str">
            <v>U17 M49</v>
          </cell>
          <cell r="E18" t="str">
            <v>U20 M55</v>
          </cell>
          <cell r="F18" t="str">
            <v>SE M55</v>
          </cell>
          <cell r="G18">
            <v>40.01</v>
          </cell>
          <cell r="H18" t="str">
            <v>NON</v>
          </cell>
          <cell r="I18" t="str">
            <v>U15 F45</v>
          </cell>
          <cell r="J18" t="str">
            <v>U17 F45</v>
          </cell>
          <cell r="K18" t="str">
            <v>U20 F45</v>
          </cell>
          <cell r="L18" t="str">
            <v>SE F45</v>
          </cell>
        </row>
        <row r="19">
          <cell r="A19">
            <v>45.01</v>
          </cell>
          <cell r="B19" t="str">
            <v>NON</v>
          </cell>
          <cell r="C19" t="str">
            <v>U15 M49</v>
          </cell>
          <cell r="D19" t="str">
            <v>U17 M49</v>
          </cell>
          <cell r="E19" t="str">
            <v>U20 M55</v>
          </cell>
          <cell r="F19" t="str">
            <v>SE M55</v>
          </cell>
          <cell r="G19">
            <v>45.01</v>
          </cell>
          <cell r="H19" t="str">
            <v>NON</v>
          </cell>
          <cell r="I19" t="str">
            <v>U15 F49</v>
          </cell>
          <cell r="J19" t="str">
            <v>U17 F49</v>
          </cell>
          <cell r="K19" t="str">
            <v>U20 F49</v>
          </cell>
          <cell r="L19" t="str">
            <v>SE F49</v>
          </cell>
        </row>
        <row r="20">
          <cell r="A20">
            <v>49.01</v>
          </cell>
          <cell r="B20" t="str">
            <v>NON</v>
          </cell>
          <cell r="C20" t="str">
            <v>U15 M55</v>
          </cell>
          <cell r="D20" t="str">
            <v>U17 M55</v>
          </cell>
          <cell r="E20" t="str">
            <v>U20 M55</v>
          </cell>
          <cell r="F20" t="str">
            <v>SE M55</v>
          </cell>
          <cell r="G20">
            <v>49.01</v>
          </cell>
          <cell r="H20" t="str">
            <v>NON</v>
          </cell>
          <cell r="I20" t="str">
            <v>U15 F55</v>
          </cell>
          <cell r="J20" t="str">
            <v>U17 F55</v>
          </cell>
          <cell r="K20" t="str">
            <v>U20 F55</v>
          </cell>
          <cell r="L20" t="str">
            <v>SE F55</v>
          </cell>
        </row>
        <row r="21">
          <cell r="A21">
            <v>55.01</v>
          </cell>
          <cell r="B21" t="str">
            <v>NON</v>
          </cell>
          <cell r="C21" t="str">
            <v>U15 M61</v>
          </cell>
          <cell r="D21" t="str">
            <v>U17 M61</v>
          </cell>
          <cell r="E21" t="str">
            <v>U20 M61</v>
          </cell>
          <cell r="F21" t="str">
            <v>SE M61</v>
          </cell>
          <cell r="G21">
            <v>55.01</v>
          </cell>
          <cell r="H21" t="str">
            <v>NON</v>
          </cell>
          <cell r="I21" t="str">
            <v>U15 F59</v>
          </cell>
          <cell r="J21" t="str">
            <v>U17 F59</v>
          </cell>
          <cell r="K21" t="str">
            <v>U20 F59</v>
          </cell>
          <cell r="L21" t="str">
            <v>SE F59</v>
          </cell>
        </row>
        <row r="22">
          <cell r="A22">
            <v>61.01</v>
          </cell>
          <cell r="B22" t="str">
            <v>NON</v>
          </cell>
          <cell r="C22" t="str">
            <v>U15 M67</v>
          </cell>
          <cell r="D22" t="str">
            <v>U17 M67</v>
          </cell>
          <cell r="E22" t="str">
            <v>U20 M67</v>
          </cell>
          <cell r="F22" t="str">
            <v>SE M67</v>
          </cell>
          <cell r="G22">
            <v>59.01</v>
          </cell>
          <cell r="H22" t="str">
            <v>NON</v>
          </cell>
          <cell r="I22" t="str">
            <v>U15 F64</v>
          </cell>
          <cell r="J22" t="str">
            <v>U17 F64</v>
          </cell>
          <cell r="K22" t="str">
            <v>U20 F64</v>
          </cell>
          <cell r="L22" t="str">
            <v>SE F64</v>
          </cell>
        </row>
        <row r="23">
          <cell r="A23">
            <v>67.010000000000005</v>
          </cell>
          <cell r="B23" t="str">
            <v>NON</v>
          </cell>
          <cell r="C23" t="str">
            <v>U15 M73</v>
          </cell>
          <cell r="D23" t="str">
            <v>U17 M73</v>
          </cell>
          <cell r="E23" t="str">
            <v>U20 M73</v>
          </cell>
          <cell r="F23" t="str">
            <v>SE M73</v>
          </cell>
          <cell r="G23">
            <v>64.010000000000005</v>
          </cell>
          <cell r="H23" t="str">
            <v>NON</v>
          </cell>
          <cell r="I23" t="str">
            <v>U15 F71</v>
          </cell>
          <cell r="J23" t="str">
            <v>U17 F71</v>
          </cell>
          <cell r="K23" t="str">
            <v>U20 F71</v>
          </cell>
          <cell r="L23" t="str">
            <v>SE F71</v>
          </cell>
        </row>
        <row r="24">
          <cell r="A24">
            <v>73.010000000000005</v>
          </cell>
          <cell r="B24" t="str">
            <v>NON</v>
          </cell>
          <cell r="C24" t="str">
            <v>U15 M81</v>
          </cell>
          <cell r="D24" t="str">
            <v>U17 M81</v>
          </cell>
          <cell r="E24" t="str">
            <v>U20 M81</v>
          </cell>
          <cell r="F24" t="str">
            <v>SE M81</v>
          </cell>
          <cell r="G24">
            <v>71.010000000000005</v>
          </cell>
          <cell r="H24" t="str">
            <v>NON</v>
          </cell>
          <cell r="I24" t="str">
            <v>U15 F76</v>
          </cell>
          <cell r="J24" t="str">
            <v>U17 F76</v>
          </cell>
          <cell r="K24" t="str">
            <v>U20 F76</v>
          </cell>
          <cell r="L24" t="str">
            <v>SE F76</v>
          </cell>
        </row>
        <row r="25">
          <cell r="A25">
            <v>81.010000000000005</v>
          </cell>
          <cell r="B25" t="str">
            <v>NON</v>
          </cell>
          <cell r="C25" t="str">
            <v>U15 M89</v>
          </cell>
          <cell r="D25" t="str">
            <v>U17 M89</v>
          </cell>
          <cell r="E25" t="str">
            <v>U20 M89</v>
          </cell>
          <cell r="F25" t="str">
            <v>SE M89</v>
          </cell>
          <cell r="G25">
            <v>76.010000000000005</v>
          </cell>
          <cell r="H25" t="str">
            <v>NON</v>
          </cell>
          <cell r="I25" t="str">
            <v>U15 F81</v>
          </cell>
          <cell r="J25" t="str">
            <v>U17 F81</v>
          </cell>
          <cell r="K25" t="str">
            <v>U20 F81</v>
          </cell>
          <cell r="L25" t="str">
            <v>SE F81</v>
          </cell>
        </row>
        <row r="26">
          <cell r="A26">
            <v>89.01</v>
          </cell>
          <cell r="B26" t="str">
            <v>NON</v>
          </cell>
          <cell r="C26" t="str">
            <v>U15 M96</v>
          </cell>
          <cell r="D26" t="str">
            <v>U17 M96</v>
          </cell>
          <cell r="E26" t="str">
            <v>U20 M96</v>
          </cell>
          <cell r="F26" t="str">
            <v>SE M96</v>
          </cell>
          <cell r="G26">
            <v>81.010000000000005</v>
          </cell>
          <cell r="H26" t="str">
            <v>NON</v>
          </cell>
          <cell r="I26" t="str">
            <v>U15 F&gt;81</v>
          </cell>
          <cell r="J26" t="str">
            <v>U17 F&gt;81</v>
          </cell>
          <cell r="K26" t="str">
            <v>U20 F87</v>
          </cell>
          <cell r="L26" t="str">
            <v>SE F87</v>
          </cell>
        </row>
        <row r="27">
          <cell r="A27">
            <v>96.01</v>
          </cell>
          <cell r="B27" t="str">
            <v>NON</v>
          </cell>
          <cell r="C27" t="str">
            <v>U15 M102</v>
          </cell>
          <cell r="D27" t="str">
            <v>U17 M102</v>
          </cell>
          <cell r="E27" t="str">
            <v>U20 M102</v>
          </cell>
          <cell r="F27" t="str">
            <v>SE M102</v>
          </cell>
          <cell r="G27">
            <v>87.01</v>
          </cell>
          <cell r="H27" t="str">
            <v>NON</v>
          </cell>
          <cell r="I27" t="str">
            <v>U15 F&gt;81</v>
          </cell>
          <cell r="J27" t="str">
            <v>U17 F&gt;81</v>
          </cell>
          <cell r="K27" t="str">
            <v>U20 F&gt;87</v>
          </cell>
          <cell r="L27" t="str">
            <v>SE F&gt;87</v>
          </cell>
        </row>
        <row r="28">
          <cell r="A28">
            <v>102.01</v>
          </cell>
          <cell r="B28" t="str">
            <v>NON</v>
          </cell>
          <cell r="C28" t="str">
            <v>U15 M&gt;102</v>
          </cell>
          <cell r="D28" t="str">
            <v>U17 M&gt;102</v>
          </cell>
          <cell r="E28" t="str">
            <v>U20 M109</v>
          </cell>
          <cell r="F28" t="str">
            <v>SE M109</v>
          </cell>
        </row>
        <row r="29">
          <cell r="A29">
            <v>109.1</v>
          </cell>
          <cell r="B29" t="str">
            <v>NON</v>
          </cell>
          <cell r="C29" t="str">
            <v>U15 M&gt;102</v>
          </cell>
          <cell r="D29" t="str">
            <v>U17 M&gt;102</v>
          </cell>
          <cell r="E29" t="str">
            <v>U20 M&gt;109</v>
          </cell>
          <cell r="F29" t="str">
            <v>SE M&gt;109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VIDUEL"/>
      <sheetName val="Minimas"/>
    </sheetNames>
    <sheetDataSet>
      <sheetData sheetId="0" refreshError="1"/>
      <sheetData sheetId="1">
        <row r="3">
          <cell r="C3" t="str">
            <v>U15 F40</v>
          </cell>
          <cell r="D3" t="str">
            <v>U15 F45</v>
          </cell>
          <cell r="E3" t="str">
            <v>U15 F49</v>
          </cell>
          <cell r="F3" t="str">
            <v>U15 F55</v>
          </cell>
          <cell r="G3" t="str">
            <v>U15 F59</v>
          </cell>
          <cell r="H3" t="str">
            <v>U15 F64</v>
          </cell>
          <cell r="I3" t="str">
            <v>U15 F71</v>
          </cell>
          <cell r="J3" t="str">
            <v>U15 F76</v>
          </cell>
          <cell r="K3" t="str">
            <v>U15 F81</v>
          </cell>
          <cell r="L3" t="str">
            <v>U15 F&gt;81</v>
          </cell>
          <cell r="M3" t="str">
            <v>U17 F40</v>
          </cell>
          <cell r="N3" t="str">
            <v>U17 F45</v>
          </cell>
          <cell r="O3" t="str">
            <v>U17 F49</v>
          </cell>
          <cell r="P3" t="str">
            <v>U17 F55</v>
          </cell>
          <cell r="Q3" t="str">
            <v>U17 F59</v>
          </cell>
          <cell r="R3" t="str">
            <v>U17 F64</v>
          </cell>
          <cell r="S3" t="str">
            <v>U17 F71</v>
          </cell>
          <cell r="T3" t="str">
            <v>U17 F76</v>
          </cell>
          <cell r="U3" t="str">
            <v>U17 F81</v>
          </cell>
          <cell r="V3" t="str">
            <v>U17 F&gt;81</v>
          </cell>
          <cell r="W3" t="str">
            <v>U20 F45</v>
          </cell>
          <cell r="X3" t="str">
            <v>U20 F49</v>
          </cell>
          <cell r="Y3" t="str">
            <v>U20 F55</v>
          </cell>
          <cell r="Z3" t="str">
            <v>U20 F59</v>
          </cell>
          <cell r="AA3" t="str">
            <v>U20 F64</v>
          </cell>
          <cell r="AB3" t="str">
            <v>U20 F71</v>
          </cell>
          <cell r="AC3" t="str">
            <v>U20 F76</v>
          </cell>
          <cell r="AD3" t="str">
            <v>U20 F81</v>
          </cell>
          <cell r="AE3" t="str">
            <v>U20 F87</v>
          </cell>
          <cell r="AF3" t="str">
            <v>U20 F&gt;87</v>
          </cell>
          <cell r="AG3" t="str">
            <v>SE F45</v>
          </cell>
          <cell r="AH3" t="str">
            <v>SE F49</v>
          </cell>
          <cell r="AI3" t="str">
            <v>SE F55</v>
          </cell>
          <cell r="AJ3" t="str">
            <v>SE F59</v>
          </cell>
          <cell r="AK3" t="str">
            <v>SE F64</v>
          </cell>
          <cell r="AL3" t="str">
            <v>SE F71</v>
          </cell>
          <cell r="AM3" t="str">
            <v>SE F76</v>
          </cell>
          <cell r="AN3" t="str">
            <v>SE F81</v>
          </cell>
          <cell r="AO3" t="str">
            <v>SE F87</v>
          </cell>
          <cell r="AP3" t="str">
            <v>SE F&gt;87</v>
          </cell>
          <cell r="AQ3" t="str">
            <v>U15 M49</v>
          </cell>
          <cell r="AR3" t="str">
            <v>U15 M55</v>
          </cell>
          <cell r="AS3" t="str">
            <v>U15 M61</v>
          </cell>
          <cell r="AT3" t="str">
            <v>U15 M67</v>
          </cell>
          <cell r="AU3" t="str">
            <v>U15 M73</v>
          </cell>
          <cell r="AV3" t="str">
            <v>U15 M81</v>
          </cell>
          <cell r="AW3" t="str">
            <v>U15 M89</v>
          </cell>
          <cell r="AX3" t="str">
            <v>U15 M96</v>
          </cell>
          <cell r="AY3" t="str">
            <v>U15 M102</v>
          </cell>
          <cell r="AZ3" t="str">
            <v>U15 M&gt;102</v>
          </cell>
          <cell r="BA3" t="str">
            <v>U17 M49</v>
          </cell>
          <cell r="BB3" t="str">
            <v>U17 M55</v>
          </cell>
          <cell r="BC3" t="str">
            <v>U17 M61</v>
          </cell>
          <cell r="BD3" t="str">
            <v>U17 M67</v>
          </cell>
          <cell r="BE3" t="str">
            <v>U17 M73</v>
          </cell>
          <cell r="BF3" t="str">
            <v>U17 M81</v>
          </cell>
          <cell r="BG3" t="str">
            <v>U17 M89</v>
          </cell>
          <cell r="BH3" t="str">
            <v>U17 M96</v>
          </cell>
          <cell r="BI3" t="str">
            <v>U17 M102</v>
          </cell>
          <cell r="BJ3" t="str">
            <v>U17 M&gt;102</v>
          </cell>
          <cell r="BK3" t="str">
            <v>U20 M55</v>
          </cell>
          <cell r="BL3" t="str">
            <v>U20 M61</v>
          </cell>
          <cell r="BM3" t="str">
            <v>U20 M67</v>
          </cell>
          <cell r="BN3" t="str">
            <v>U20 M73</v>
          </cell>
          <cell r="BO3" t="str">
            <v>U20 M81</v>
          </cell>
          <cell r="BP3" t="str">
            <v>U20 M89</v>
          </cell>
          <cell r="BQ3" t="str">
            <v>U20 M96</v>
          </cell>
          <cell r="BR3" t="str">
            <v>U20 M102</v>
          </cell>
          <cell r="BS3" t="str">
            <v>U20 M109</v>
          </cell>
          <cell r="BT3" t="str">
            <v>U20 M&gt;109</v>
          </cell>
          <cell r="BU3" t="str">
            <v>SE M55</v>
          </cell>
          <cell r="BV3" t="str">
            <v>SE M61</v>
          </cell>
          <cell r="BW3" t="str">
            <v>SE M67</v>
          </cell>
          <cell r="BX3" t="str">
            <v>SE M73</v>
          </cell>
          <cell r="BY3" t="str">
            <v>SE M81</v>
          </cell>
          <cell r="BZ3" t="str">
            <v>SE M89</v>
          </cell>
          <cell r="CA3" t="str">
            <v>SE M96</v>
          </cell>
          <cell r="CB3" t="str">
            <v>SE M102</v>
          </cell>
          <cell r="CC3" t="str">
            <v>SE M109</v>
          </cell>
          <cell r="CD3" t="str">
            <v>SE M&gt;109</v>
          </cell>
        </row>
        <row r="4">
          <cell r="C4">
            <v>20</v>
          </cell>
          <cell r="D4">
            <v>25</v>
          </cell>
          <cell r="E4">
            <v>30</v>
          </cell>
          <cell r="F4">
            <v>35</v>
          </cell>
          <cell r="G4">
            <v>40</v>
          </cell>
          <cell r="H4">
            <v>45</v>
          </cell>
          <cell r="I4">
            <v>50</v>
          </cell>
          <cell r="J4">
            <v>55</v>
          </cell>
          <cell r="K4">
            <v>57</v>
          </cell>
          <cell r="L4">
            <v>60</v>
          </cell>
          <cell r="M4">
            <v>30</v>
          </cell>
          <cell r="N4">
            <v>35</v>
          </cell>
          <cell r="O4">
            <v>40</v>
          </cell>
          <cell r="P4">
            <v>45</v>
          </cell>
          <cell r="Q4">
            <v>50</v>
          </cell>
          <cell r="R4">
            <v>55</v>
          </cell>
          <cell r="S4">
            <v>60</v>
          </cell>
          <cell r="T4">
            <v>65</v>
          </cell>
          <cell r="U4">
            <v>67</v>
          </cell>
          <cell r="V4">
            <v>70</v>
          </cell>
          <cell r="W4">
            <v>40</v>
          </cell>
          <cell r="X4">
            <v>45</v>
          </cell>
          <cell r="Y4">
            <v>50</v>
          </cell>
          <cell r="Z4">
            <v>55</v>
          </cell>
          <cell r="AA4">
            <v>60</v>
          </cell>
          <cell r="AB4">
            <v>65</v>
          </cell>
          <cell r="AC4">
            <v>70</v>
          </cell>
          <cell r="AD4">
            <v>75</v>
          </cell>
          <cell r="AE4">
            <v>77</v>
          </cell>
          <cell r="AF4">
            <v>80</v>
          </cell>
          <cell r="AG4">
            <v>50</v>
          </cell>
          <cell r="AH4">
            <v>55</v>
          </cell>
          <cell r="AI4">
            <v>60</v>
          </cell>
          <cell r="AJ4">
            <v>65</v>
          </cell>
          <cell r="AK4">
            <v>70</v>
          </cell>
          <cell r="AL4">
            <v>75</v>
          </cell>
          <cell r="AM4">
            <v>80</v>
          </cell>
          <cell r="AN4">
            <v>85</v>
          </cell>
          <cell r="AO4">
            <v>87</v>
          </cell>
          <cell r="AP4">
            <v>90</v>
          </cell>
          <cell r="AQ4">
            <v>40</v>
          </cell>
          <cell r="AR4">
            <v>55</v>
          </cell>
          <cell r="AS4">
            <v>65</v>
          </cell>
          <cell r="AT4">
            <v>75</v>
          </cell>
          <cell r="AU4">
            <v>80</v>
          </cell>
          <cell r="AV4">
            <v>85</v>
          </cell>
          <cell r="AW4">
            <v>90</v>
          </cell>
          <cell r="AX4">
            <v>95</v>
          </cell>
          <cell r="AY4">
            <v>100</v>
          </cell>
          <cell r="AZ4">
            <v>105</v>
          </cell>
          <cell r="BA4">
            <v>50</v>
          </cell>
          <cell r="BB4">
            <v>65</v>
          </cell>
          <cell r="BC4">
            <v>80</v>
          </cell>
          <cell r="BD4">
            <v>90</v>
          </cell>
          <cell r="BE4">
            <v>100</v>
          </cell>
          <cell r="BF4">
            <v>110</v>
          </cell>
          <cell r="BG4">
            <v>115</v>
          </cell>
          <cell r="BH4">
            <v>120</v>
          </cell>
          <cell r="BI4">
            <v>125</v>
          </cell>
          <cell r="BJ4">
            <v>130</v>
          </cell>
          <cell r="BK4">
            <v>80</v>
          </cell>
          <cell r="BL4">
            <v>95</v>
          </cell>
          <cell r="BM4">
            <v>105</v>
          </cell>
          <cell r="BN4">
            <v>120</v>
          </cell>
          <cell r="BO4">
            <v>130</v>
          </cell>
          <cell r="BP4">
            <v>135</v>
          </cell>
          <cell r="BQ4">
            <v>140</v>
          </cell>
          <cell r="BR4">
            <v>145</v>
          </cell>
          <cell r="BS4">
            <v>150</v>
          </cell>
          <cell r="BT4">
            <v>155</v>
          </cell>
          <cell r="BU4">
            <v>95</v>
          </cell>
          <cell r="BV4">
            <v>110</v>
          </cell>
          <cell r="BW4">
            <v>125</v>
          </cell>
          <cell r="BX4">
            <v>135</v>
          </cell>
          <cell r="BY4">
            <v>145</v>
          </cell>
          <cell r="BZ4">
            <v>150</v>
          </cell>
          <cell r="CA4">
            <v>155</v>
          </cell>
          <cell r="CB4">
            <v>160</v>
          </cell>
          <cell r="CC4">
            <v>165</v>
          </cell>
          <cell r="CD4">
            <v>170</v>
          </cell>
        </row>
        <row r="5">
          <cell r="C5">
            <v>25</v>
          </cell>
          <cell r="D5">
            <v>35</v>
          </cell>
          <cell r="E5">
            <v>40</v>
          </cell>
          <cell r="F5">
            <v>45</v>
          </cell>
          <cell r="G5">
            <v>50</v>
          </cell>
          <cell r="H5">
            <v>55</v>
          </cell>
          <cell r="I5">
            <v>60</v>
          </cell>
          <cell r="J5">
            <v>65</v>
          </cell>
          <cell r="K5">
            <v>67</v>
          </cell>
          <cell r="L5">
            <v>70</v>
          </cell>
          <cell r="M5">
            <v>35</v>
          </cell>
          <cell r="N5">
            <v>42</v>
          </cell>
          <cell r="O5">
            <v>50</v>
          </cell>
          <cell r="P5">
            <v>55</v>
          </cell>
          <cell r="Q5">
            <v>60</v>
          </cell>
          <cell r="R5">
            <v>65</v>
          </cell>
          <cell r="S5">
            <v>70</v>
          </cell>
          <cell r="T5">
            <v>75</v>
          </cell>
          <cell r="U5">
            <v>77</v>
          </cell>
          <cell r="V5">
            <v>80</v>
          </cell>
          <cell r="W5">
            <v>50</v>
          </cell>
          <cell r="X5">
            <v>55</v>
          </cell>
          <cell r="Y5">
            <v>62</v>
          </cell>
          <cell r="Z5">
            <v>70</v>
          </cell>
          <cell r="AA5">
            <v>75</v>
          </cell>
          <cell r="AB5">
            <v>80</v>
          </cell>
          <cell r="AC5">
            <v>85</v>
          </cell>
          <cell r="AD5">
            <v>90</v>
          </cell>
          <cell r="AE5">
            <v>92</v>
          </cell>
          <cell r="AF5">
            <v>95</v>
          </cell>
          <cell r="AG5">
            <v>60</v>
          </cell>
          <cell r="AH5">
            <v>67</v>
          </cell>
          <cell r="AI5">
            <v>75</v>
          </cell>
          <cell r="AJ5">
            <v>80</v>
          </cell>
          <cell r="AK5">
            <v>85</v>
          </cell>
          <cell r="AL5">
            <v>90</v>
          </cell>
          <cell r="AM5">
            <v>95</v>
          </cell>
          <cell r="AN5">
            <v>100</v>
          </cell>
          <cell r="AO5">
            <v>102</v>
          </cell>
          <cell r="AP5">
            <v>105</v>
          </cell>
          <cell r="AQ5">
            <v>55</v>
          </cell>
          <cell r="AR5">
            <v>70</v>
          </cell>
          <cell r="AS5">
            <v>80</v>
          </cell>
          <cell r="AT5">
            <v>95</v>
          </cell>
          <cell r="AU5">
            <v>100</v>
          </cell>
          <cell r="AV5">
            <v>105</v>
          </cell>
          <cell r="AW5">
            <v>110</v>
          </cell>
          <cell r="AX5">
            <v>115</v>
          </cell>
          <cell r="AY5">
            <v>120</v>
          </cell>
          <cell r="AZ5">
            <v>125</v>
          </cell>
          <cell r="BA5">
            <v>65</v>
          </cell>
          <cell r="BB5">
            <v>85</v>
          </cell>
          <cell r="BC5">
            <v>100</v>
          </cell>
          <cell r="BD5">
            <v>110</v>
          </cell>
          <cell r="BE5">
            <v>120</v>
          </cell>
          <cell r="BF5">
            <v>130</v>
          </cell>
          <cell r="BG5">
            <v>135</v>
          </cell>
          <cell r="BH5">
            <v>140</v>
          </cell>
          <cell r="BI5">
            <v>145</v>
          </cell>
          <cell r="BJ5">
            <v>150</v>
          </cell>
          <cell r="BK5">
            <v>100</v>
          </cell>
          <cell r="BL5">
            <v>115</v>
          </cell>
          <cell r="BM5">
            <v>125</v>
          </cell>
          <cell r="BN5">
            <v>140</v>
          </cell>
          <cell r="BO5">
            <v>150</v>
          </cell>
          <cell r="BP5">
            <v>160</v>
          </cell>
          <cell r="BQ5">
            <v>165</v>
          </cell>
          <cell r="BR5">
            <v>170</v>
          </cell>
          <cell r="BS5">
            <v>175</v>
          </cell>
          <cell r="BT5">
            <v>180</v>
          </cell>
          <cell r="BU5">
            <v>115</v>
          </cell>
          <cell r="BV5">
            <v>130</v>
          </cell>
          <cell r="BW5">
            <v>145</v>
          </cell>
          <cell r="BX5">
            <v>160</v>
          </cell>
          <cell r="BY5">
            <v>170</v>
          </cell>
          <cell r="BZ5">
            <v>175</v>
          </cell>
          <cell r="CA5">
            <v>180</v>
          </cell>
          <cell r="CB5">
            <v>185</v>
          </cell>
          <cell r="CC5">
            <v>190</v>
          </cell>
          <cell r="CD5">
            <v>195</v>
          </cell>
        </row>
        <row r="6">
          <cell r="C6">
            <v>35</v>
          </cell>
          <cell r="D6">
            <v>45</v>
          </cell>
          <cell r="E6">
            <v>50</v>
          </cell>
          <cell r="F6">
            <v>57</v>
          </cell>
          <cell r="G6">
            <v>62</v>
          </cell>
          <cell r="H6">
            <v>67</v>
          </cell>
          <cell r="I6">
            <v>72</v>
          </cell>
          <cell r="J6">
            <v>75</v>
          </cell>
          <cell r="K6">
            <v>77</v>
          </cell>
          <cell r="L6">
            <v>80</v>
          </cell>
          <cell r="M6">
            <v>45</v>
          </cell>
          <cell r="N6">
            <v>50</v>
          </cell>
          <cell r="O6">
            <v>57</v>
          </cell>
          <cell r="P6">
            <v>65</v>
          </cell>
          <cell r="Q6">
            <v>70</v>
          </cell>
          <cell r="R6">
            <v>75</v>
          </cell>
          <cell r="S6">
            <v>80</v>
          </cell>
          <cell r="T6">
            <v>85</v>
          </cell>
          <cell r="U6">
            <v>90</v>
          </cell>
          <cell r="V6">
            <v>95</v>
          </cell>
          <cell r="W6">
            <v>60</v>
          </cell>
          <cell r="X6">
            <v>65</v>
          </cell>
          <cell r="Y6">
            <v>75</v>
          </cell>
          <cell r="Z6">
            <v>82</v>
          </cell>
          <cell r="AA6">
            <v>90</v>
          </cell>
          <cell r="AB6">
            <v>95</v>
          </cell>
          <cell r="AC6">
            <v>100</v>
          </cell>
          <cell r="AD6">
            <v>105</v>
          </cell>
          <cell r="AE6">
            <v>107</v>
          </cell>
          <cell r="AF6">
            <v>110</v>
          </cell>
          <cell r="AG6">
            <v>70</v>
          </cell>
          <cell r="AH6">
            <v>80</v>
          </cell>
          <cell r="AI6">
            <v>87</v>
          </cell>
          <cell r="AJ6">
            <v>92</v>
          </cell>
          <cell r="AK6">
            <v>100</v>
          </cell>
          <cell r="AL6">
            <v>107</v>
          </cell>
          <cell r="AM6">
            <v>115</v>
          </cell>
          <cell r="AN6">
            <v>120</v>
          </cell>
          <cell r="AO6">
            <v>122</v>
          </cell>
          <cell r="AP6">
            <v>125</v>
          </cell>
          <cell r="AQ6">
            <v>70</v>
          </cell>
          <cell r="AR6">
            <v>85</v>
          </cell>
          <cell r="AS6">
            <v>100</v>
          </cell>
          <cell r="AT6">
            <v>110</v>
          </cell>
          <cell r="AU6">
            <v>120</v>
          </cell>
          <cell r="AV6">
            <v>130</v>
          </cell>
          <cell r="AW6">
            <v>135</v>
          </cell>
          <cell r="AX6">
            <v>140</v>
          </cell>
          <cell r="AY6">
            <v>145</v>
          </cell>
          <cell r="AZ6">
            <v>150</v>
          </cell>
          <cell r="BA6">
            <v>80</v>
          </cell>
          <cell r="BB6">
            <v>100</v>
          </cell>
          <cell r="BC6">
            <v>120</v>
          </cell>
          <cell r="BD6">
            <v>130</v>
          </cell>
          <cell r="BE6">
            <v>140</v>
          </cell>
          <cell r="BF6">
            <v>150</v>
          </cell>
          <cell r="BG6">
            <v>160</v>
          </cell>
          <cell r="BH6">
            <v>165</v>
          </cell>
          <cell r="BI6">
            <v>170</v>
          </cell>
          <cell r="BJ6">
            <v>175</v>
          </cell>
          <cell r="BK6">
            <v>115</v>
          </cell>
          <cell r="BL6">
            <v>130</v>
          </cell>
          <cell r="BM6">
            <v>150</v>
          </cell>
          <cell r="BN6">
            <v>160</v>
          </cell>
          <cell r="BO6">
            <v>170</v>
          </cell>
          <cell r="BP6">
            <v>180</v>
          </cell>
          <cell r="BQ6">
            <v>185</v>
          </cell>
          <cell r="BR6">
            <v>190</v>
          </cell>
          <cell r="BS6">
            <v>195</v>
          </cell>
          <cell r="BT6">
            <v>200</v>
          </cell>
          <cell r="BU6">
            <v>130</v>
          </cell>
          <cell r="BV6">
            <v>150</v>
          </cell>
          <cell r="BW6">
            <v>170</v>
          </cell>
          <cell r="BX6">
            <v>185</v>
          </cell>
          <cell r="BY6">
            <v>195</v>
          </cell>
          <cell r="BZ6">
            <v>200</v>
          </cell>
          <cell r="CA6">
            <v>205</v>
          </cell>
          <cell r="CB6">
            <v>210</v>
          </cell>
          <cell r="CC6">
            <v>215</v>
          </cell>
          <cell r="CD6">
            <v>220</v>
          </cell>
        </row>
        <row r="7">
          <cell r="C7">
            <v>45</v>
          </cell>
          <cell r="D7">
            <v>55</v>
          </cell>
          <cell r="E7">
            <v>60</v>
          </cell>
          <cell r="F7">
            <v>67</v>
          </cell>
          <cell r="G7">
            <v>72</v>
          </cell>
          <cell r="H7">
            <v>77</v>
          </cell>
          <cell r="I7">
            <v>82</v>
          </cell>
          <cell r="J7">
            <v>85</v>
          </cell>
          <cell r="K7">
            <v>87</v>
          </cell>
          <cell r="L7">
            <v>90</v>
          </cell>
          <cell r="M7">
            <v>55</v>
          </cell>
          <cell r="N7">
            <v>60</v>
          </cell>
          <cell r="O7">
            <v>67</v>
          </cell>
          <cell r="P7">
            <v>77</v>
          </cell>
          <cell r="Q7">
            <v>82</v>
          </cell>
          <cell r="R7">
            <v>87</v>
          </cell>
          <cell r="S7">
            <v>92</v>
          </cell>
          <cell r="T7">
            <v>97</v>
          </cell>
          <cell r="U7">
            <v>100</v>
          </cell>
          <cell r="V7">
            <v>105</v>
          </cell>
          <cell r="W7">
            <v>70</v>
          </cell>
          <cell r="X7">
            <v>77</v>
          </cell>
          <cell r="Y7">
            <v>87</v>
          </cell>
          <cell r="Z7">
            <v>95</v>
          </cell>
          <cell r="AA7">
            <v>105</v>
          </cell>
          <cell r="AB7">
            <v>110</v>
          </cell>
          <cell r="AC7">
            <v>115</v>
          </cell>
          <cell r="AD7">
            <v>120</v>
          </cell>
          <cell r="AE7">
            <v>122</v>
          </cell>
          <cell r="AF7">
            <v>125</v>
          </cell>
          <cell r="AG7">
            <v>82</v>
          </cell>
          <cell r="AH7">
            <v>92</v>
          </cell>
          <cell r="AI7">
            <v>102</v>
          </cell>
          <cell r="AJ7">
            <v>107</v>
          </cell>
          <cell r="AK7">
            <v>117</v>
          </cell>
          <cell r="AL7">
            <v>122</v>
          </cell>
          <cell r="AM7">
            <v>130</v>
          </cell>
          <cell r="AN7">
            <v>135</v>
          </cell>
          <cell r="AO7">
            <v>137</v>
          </cell>
          <cell r="AP7">
            <v>140</v>
          </cell>
          <cell r="AQ7">
            <v>85</v>
          </cell>
          <cell r="AR7">
            <v>100</v>
          </cell>
          <cell r="AS7">
            <v>115</v>
          </cell>
          <cell r="AT7">
            <v>130</v>
          </cell>
          <cell r="AU7">
            <v>140</v>
          </cell>
          <cell r="AV7">
            <v>150</v>
          </cell>
          <cell r="AW7">
            <v>155</v>
          </cell>
          <cell r="AX7">
            <v>160</v>
          </cell>
          <cell r="AY7">
            <v>165</v>
          </cell>
          <cell r="AZ7">
            <v>170</v>
          </cell>
          <cell r="BA7">
            <v>95</v>
          </cell>
          <cell r="BB7">
            <v>115</v>
          </cell>
          <cell r="BC7">
            <v>135</v>
          </cell>
          <cell r="BD7">
            <v>150</v>
          </cell>
          <cell r="BE7">
            <v>160</v>
          </cell>
          <cell r="BF7">
            <v>170</v>
          </cell>
          <cell r="BG7">
            <v>180</v>
          </cell>
          <cell r="BH7">
            <v>185</v>
          </cell>
          <cell r="BI7">
            <v>190</v>
          </cell>
          <cell r="BJ7">
            <v>195</v>
          </cell>
          <cell r="BK7">
            <v>130</v>
          </cell>
          <cell r="BL7">
            <v>150</v>
          </cell>
          <cell r="BM7">
            <v>170</v>
          </cell>
          <cell r="BN7">
            <v>180</v>
          </cell>
          <cell r="BO7">
            <v>190</v>
          </cell>
          <cell r="BP7">
            <v>200</v>
          </cell>
          <cell r="BQ7">
            <v>210</v>
          </cell>
          <cell r="BR7">
            <v>215</v>
          </cell>
          <cell r="BS7">
            <v>220</v>
          </cell>
          <cell r="BT7">
            <v>225</v>
          </cell>
          <cell r="BU7">
            <v>145</v>
          </cell>
          <cell r="BV7">
            <v>170</v>
          </cell>
          <cell r="BW7">
            <v>195</v>
          </cell>
          <cell r="BX7">
            <v>210</v>
          </cell>
          <cell r="BY7">
            <v>220</v>
          </cell>
          <cell r="BZ7">
            <v>230</v>
          </cell>
          <cell r="CA7">
            <v>235</v>
          </cell>
          <cell r="CB7">
            <v>240</v>
          </cell>
          <cell r="CC7">
            <v>245</v>
          </cell>
          <cell r="CD7">
            <v>250</v>
          </cell>
        </row>
        <row r="8">
          <cell r="C8">
            <v>55</v>
          </cell>
          <cell r="D8">
            <v>65</v>
          </cell>
          <cell r="E8">
            <v>72</v>
          </cell>
          <cell r="F8">
            <v>82</v>
          </cell>
          <cell r="G8">
            <v>87</v>
          </cell>
          <cell r="H8">
            <v>92</v>
          </cell>
          <cell r="I8">
            <v>97</v>
          </cell>
          <cell r="J8">
            <v>100</v>
          </cell>
          <cell r="K8">
            <v>102</v>
          </cell>
          <cell r="L8">
            <v>105</v>
          </cell>
          <cell r="M8">
            <v>68</v>
          </cell>
          <cell r="N8">
            <v>75</v>
          </cell>
          <cell r="O8">
            <v>82</v>
          </cell>
          <cell r="P8">
            <v>92</v>
          </cell>
          <cell r="Q8">
            <v>97</v>
          </cell>
          <cell r="R8">
            <v>102</v>
          </cell>
          <cell r="S8">
            <v>107</v>
          </cell>
          <cell r="T8">
            <v>110</v>
          </cell>
          <cell r="U8">
            <v>112</v>
          </cell>
          <cell r="V8">
            <v>115</v>
          </cell>
          <cell r="W8">
            <v>83</v>
          </cell>
          <cell r="X8">
            <v>90</v>
          </cell>
          <cell r="Y8">
            <v>103</v>
          </cell>
          <cell r="Z8">
            <v>110</v>
          </cell>
          <cell r="AA8">
            <v>118</v>
          </cell>
          <cell r="AB8">
            <v>123</v>
          </cell>
          <cell r="AC8">
            <v>127</v>
          </cell>
          <cell r="AD8">
            <v>132</v>
          </cell>
          <cell r="AE8">
            <v>135</v>
          </cell>
          <cell r="AF8">
            <v>140</v>
          </cell>
          <cell r="AG8">
            <v>95</v>
          </cell>
          <cell r="AH8">
            <v>107</v>
          </cell>
          <cell r="AI8">
            <v>123</v>
          </cell>
          <cell r="AJ8">
            <v>130</v>
          </cell>
          <cell r="AK8">
            <v>137</v>
          </cell>
          <cell r="AL8">
            <v>142</v>
          </cell>
          <cell r="AM8">
            <v>147</v>
          </cell>
          <cell r="AN8">
            <v>150</v>
          </cell>
          <cell r="AO8">
            <v>152</v>
          </cell>
          <cell r="AP8">
            <v>155</v>
          </cell>
          <cell r="AQ8">
            <v>100</v>
          </cell>
          <cell r="AR8">
            <v>115</v>
          </cell>
          <cell r="AS8">
            <v>130</v>
          </cell>
          <cell r="AT8">
            <v>150</v>
          </cell>
          <cell r="AU8">
            <v>160</v>
          </cell>
          <cell r="AV8">
            <v>170</v>
          </cell>
          <cell r="AW8">
            <v>175</v>
          </cell>
          <cell r="AX8">
            <v>180</v>
          </cell>
          <cell r="AY8">
            <v>185</v>
          </cell>
          <cell r="AZ8">
            <v>190</v>
          </cell>
          <cell r="BA8">
            <v>110</v>
          </cell>
          <cell r="BB8">
            <v>130</v>
          </cell>
          <cell r="BC8">
            <v>150</v>
          </cell>
          <cell r="BD8">
            <v>170</v>
          </cell>
          <cell r="BE8">
            <v>180</v>
          </cell>
          <cell r="BF8">
            <v>190</v>
          </cell>
          <cell r="BG8">
            <v>200</v>
          </cell>
          <cell r="BH8">
            <v>205</v>
          </cell>
          <cell r="BI8">
            <v>210</v>
          </cell>
          <cell r="BJ8">
            <v>215</v>
          </cell>
          <cell r="BK8">
            <v>145</v>
          </cell>
          <cell r="BL8">
            <v>170</v>
          </cell>
          <cell r="BM8">
            <v>190</v>
          </cell>
          <cell r="BN8">
            <v>200</v>
          </cell>
          <cell r="BO8">
            <v>215</v>
          </cell>
          <cell r="BP8">
            <v>225</v>
          </cell>
          <cell r="BQ8">
            <v>230</v>
          </cell>
          <cell r="BR8">
            <v>240</v>
          </cell>
          <cell r="BS8">
            <v>245</v>
          </cell>
          <cell r="BT8">
            <v>250</v>
          </cell>
          <cell r="BU8">
            <v>170</v>
          </cell>
          <cell r="BV8">
            <v>195</v>
          </cell>
          <cell r="BW8">
            <v>225</v>
          </cell>
          <cell r="BX8">
            <v>240</v>
          </cell>
          <cell r="BY8">
            <v>250</v>
          </cell>
          <cell r="BZ8">
            <v>260</v>
          </cell>
          <cell r="CA8">
            <v>265</v>
          </cell>
          <cell r="CB8">
            <v>270</v>
          </cell>
          <cell r="CC8">
            <v>275</v>
          </cell>
          <cell r="CD8">
            <v>280</v>
          </cell>
        </row>
        <row r="9">
          <cell r="C9">
            <v>68</v>
          </cell>
          <cell r="D9">
            <v>78</v>
          </cell>
          <cell r="E9">
            <v>85</v>
          </cell>
          <cell r="F9">
            <v>95</v>
          </cell>
          <cell r="G9">
            <v>100</v>
          </cell>
          <cell r="H9">
            <v>105</v>
          </cell>
          <cell r="I9">
            <v>110</v>
          </cell>
          <cell r="J9">
            <v>115</v>
          </cell>
          <cell r="K9">
            <v>117</v>
          </cell>
          <cell r="L9">
            <v>120</v>
          </cell>
          <cell r="M9">
            <v>80</v>
          </cell>
          <cell r="N9">
            <v>88</v>
          </cell>
          <cell r="O9">
            <v>95</v>
          </cell>
          <cell r="P9">
            <v>105</v>
          </cell>
          <cell r="Q9">
            <v>110</v>
          </cell>
          <cell r="R9">
            <v>115</v>
          </cell>
          <cell r="S9">
            <v>120</v>
          </cell>
          <cell r="T9">
            <v>125</v>
          </cell>
          <cell r="U9">
            <v>130</v>
          </cell>
          <cell r="V9">
            <v>135</v>
          </cell>
          <cell r="W9">
            <v>97</v>
          </cell>
          <cell r="X9">
            <v>105</v>
          </cell>
          <cell r="Y9">
            <v>118</v>
          </cell>
          <cell r="Z9">
            <v>125</v>
          </cell>
          <cell r="AA9">
            <v>135</v>
          </cell>
          <cell r="AB9">
            <v>142</v>
          </cell>
          <cell r="AC9">
            <v>147</v>
          </cell>
          <cell r="AD9">
            <v>152</v>
          </cell>
          <cell r="AE9">
            <v>155</v>
          </cell>
          <cell r="AF9">
            <v>160</v>
          </cell>
          <cell r="AG9">
            <v>110</v>
          </cell>
          <cell r="AH9">
            <v>122</v>
          </cell>
          <cell r="AI9">
            <v>138</v>
          </cell>
          <cell r="AJ9">
            <v>145</v>
          </cell>
          <cell r="AK9">
            <v>155</v>
          </cell>
          <cell r="AL9">
            <v>165</v>
          </cell>
          <cell r="AM9">
            <v>170</v>
          </cell>
          <cell r="AN9">
            <v>172</v>
          </cell>
          <cell r="AO9">
            <v>175</v>
          </cell>
          <cell r="AP9">
            <v>180</v>
          </cell>
          <cell r="AQ9">
            <v>115</v>
          </cell>
          <cell r="AR9">
            <v>130</v>
          </cell>
          <cell r="AS9">
            <v>150</v>
          </cell>
          <cell r="AT9">
            <v>170</v>
          </cell>
          <cell r="AU9">
            <v>180</v>
          </cell>
          <cell r="AV9">
            <v>190</v>
          </cell>
          <cell r="AW9">
            <v>200</v>
          </cell>
          <cell r="AX9">
            <v>205</v>
          </cell>
          <cell r="AY9">
            <v>210</v>
          </cell>
          <cell r="AZ9">
            <v>215</v>
          </cell>
          <cell r="BA9">
            <v>125</v>
          </cell>
          <cell r="BB9">
            <v>145</v>
          </cell>
          <cell r="BC9">
            <v>170</v>
          </cell>
          <cell r="BD9">
            <v>190</v>
          </cell>
          <cell r="BE9">
            <v>200</v>
          </cell>
          <cell r="BF9">
            <v>210</v>
          </cell>
          <cell r="BG9">
            <v>220</v>
          </cell>
          <cell r="BH9">
            <v>225</v>
          </cell>
          <cell r="BI9">
            <v>230</v>
          </cell>
          <cell r="BJ9">
            <v>235</v>
          </cell>
          <cell r="BK9">
            <v>170</v>
          </cell>
          <cell r="BL9">
            <v>190</v>
          </cell>
          <cell r="BM9">
            <v>218</v>
          </cell>
          <cell r="BN9">
            <v>230</v>
          </cell>
          <cell r="BO9">
            <v>245</v>
          </cell>
          <cell r="BP9">
            <v>255</v>
          </cell>
          <cell r="BQ9">
            <v>260</v>
          </cell>
          <cell r="BR9">
            <v>270</v>
          </cell>
          <cell r="BS9">
            <v>275</v>
          </cell>
          <cell r="BT9">
            <v>280</v>
          </cell>
          <cell r="BU9">
            <v>190</v>
          </cell>
          <cell r="BV9">
            <v>215</v>
          </cell>
          <cell r="BW9">
            <v>240</v>
          </cell>
          <cell r="BX9">
            <v>260</v>
          </cell>
          <cell r="BY9">
            <v>275</v>
          </cell>
          <cell r="BZ9">
            <v>287</v>
          </cell>
          <cell r="CA9">
            <v>295</v>
          </cell>
          <cell r="CB9">
            <v>302</v>
          </cell>
          <cell r="CC9">
            <v>310</v>
          </cell>
          <cell r="CD9">
            <v>315</v>
          </cell>
        </row>
        <row r="10">
          <cell r="C10">
            <v>80</v>
          </cell>
          <cell r="D10">
            <v>90</v>
          </cell>
          <cell r="E10">
            <v>100</v>
          </cell>
          <cell r="F10">
            <v>110</v>
          </cell>
          <cell r="G10">
            <v>115</v>
          </cell>
          <cell r="H10">
            <v>120</v>
          </cell>
          <cell r="I10">
            <v>125</v>
          </cell>
          <cell r="J10">
            <v>130</v>
          </cell>
          <cell r="K10">
            <v>132</v>
          </cell>
          <cell r="L10">
            <v>135</v>
          </cell>
          <cell r="M10">
            <v>90</v>
          </cell>
          <cell r="N10">
            <v>100</v>
          </cell>
          <cell r="O10">
            <v>110</v>
          </cell>
          <cell r="P10">
            <v>120</v>
          </cell>
          <cell r="Q10">
            <v>125</v>
          </cell>
          <cell r="R10">
            <v>130</v>
          </cell>
          <cell r="S10">
            <v>135</v>
          </cell>
          <cell r="T10">
            <v>140</v>
          </cell>
          <cell r="U10">
            <v>145</v>
          </cell>
          <cell r="V10">
            <v>150</v>
          </cell>
          <cell r="W10">
            <v>110</v>
          </cell>
          <cell r="X10">
            <v>120</v>
          </cell>
          <cell r="Y10">
            <v>138</v>
          </cell>
          <cell r="Z10">
            <v>145</v>
          </cell>
          <cell r="AA10">
            <v>155</v>
          </cell>
          <cell r="AB10">
            <v>162</v>
          </cell>
          <cell r="AC10">
            <v>167</v>
          </cell>
          <cell r="AD10">
            <v>172</v>
          </cell>
          <cell r="AE10">
            <v>175</v>
          </cell>
          <cell r="AF10">
            <v>180</v>
          </cell>
          <cell r="AG10">
            <v>125</v>
          </cell>
          <cell r="AH10">
            <v>140</v>
          </cell>
          <cell r="AI10">
            <v>155</v>
          </cell>
          <cell r="AJ10">
            <v>165</v>
          </cell>
          <cell r="AK10">
            <v>175</v>
          </cell>
          <cell r="AL10">
            <v>185</v>
          </cell>
          <cell r="AM10">
            <v>190</v>
          </cell>
          <cell r="AN10">
            <v>192</v>
          </cell>
          <cell r="AO10">
            <v>195</v>
          </cell>
          <cell r="AP10">
            <v>200</v>
          </cell>
          <cell r="AQ10">
            <v>130</v>
          </cell>
          <cell r="AR10">
            <v>150</v>
          </cell>
          <cell r="AS10">
            <v>170</v>
          </cell>
          <cell r="AT10">
            <v>190</v>
          </cell>
          <cell r="AU10">
            <v>200</v>
          </cell>
          <cell r="AV10">
            <v>210</v>
          </cell>
          <cell r="AW10">
            <v>220</v>
          </cell>
          <cell r="AX10">
            <v>225</v>
          </cell>
          <cell r="AY10">
            <v>230</v>
          </cell>
          <cell r="AZ10">
            <v>235</v>
          </cell>
          <cell r="BA10">
            <v>140</v>
          </cell>
          <cell r="BB10">
            <v>170</v>
          </cell>
          <cell r="BC10">
            <v>190</v>
          </cell>
          <cell r="BD10">
            <v>210</v>
          </cell>
          <cell r="BE10">
            <v>220</v>
          </cell>
          <cell r="BF10">
            <v>230</v>
          </cell>
          <cell r="BG10">
            <v>240</v>
          </cell>
          <cell r="BH10">
            <v>250</v>
          </cell>
          <cell r="BI10">
            <v>255</v>
          </cell>
          <cell r="BJ10">
            <v>260</v>
          </cell>
          <cell r="BK10">
            <v>190</v>
          </cell>
          <cell r="BL10">
            <v>210</v>
          </cell>
          <cell r="BM10">
            <v>240</v>
          </cell>
          <cell r="BN10">
            <v>250</v>
          </cell>
          <cell r="BO10">
            <v>270</v>
          </cell>
          <cell r="BP10">
            <v>285</v>
          </cell>
          <cell r="BQ10">
            <v>290</v>
          </cell>
          <cell r="BR10">
            <v>300</v>
          </cell>
          <cell r="BS10">
            <v>305</v>
          </cell>
          <cell r="BT10">
            <v>310</v>
          </cell>
          <cell r="BU10">
            <v>210</v>
          </cell>
          <cell r="BV10">
            <v>235</v>
          </cell>
          <cell r="BW10">
            <v>260</v>
          </cell>
          <cell r="BX10">
            <v>280</v>
          </cell>
          <cell r="BY10">
            <v>295</v>
          </cell>
          <cell r="BZ10">
            <v>310</v>
          </cell>
          <cell r="CA10">
            <v>320</v>
          </cell>
          <cell r="CB10">
            <v>330</v>
          </cell>
          <cell r="CC10">
            <v>335</v>
          </cell>
          <cell r="CD10">
            <v>340</v>
          </cell>
        </row>
        <row r="11">
          <cell r="C11">
            <v>90</v>
          </cell>
          <cell r="D11">
            <v>105</v>
          </cell>
          <cell r="E11">
            <v>115</v>
          </cell>
          <cell r="F11">
            <v>125</v>
          </cell>
          <cell r="G11">
            <v>130</v>
          </cell>
          <cell r="H11">
            <v>135</v>
          </cell>
          <cell r="I11">
            <v>140</v>
          </cell>
          <cell r="J11">
            <v>145</v>
          </cell>
          <cell r="K11">
            <v>147</v>
          </cell>
          <cell r="L11">
            <v>150</v>
          </cell>
          <cell r="M11">
            <v>105</v>
          </cell>
          <cell r="N11">
            <v>115</v>
          </cell>
          <cell r="O11">
            <v>125</v>
          </cell>
          <cell r="P11">
            <v>135</v>
          </cell>
          <cell r="Q11">
            <v>140</v>
          </cell>
          <cell r="R11">
            <v>145</v>
          </cell>
          <cell r="S11">
            <v>150</v>
          </cell>
          <cell r="T11">
            <v>160</v>
          </cell>
          <cell r="U11">
            <v>165</v>
          </cell>
          <cell r="V11">
            <v>170</v>
          </cell>
          <cell r="W11">
            <v>130</v>
          </cell>
          <cell r="X11">
            <v>140</v>
          </cell>
          <cell r="Y11">
            <v>160</v>
          </cell>
          <cell r="Z11">
            <v>165</v>
          </cell>
          <cell r="AA11">
            <v>175</v>
          </cell>
          <cell r="AB11">
            <v>182</v>
          </cell>
          <cell r="AC11">
            <v>187</v>
          </cell>
          <cell r="AD11">
            <v>192</v>
          </cell>
          <cell r="AE11">
            <v>195</v>
          </cell>
          <cell r="AF11">
            <v>200</v>
          </cell>
          <cell r="AG11">
            <v>145</v>
          </cell>
          <cell r="AH11">
            <v>160</v>
          </cell>
          <cell r="AI11">
            <v>175</v>
          </cell>
          <cell r="AJ11">
            <v>185</v>
          </cell>
          <cell r="AK11">
            <v>195</v>
          </cell>
          <cell r="AL11">
            <v>205</v>
          </cell>
          <cell r="AM11">
            <v>210</v>
          </cell>
          <cell r="AN11">
            <v>212</v>
          </cell>
          <cell r="AO11">
            <v>215</v>
          </cell>
          <cell r="AP11">
            <v>220</v>
          </cell>
          <cell r="AQ11">
            <v>145</v>
          </cell>
          <cell r="AR11">
            <v>170</v>
          </cell>
          <cell r="AS11">
            <v>190</v>
          </cell>
          <cell r="AT11">
            <v>210</v>
          </cell>
          <cell r="AU11">
            <v>220</v>
          </cell>
          <cell r="AV11">
            <v>230</v>
          </cell>
          <cell r="AW11">
            <v>240</v>
          </cell>
          <cell r="AX11">
            <v>245</v>
          </cell>
          <cell r="AY11">
            <v>250</v>
          </cell>
          <cell r="AZ11">
            <v>255</v>
          </cell>
          <cell r="BA11">
            <v>155</v>
          </cell>
          <cell r="BB11">
            <v>190</v>
          </cell>
          <cell r="BC11">
            <v>210</v>
          </cell>
          <cell r="BD11">
            <v>230</v>
          </cell>
          <cell r="BE11">
            <v>240</v>
          </cell>
          <cell r="BF11">
            <v>260</v>
          </cell>
          <cell r="BG11">
            <v>270</v>
          </cell>
          <cell r="BH11">
            <v>280</v>
          </cell>
          <cell r="BI11">
            <v>285</v>
          </cell>
          <cell r="BJ11">
            <v>290</v>
          </cell>
          <cell r="BK11">
            <v>210</v>
          </cell>
          <cell r="BL11">
            <v>230</v>
          </cell>
          <cell r="BM11">
            <v>260</v>
          </cell>
          <cell r="BN11">
            <v>275</v>
          </cell>
          <cell r="BO11">
            <v>295</v>
          </cell>
          <cell r="BP11">
            <v>310</v>
          </cell>
          <cell r="BQ11">
            <v>315</v>
          </cell>
          <cell r="BR11">
            <v>325</v>
          </cell>
          <cell r="BS11">
            <v>330</v>
          </cell>
          <cell r="BT11">
            <v>335</v>
          </cell>
          <cell r="BU11">
            <v>230</v>
          </cell>
          <cell r="BV11">
            <v>260</v>
          </cell>
          <cell r="BW11">
            <v>280</v>
          </cell>
          <cell r="BX11">
            <v>300</v>
          </cell>
          <cell r="BY11">
            <v>320</v>
          </cell>
          <cell r="BZ11">
            <v>330</v>
          </cell>
          <cell r="CA11">
            <v>340</v>
          </cell>
          <cell r="CB11">
            <v>350</v>
          </cell>
          <cell r="CC11">
            <v>360</v>
          </cell>
          <cell r="CD11">
            <v>365</v>
          </cell>
        </row>
        <row r="12">
          <cell r="C12">
            <v>175</v>
          </cell>
          <cell r="D12">
            <v>175</v>
          </cell>
          <cell r="E12">
            <v>175</v>
          </cell>
          <cell r="F12">
            <v>190</v>
          </cell>
          <cell r="G12">
            <v>200</v>
          </cell>
          <cell r="H12">
            <v>210</v>
          </cell>
          <cell r="I12">
            <v>225</v>
          </cell>
          <cell r="J12">
            <v>225</v>
          </cell>
          <cell r="K12">
            <v>230</v>
          </cell>
          <cell r="L12">
            <v>230</v>
          </cell>
          <cell r="M12">
            <v>175</v>
          </cell>
          <cell r="N12">
            <v>175</v>
          </cell>
          <cell r="O12">
            <v>175</v>
          </cell>
          <cell r="P12">
            <v>190</v>
          </cell>
          <cell r="Q12">
            <v>200</v>
          </cell>
          <cell r="R12">
            <v>210</v>
          </cell>
          <cell r="S12">
            <v>225</v>
          </cell>
          <cell r="T12">
            <v>225</v>
          </cell>
          <cell r="U12">
            <v>230</v>
          </cell>
          <cell r="V12">
            <v>230</v>
          </cell>
          <cell r="W12">
            <v>175</v>
          </cell>
          <cell r="X12">
            <v>175</v>
          </cell>
          <cell r="Y12">
            <v>190</v>
          </cell>
          <cell r="Z12">
            <v>200</v>
          </cell>
          <cell r="AA12">
            <v>210</v>
          </cell>
          <cell r="AB12">
            <v>225</v>
          </cell>
          <cell r="AC12">
            <v>225</v>
          </cell>
          <cell r="AD12">
            <v>230</v>
          </cell>
          <cell r="AE12">
            <v>230</v>
          </cell>
          <cell r="AF12">
            <v>235</v>
          </cell>
          <cell r="AG12">
            <v>175</v>
          </cell>
          <cell r="AH12">
            <v>175</v>
          </cell>
          <cell r="AI12">
            <v>190</v>
          </cell>
          <cell r="AJ12">
            <v>200</v>
          </cell>
          <cell r="AK12">
            <v>210</v>
          </cell>
          <cell r="AL12">
            <v>225</v>
          </cell>
          <cell r="AM12">
            <v>225</v>
          </cell>
          <cell r="AN12">
            <v>230</v>
          </cell>
          <cell r="AO12">
            <v>230</v>
          </cell>
          <cell r="AP12">
            <v>235</v>
          </cell>
          <cell r="AQ12">
            <v>275</v>
          </cell>
          <cell r="AR12">
            <v>275</v>
          </cell>
          <cell r="AS12">
            <v>275</v>
          </cell>
          <cell r="AT12">
            <v>295</v>
          </cell>
          <cell r="AU12">
            <v>315</v>
          </cell>
          <cell r="AV12">
            <v>335</v>
          </cell>
          <cell r="AW12">
            <v>360</v>
          </cell>
          <cell r="AX12">
            <v>360</v>
          </cell>
          <cell r="AY12">
            <v>380</v>
          </cell>
          <cell r="AZ12">
            <v>380</v>
          </cell>
          <cell r="BA12">
            <v>275</v>
          </cell>
          <cell r="BB12">
            <v>275</v>
          </cell>
          <cell r="BC12">
            <v>275</v>
          </cell>
          <cell r="BD12">
            <v>295</v>
          </cell>
          <cell r="BE12">
            <v>315</v>
          </cell>
          <cell r="BF12">
            <v>335</v>
          </cell>
          <cell r="BG12">
            <v>360</v>
          </cell>
          <cell r="BH12">
            <v>360</v>
          </cell>
          <cell r="BI12">
            <v>380</v>
          </cell>
          <cell r="BJ12">
            <v>380</v>
          </cell>
          <cell r="BK12">
            <v>275</v>
          </cell>
          <cell r="BL12">
            <v>275</v>
          </cell>
          <cell r="BM12">
            <v>295</v>
          </cell>
          <cell r="BN12">
            <v>315</v>
          </cell>
          <cell r="BO12">
            <v>335</v>
          </cell>
          <cell r="BP12">
            <v>360</v>
          </cell>
          <cell r="BQ12">
            <v>360</v>
          </cell>
          <cell r="BR12">
            <v>380</v>
          </cell>
          <cell r="BS12">
            <v>380</v>
          </cell>
          <cell r="BT12">
            <v>385</v>
          </cell>
          <cell r="BU12">
            <v>275</v>
          </cell>
          <cell r="BV12">
            <v>275</v>
          </cell>
          <cell r="BW12">
            <v>295</v>
          </cell>
          <cell r="BX12">
            <v>315</v>
          </cell>
          <cell r="BY12">
            <v>335</v>
          </cell>
          <cell r="BZ12">
            <v>360</v>
          </cell>
          <cell r="CA12">
            <v>360</v>
          </cell>
          <cell r="CB12">
            <v>380</v>
          </cell>
          <cell r="CC12">
            <v>380</v>
          </cell>
          <cell r="CD12">
            <v>385</v>
          </cell>
        </row>
        <row r="15">
          <cell r="B15" t="str">
            <v>MINIME</v>
          </cell>
          <cell r="C15" t="str">
            <v>CADET</v>
          </cell>
          <cell r="D15" t="str">
            <v>CADET</v>
          </cell>
          <cell r="E15" t="str">
            <v>JUNIOR</v>
          </cell>
          <cell r="F15" t="str">
            <v>SENIOR</v>
          </cell>
          <cell r="H15" t="str">
            <v>MINIME</v>
          </cell>
          <cell r="I15" t="str">
            <v>CADETTE</v>
          </cell>
          <cell r="J15" t="str">
            <v>CADETTE</v>
          </cell>
          <cell r="K15" t="str">
            <v>JUNIOR</v>
          </cell>
          <cell r="L15" t="str">
            <v>SENIOR</v>
          </cell>
        </row>
        <row r="16">
          <cell r="A16">
            <v>10</v>
          </cell>
          <cell r="B16" t="str">
            <v>NON</v>
          </cell>
          <cell r="C16" t="str">
            <v>U15 M49</v>
          </cell>
          <cell r="D16" t="str">
            <v>U17 M49</v>
          </cell>
          <cell r="E16" t="str">
            <v>U20 M55</v>
          </cell>
          <cell r="F16" t="str">
            <v>SE M55</v>
          </cell>
          <cell r="G16">
            <v>10</v>
          </cell>
          <cell r="H16" t="str">
            <v>NON</v>
          </cell>
          <cell r="I16" t="str">
            <v>U15 F40</v>
          </cell>
          <cell r="J16" t="str">
            <v>U17 F40</v>
          </cell>
          <cell r="K16" t="str">
            <v>U20 F45</v>
          </cell>
          <cell r="L16" t="str">
            <v>SE F45</v>
          </cell>
        </row>
        <row r="17">
          <cell r="A17">
            <v>35.01</v>
          </cell>
          <cell r="B17" t="str">
            <v>NON</v>
          </cell>
          <cell r="C17" t="str">
            <v>U15 M49</v>
          </cell>
          <cell r="D17" t="str">
            <v>U17 M49</v>
          </cell>
          <cell r="E17" t="str">
            <v>U20 M55</v>
          </cell>
          <cell r="F17" t="str">
            <v>SE M55</v>
          </cell>
          <cell r="G17">
            <v>35.01</v>
          </cell>
          <cell r="H17" t="str">
            <v>NON</v>
          </cell>
          <cell r="I17" t="str">
            <v>U15 F40</v>
          </cell>
          <cell r="J17" t="str">
            <v>U17 F40</v>
          </cell>
          <cell r="K17" t="str">
            <v>U20 F45</v>
          </cell>
          <cell r="L17" t="str">
            <v>SE F45</v>
          </cell>
        </row>
        <row r="18">
          <cell r="A18">
            <v>40.01</v>
          </cell>
          <cell r="B18" t="str">
            <v>NON</v>
          </cell>
          <cell r="C18" t="str">
            <v>U15 M49</v>
          </cell>
          <cell r="D18" t="str">
            <v>U17 M49</v>
          </cell>
          <cell r="E18" t="str">
            <v>U20 M55</v>
          </cell>
          <cell r="F18" t="str">
            <v>SE M55</v>
          </cell>
          <cell r="G18">
            <v>40.01</v>
          </cell>
          <cell r="H18" t="str">
            <v>NON</v>
          </cell>
          <cell r="I18" t="str">
            <v>U15 F45</v>
          </cell>
          <cell r="J18" t="str">
            <v>U17 F45</v>
          </cell>
          <cell r="K18" t="str">
            <v>U20 F45</v>
          </cell>
          <cell r="L18" t="str">
            <v>SE F45</v>
          </cell>
        </row>
        <row r="19">
          <cell r="A19">
            <v>45.01</v>
          </cell>
          <cell r="B19" t="str">
            <v>NON</v>
          </cell>
          <cell r="C19" t="str">
            <v>U15 M49</v>
          </cell>
          <cell r="D19" t="str">
            <v>U17 M49</v>
          </cell>
          <cell r="E19" t="str">
            <v>U20 M55</v>
          </cell>
          <cell r="F19" t="str">
            <v>SE M55</v>
          </cell>
          <cell r="G19">
            <v>45.01</v>
          </cell>
          <cell r="H19" t="str">
            <v>NON</v>
          </cell>
          <cell r="I19" t="str">
            <v>U15 F49</v>
          </cell>
          <cell r="J19" t="str">
            <v>U17 F49</v>
          </cell>
          <cell r="K19" t="str">
            <v>U20 F49</v>
          </cell>
          <cell r="L19" t="str">
            <v>SE F49</v>
          </cell>
        </row>
        <row r="20">
          <cell r="A20">
            <v>49.01</v>
          </cell>
          <cell r="B20" t="str">
            <v>NON</v>
          </cell>
          <cell r="C20" t="str">
            <v>U15 M55</v>
          </cell>
          <cell r="D20" t="str">
            <v>U17 M55</v>
          </cell>
          <cell r="E20" t="str">
            <v>U20 M55</v>
          </cell>
          <cell r="F20" t="str">
            <v>SE M55</v>
          </cell>
          <cell r="G20">
            <v>49.01</v>
          </cell>
          <cell r="H20" t="str">
            <v>NON</v>
          </cell>
          <cell r="I20" t="str">
            <v>U15 F55</v>
          </cell>
          <cell r="J20" t="str">
            <v>U17 F55</v>
          </cell>
          <cell r="K20" t="str">
            <v>U20 F55</v>
          </cell>
          <cell r="L20" t="str">
            <v>SE F55</v>
          </cell>
        </row>
        <row r="21">
          <cell r="A21">
            <v>55.01</v>
          </cell>
          <cell r="B21" t="str">
            <v>NON</v>
          </cell>
          <cell r="C21" t="str">
            <v>U15 M61</v>
          </cell>
          <cell r="D21" t="str">
            <v>U17 M61</v>
          </cell>
          <cell r="E21" t="str">
            <v>U20 M61</v>
          </cell>
          <cell r="F21" t="str">
            <v>SE M61</v>
          </cell>
          <cell r="G21">
            <v>55.01</v>
          </cell>
          <cell r="H21" t="str">
            <v>NON</v>
          </cell>
          <cell r="I21" t="str">
            <v>U15 F59</v>
          </cell>
          <cell r="J21" t="str">
            <v>U17 F59</v>
          </cell>
          <cell r="K21" t="str">
            <v>U20 F59</v>
          </cell>
          <cell r="L21" t="str">
            <v>SE F59</v>
          </cell>
        </row>
        <row r="22">
          <cell r="A22">
            <v>61.01</v>
          </cell>
          <cell r="B22" t="str">
            <v>NON</v>
          </cell>
          <cell r="C22" t="str">
            <v>U15 M67</v>
          </cell>
          <cell r="D22" t="str">
            <v>U17 M67</v>
          </cell>
          <cell r="E22" t="str">
            <v>U20 M67</v>
          </cell>
          <cell r="F22" t="str">
            <v>SE M67</v>
          </cell>
          <cell r="G22">
            <v>59.01</v>
          </cell>
          <cell r="H22" t="str">
            <v>NON</v>
          </cell>
          <cell r="I22" t="str">
            <v>U15 F64</v>
          </cell>
          <cell r="J22" t="str">
            <v>U17 F64</v>
          </cell>
          <cell r="K22" t="str">
            <v>U20 F64</v>
          </cell>
          <cell r="L22" t="str">
            <v>SE F64</v>
          </cell>
        </row>
        <row r="23">
          <cell r="A23">
            <v>67.010000000000005</v>
          </cell>
          <cell r="B23" t="str">
            <v>NON</v>
          </cell>
          <cell r="C23" t="str">
            <v>U15 M73</v>
          </cell>
          <cell r="D23" t="str">
            <v>U17 M73</v>
          </cell>
          <cell r="E23" t="str">
            <v>U20 M73</v>
          </cell>
          <cell r="F23" t="str">
            <v>SE M73</v>
          </cell>
          <cell r="G23">
            <v>64.010000000000005</v>
          </cell>
          <cell r="H23" t="str">
            <v>NON</v>
          </cell>
          <cell r="I23" t="str">
            <v>U15 F71</v>
          </cell>
          <cell r="J23" t="str">
            <v>U17 F71</v>
          </cell>
          <cell r="K23" t="str">
            <v>U20 F71</v>
          </cell>
          <cell r="L23" t="str">
            <v>SE F71</v>
          </cell>
        </row>
        <row r="24">
          <cell r="A24">
            <v>73.010000000000005</v>
          </cell>
          <cell r="B24" t="str">
            <v>NON</v>
          </cell>
          <cell r="C24" t="str">
            <v>U15 M81</v>
          </cell>
          <cell r="D24" t="str">
            <v>U17 M81</v>
          </cell>
          <cell r="E24" t="str">
            <v>U20 M81</v>
          </cell>
          <cell r="F24" t="str">
            <v>SE M81</v>
          </cell>
          <cell r="G24">
            <v>71.010000000000005</v>
          </cell>
          <cell r="H24" t="str">
            <v>NON</v>
          </cell>
          <cell r="I24" t="str">
            <v>U15 F76</v>
          </cell>
          <cell r="J24" t="str">
            <v>U17 F76</v>
          </cell>
          <cell r="K24" t="str">
            <v>U20 F76</v>
          </cell>
          <cell r="L24" t="str">
            <v>SE F76</v>
          </cell>
        </row>
        <row r="25">
          <cell r="A25">
            <v>81.010000000000005</v>
          </cell>
          <cell r="B25" t="str">
            <v>NON</v>
          </cell>
          <cell r="C25" t="str">
            <v>U15 M89</v>
          </cell>
          <cell r="D25" t="str">
            <v>U17 M89</v>
          </cell>
          <cell r="E25" t="str">
            <v>U20 M89</v>
          </cell>
          <cell r="F25" t="str">
            <v>SE M89</v>
          </cell>
          <cell r="G25">
            <v>76.010000000000005</v>
          </cell>
          <cell r="H25" t="str">
            <v>NON</v>
          </cell>
          <cell r="I25" t="str">
            <v>U15 F81</v>
          </cell>
          <cell r="J25" t="str">
            <v>U17 F81</v>
          </cell>
          <cell r="K25" t="str">
            <v>U20 F81</v>
          </cell>
          <cell r="L25" t="str">
            <v>SE F81</v>
          </cell>
        </row>
        <row r="26">
          <cell r="A26">
            <v>89.01</v>
          </cell>
          <cell r="B26" t="str">
            <v>NON</v>
          </cell>
          <cell r="C26" t="str">
            <v>U15 M96</v>
          </cell>
          <cell r="D26" t="str">
            <v>U17 M96</v>
          </cell>
          <cell r="E26" t="str">
            <v>U20 M96</v>
          </cell>
          <cell r="F26" t="str">
            <v>SE M96</v>
          </cell>
          <cell r="G26">
            <v>81.010000000000005</v>
          </cell>
          <cell r="H26" t="str">
            <v>NON</v>
          </cell>
          <cell r="I26" t="str">
            <v>U15 F&gt;81</v>
          </cell>
          <cell r="J26" t="str">
            <v>U17 F&gt;81</v>
          </cell>
          <cell r="K26" t="str">
            <v>U20 F87</v>
          </cell>
          <cell r="L26" t="str">
            <v>SE F87</v>
          </cell>
        </row>
        <row r="27">
          <cell r="A27">
            <v>96.01</v>
          </cell>
          <cell r="B27" t="str">
            <v>NON</v>
          </cell>
          <cell r="C27" t="str">
            <v>U15 M102</v>
          </cell>
          <cell r="D27" t="str">
            <v>U17 M102</v>
          </cell>
          <cell r="E27" t="str">
            <v>U20 M102</v>
          </cell>
          <cell r="F27" t="str">
            <v>SE M102</v>
          </cell>
          <cell r="G27">
            <v>87.01</v>
          </cell>
          <cell r="H27" t="str">
            <v>NON</v>
          </cell>
          <cell r="I27" t="str">
            <v>U15 F&gt;81</v>
          </cell>
          <cell r="J27" t="str">
            <v>U17 F&gt;81</v>
          </cell>
          <cell r="K27" t="str">
            <v>U20 F&gt;87</v>
          </cell>
          <cell r="L27" t="str">
            <v>SE F&gt;87</v>
          </cell>
        </row>
        <row r="28">
          <cell r="A28">
            <v>102.01</v>
          </cell>
          <cell r="B28" t="str">
            <v>NON</v>
          </cell>
          <cell r="C28" t="str">
            <v>U15 M&gt;102</v>
          </cell>
          <cell r="D28" t="str">
            <v>U17 M&gt;102</v>
          </cell>
          <cell r="E28" t="str">
            <v>U20 M109</v>
          </cell>
          <cell r="F28" t="str">
            <v>SE M109</v>
          </cell>
        </row>
        <row r="29">
          <cell r="A29">
            <v>109.1</v>
          </cell>
          <cell r="B29" t="str">
            <v>NON</v>
          </cell>
          <cell r="C29" t="str">
            <v>U15 M&gt;102</v>
          </cell>
          <cell r="D29" t="str">
            <v>U17 M&gt;102</v>
          </cell>
          <cell r="E29" t="str">
            <v>U20 M&gt;109</v>
          </cell>
          <cell r="F29" t="str">
            <v>SE M&gt;109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MININES"/>
      <sheetName val="MASCULINS"/>
      <sheetName val="Minimas"/>
    </sheetNames>
    <sheetDataSet>
      <sheetData sheetId="0" refreshError="1"/>
      <sheetData sheetId="1" refreshError="1"/>
      <sheetData sheetId="2">
        <row r="15">
          <cell r="B15" t="str">
            <v>MINIME</v>
          </cell>
          <cell r="C15" t="str">
            <v>CADET</v>
          </cell>
          <cell r="D15" t="str">
            <v>CADET</v>
          </cell>
          <cell r="E15" t="str">
            <v>JUNIOR</v>
          </cell>
          <cell r="F15" t="str">
            <v>SENIOR</v>
          </cell>
          <cell r="H15" t="str">
            <v>MINIME</v>
          </cell>
          <cell r="I15" t="str">
            <v>CADETTE</v>
          </cell>
          <cell r="J15" t="str">
            <v>CADETTE</v>
          </cell>
          <cell r="K15" t="str">
            <v>JUNIOR</v>
          </cell>
          <cell r="L15" t="str">
            <v>SENIOR</v>
          </cell>
        </row>
        <row r="16">
          <cell r="A16">
            <v>10</v>
          </cell>
          <cell r="B16" t="str">
            <v>NON</v>
          </cell>
          <cell r="C16" t="str">
            <v>U15 M49</v>
          </cell>
          <cell r="D16" t="str">
            <v>U17 M49</v>
          </cell>
          <cell r="E16" t="str">
            <v>U20 M55</v>
          </cell>
          <cell r="F16" t="str">
            <v>SE M55</v>
          </cell>
          <cell r="G16">
            <v>10</v>
          </cell>
          <cell r="H16" t="str">
            <v>NON</v>
          </cell>
          <cell r="I16" t="str">
            <v>U15 F40</v>
          </cell>
          <cell r="J16" t="str">
            <v>U17 F40</v>
          </cell>
          <cell r="K16" t="str">
            <v>U20 F45</v>
          </cell>
          <cell r="L16" t="str">
            <v>SE F45</v>
          </cell>
        </row>
        <row r="17">
          <cell r="A17">
            <v>35.01</v>
          </cell>
          <cell r="B17" t="str">
            <v>NON</v>
          </cell>
          <cell r="C17" t="str">
            <v>U15 M49</v>
          </cell>
          <cell r="D17" t="str">
            <v>U17 M49</v>
          </cell>
          <cell r="E17" t="str">
            <v>U20 M55</v>
          </cell>
          <cell r="F17" t="str">
            <v>SE M55</v>
          </cell>
          <cell r="G17">
            <v>35.01</v>
          </cell>
          <cell r="H17" t="str">
            <v>NON</v>
          </cell>
          <cell r="I17" t="str">
            <v>U15 F40</v>
          </cell>
          <cell r="J17" t="str">
            <v>U17 F40</v>
          </cell>
          <cell r="K17" t="str">
            <v>U20 F45</v>
          </cell>
          <cell r="L17" t="str">
            <v>SE F45</v>
          </cell>
        </row>
        <row r="18">
          <cell r="A18">
            <v>40.01</v>
          </cell>
          <cell r="B18" t="str">
            <v>NON</v>
          </cell>
          <cell r="C18" t="str">
            <v>U15 M49</v>
          </cell>
          <cell r="D18" t="str">
            <v>U17 M49</v>
          </cell>
          <cell r="E18" t="str">
            <v>U20 M55</v>
          </cell>
          <cell r="F18" t="str">
            <v>SE M55</v>
          </cell>
          <cell r="G18">
            <v>40.01</v>
          </cell>
          <cell r="H18" t="str">
            <v>NON</v>
          </cell>
          <cell r="I18" t="str">
            <v>U15 F45</v>
          </cell>
          <cell r="J18" t="str">
            <v>U17 F45</v>
          </cell>
          <cell r="K18" t="str">
            <v>U20 F45</v>
          </cell>
          <cell r="L18" t="str">
            <v>SE F45</v>
          </cell>
        </row>
        <row r="19">
          <cell r="A19">
            <v>45.01</v>
          </cell>
          <cell r="B19" t="str">
            <v>NON</v>
          </cell>
          <cell r="C19" t="str">
            <v>U15 M49</v>
          </cell>
          <cell r="D19" t="str">
            <v>U17 M49</v>
          </cell>
          <cell r="E19" t="str">
            <v>U20 M55</v>
          </cell>
          <cell r="F19" t="str">
            <v>SE M55</v>
          </cell>
          <cell r="G19">
            <v>45.01</v>
          </cell>
          <cell r="H19" t="str">
            <v>NON</v>
          </cell>
          <cell r="I19" t="str">
            <v>U15 F49</v>
          </cell>
          <cell r="J19" t="str">
            <v>U17 F49</v>
          </cell>
          <cell r="K19" t="str">
            <v>U20 F49</v>
          </cell>
          <cell r="L19" t="str">
            <v>SE F49</v>
          </cell>
        </row>
        <row r="20">
          <cell r="A20">
            <v>49.01</v>
          </cell>
          <cell r="B20" t="str">
            <v>NON</v>
          </cell>
          <cell r="C20" t="str">
            <v>U15 M55</v>
          </cell>
          <cell r="D20" t="str">
            <v>U17 M55</v>
          </cell>
          <cell r="E20" t="str">
            <v>U20 M55</v>
          </cell>
          <cell r="F20" t="str">
            <v>SE M55</v>
          </cell>
          <cell r="G20">
            <v>49.01</v>
          </cell>
          <cell r="H20" t="str">
            <v>NON</v>
          </cell>
          <cell r="I20" t="str">
            <v>U15 F55</v>
          </cell>
          <cell r="J20" t="str">
            <v>U17 F55</v>
          </cell>
          <cell r="K20" t="str">
            <v>U20 F55</v>
          </cell>
          <cell r="L20" t="str">
            <v>SE F55</v>
          </cell>
        </row>
        <row r="21">
          <cell r="A21">
            <v>55.01</v>
          </cell>
          <cell r="B21" t="str">
            <v>NON</v>
          </cell>
          <cell r="C21" t="str">
            <v>U15 M61</v>
          </cell>
          <cell r="D21" t="str">
            <v>U17 M61</v>
          </cell>
          <cell r="E21" t="str">
            <v>U20 M61</v>
          </cell>
          <cell r="F21" t="str">
            <v>SE M61</v>
          </cell>
          <cell r="G21">
            <v>55.01</v>
          </cell>
          <cell r="H21" t="str">
            <v>NON</v>
          </cell>
          <cell r="I21" t="str">
            <v>U15 F59</v>
          </cell>
          <cell r="J21" t="str">
            <v>U17 F59</v>
          </cell>
          <cell r="K21" t="str">
            <v>U20 F59</v>
          </cell>
          <cell r="L21" t="str">
            <v>SE F59</v>
          </cell>
        </row>
        <row r="22">
          <cell r="A22">
            <v>61.01</v>
          </cell>
          <cell r="B22" t="str">
            <v>NON</v>
          </cell>
          <cell r="C22" t="str">
            <v>U15 M67</v>
          </cell>
          <cell r="D22" t="str">
            <v>U17 M67</v>
          </cell>
          <cell r="E22" t="str">
            <v>U20 M67</v>
          </cell>
          <cell r="F22" t="str">
            <v>SE M67</v>
          </cell>
          <cell r="G22">
            <v>59.01</v>
          </cell>
          <cell r="H22" t="str">
            <v>NON</v>
          </cell>
          <cell r="I22" t="str">
            <v>U15 F64</v>
          </cell>
          <cell r="J22" t="str">
            <v>U17 F64</v>
          </cell>
          <cell r="K22" t="str">
            <v>U20 F64</v>
          </cell>
          <cell r="L22" t="str">
            <v>SE F64</v>
          </cell>
        </row>
        <row r="23">
          <cell r="A23">
            <v>67.010000000000005</v>
          </cell>
          <cell r="B23" t="str">
            <v>NON</v>
          </cell>
          <cell r="C23" t="str">
            <v>U15 M73</v>
          </cell>
          <cell r="D23" t="str">
            <v>U17 M73</v>
          </cell>
          <cell r="E23" t="str">
            <v>U20 M73</v>
          </cell>
          <cell r="F23" t="str">
            <v>SE M73</v>
          </cell>
          <cell r="G23">
            <v>64.010000000000005</v>
          </cell>
          <cell r="H23" t="str">
            <v>NON</v>
          </cell>
          <cell r="I23" t="str">
            <v>U15 F71</v>
          </cell>
          <cell r="J23" t="str">
            <v>U17 F71</v>
          </cell>
          <cell r="K23" t="str">
            <v>U20 F71</v>
          </cell>
          <cell r="L23" t="str">
            <v>SE F71</v>
          </cell>
        </row>
        <row r="24">
          <cell r="A24">
            <v>73.010000000000005</v>
          </cell>
          <cell r="B24" t="str">
            <v>NON</v>
          </cell>
          <cell r="C24" t="str">
            <v>U15 M81</v>
          </cell>
          <cell r="D24" t="str">
            <v>U17 M81</v>
          </cell>
          <cell r="E24" t="str">
            <v>U20 M81</v>
          </cell>
          <cell r="F24" t="str">
            <v>SE M81</v>
          </cell>
          <cell r="G24">
            <v>71.010000000000005</v>
          </cell>
          <cell r="H24" t="str">
            <v>NON</v>
          </cell>
          <cell r="I24" t="str">
            <v>U15 F76</v>
          </cell>
          <cell r="J24" t="str">
            <v>U17 F76</v>
          </cell>
          <cell r="K24" t="str">
            <v>U20 F76</v>
          </cell>
          <cell r="L24" t="str">
            <v>SE F76</v>
          </cell>
        </row>
        <row r="25">
          <cell r="A25">
            <v>81.010000000000005</v>
          </cell>
          <cell r="B25" t="str">
            <v>NON</v>
          </cell>
          <cell r="C25" t="str">
            <v>U15 M89</v>
          </cell>
          <cell r="D25" t="str">
            <v>U17 M89</v>
          </cell>
          <cell r="E25" t="str">
            <v>U20 M89</v>
          </cell>
          <cell r="F25" t="str">
            <v>SE M89</v>
          </cell>
          <cell r="G25">
            <v>76.010000000000005</v>
          </cell>
          <cell r="H25" t="str">
            <v>NON</v>
          </cell>
          <cell r="I25" t="str">
            <v>U15 F81</v>
          </cell>
          <cell r="J25" t="str">
            <v>U17 F81</v>
          </cell>
          <cell r="K25" t="str">
            <v>U20 F81</v>
          </cell>
          <cell r="L25" t="str">
            <v>SE F81</v>
          </cell>
        </row>
        <row r="26">
          <cell r="A26">
            <v>89.01</v>
          </cell>
          <cell r="B26" t="str">
            <v>NON</v>
          </cell>
          <cell r="C26" t="str">
            <v>U15 M96</v>
          </cell>
          <cell r="D26" t="str">
            <v>U17 M96</v>
          </cell>
          <cell r="E26" t="str">
            <v>U20 M96</v>
          </cell>
          <cell r="F26" t="str">
            <v>SE M96</v>
          </cell>
          <cell r="G26">
            <v>81.010000000000005</v>
          </cell>
          <cell r="H26" t="str">
            <v>NON</v>
          </cell>
          <cell r="I26" t="str">
            <v>U15 F&gt;81</v>
          </cell>
          <cell r="J26" t="str">
            <v>U17 F&gt;81</v>
          </cell>
          <cell r="K26" t="str">
            <v>U20 F87</v>
          </cell>
          <cell r="L26" t="str">
            <v>SE F87</v>
          </cell>
        </row>
        <row r="27">
          <cell r="A27">
            <v>96.01</v>
          </cell>
          <cell r="B27" t="str">
            <v>NON</v>
          </cell>
          <cell r="C27" t="str">
            <v>U15 M102</v>
          </cell>
          <cell r="D27" t="str">
            <v>U17 M102</v>
          </cell>
          <cell r="E27" t="str">
            <v>U20 M102</v>
          </cell>
          <cell r="F27" t="str">
            <v>SE M102</v>
          </cell>
          <cell r="G27">
            <v>87.01</v>
          </cell>
          <cell r="H27" t="str">
            <v>NON</v>
          </cell>
          <cell r="I27" t="str">
            <v>U15 F&gt;81</v>
          </cell>
          <cell r="J27" t="str">
            <v>U17 F&gt;81</v>
          </cell>
          <cell r="K27" t="str">
            <v>U20 F&gt;87</v>
          </cell>
          <cell r="L27" t="str">
            <v>SE F&gt;87</v>
          </cell>
        </row>
        <row r="28">
          <cell r="A28">
            <v>102.01</v>
          </cell>
          <cell r="B28" t="str">
            <v>NON</v>
          </cell>
          <cell r="C28" t="str">
            <v>U15 M&gt;102</v>
          </cell>
          <cell r="D28" t="str">
            <v>U17 M&gt;102</v>
          </cell>
          <cell r="E28" t="str">
            <v>U20 M109</v>
          </cell>
          <cell r="F28" t="str">
            <v>SE M109</v>
          </cell>
        </row>
        <row r="29">
          <cell r="A29">
            <v>109.1</v>
          </cell>
          <cell r="B29" t="str">
            <v>NON</v>
          </cell>
          <cell r="C29" t="str">
            <v>U15 M&gt;102</v>
          </cell>
          <cell r="D29" t="str">
            <v>U17 M&gt;102</v>
          </cell>
          <cell r="E29" t="str">
            <v>U20 M&gt;109</v>
          </cell>
          <cell r="F29" t="str">
            <v>SE M&gt;109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VIDUEL"/>
      <sheetName val="Minimas"/>
    </sheetNames>
    <sheetDataSet>
      <sheetData sheetId="0"/>
      <sheetData sheetId="1">
        <row r="3">
          <cell r="C3" t="str">
            <v>U15 F40</v>
          </cell>
          <cell r="D3" t="str">
            <v>U15 F45</v>
          </cell>
          <cell r="E3" t="str">
            <v>U15 F49</v>
          </cell>
          <cell r="F3" t="str">
            <v>U15 F55</v>
          </cell>
          <cell r="G3" t="str">
            <v>U15 F59</v>
          </cell>
          <cell r="H3" t="str">
            <v>U15 F64</v>
          </cell>
          <cell r="I3" t="str">
            <v>U15 F71</v>
          </cell>
          <cell r="J3" t="str">
            <v>U15 F76</v>
          </cell>
          <cell r="K3" t="str">
            <v>U15 F81</v>
          </cell>
          <cell r="L3" t="str">
            <v>U15 F&gt;81</v>
          </cell>
          <cell r="M3" t="str">
            <v>U17 F40</v>
          </cell>
          <cell r="N3" t="str">
            <v>U17 F45</v>
          </cell>
          <cell r="O3" t="str">
            <v>U17 F49</v>
          </cell>
          <cell r="P3" t="str">
            <v>U17 F55</v>
          </cell>
          <cell r="Q3" t="str">
            <v>U17 F59</v>
          </cell>
          <cell r="R3" t="str">
            <v>U17 F64</v>
          </cell>
          <cell r="S3" t="str">
            <v>U17 F71</v>
          </cell>
          <cell r="T3" t="str">
            <v>U17 F76</v>
          </cell>
          <cell r="U3" t="str">
            <v>U17 F81</v>
          </cell>
          <cell r="V3" t="str">
            <v>U17 F&gt;81</v>
          </cell>
          <cell r="W3" t="str">
            <v>U20 F45</v>
          </cell>
          <cell r="X3" t="str">
            <v>U20 F49</v>
          </cell>
          <cell r="Y3" t="str">
            <v>U20 F55</v>
          </cell>
          <cell r="Z3" t="str">
            <v>U20 F59</v>
          </cell>
          <cell r="AA3" t="str">
            <v>U20 F64</v>
          </cell>
          <cell r="AB3" t="str">
            <v>U20 F71</v>
          </cell>
          <cell r="AC3" t="str">
            <v>U20 F76</v>
          </cell>
          <cell r="AD3" t="str">
            <v>U20 F81</v>
          </cell>
          <cell r="AE3" t="str">
            <v>U20 F87</v>
          </cell>
          <cell r="AF3" t="str">
            <v>U20 F&gt;87</v>
          </cell>
          <cell r="AG3" t="str">
            <v>SE F45</v>
          </cell>
          <cell r="AH3" t="str">
            <v>SE F49</v>
          </cell>
          <cell r="AI3" t="str">
            <v>SE F55</v>
          </cell>
          <cell r="AJ3" t="str">
            <v>SE F59</v>
          </cell>
          <cell r="AK3" t="str">
            <v>SE F64</v>
          </cell>
          <cell r="AL3" t="str">
            <v>SE F71</v>
          </cell>
          <cell r="AM3" t="str">
            <v>SE F76</v>
          </cell>
          <cell r="AN3" t="str">
            <v>SE F81</v>
          </cell>
          <cell r="AO3" t="str">
            <v>SE F87</v>
          </cell>
          <cell r="AP3" t="str">
            <v>SE F&gt;87</v>
          </cell>
          <cell r="AQ3" t="str">
            <v>U15 M49</v>
          </cell>
          <cell r="AR3" t="str">
            <v>U15 M55</v>
          </cell>
          <cell r="AS3" t="str">
            <v>U15 M61</v>
          </cell>
          <cell r="AT3" t="str">
            <v>U15 M67</v>
          </cell>
          <cell r="AU3" t="str">
            <v>U15 M73</v>
          </cell>
          <cell r="AV3" t="str">
            <v>U15 M81</v>
          </cell>
          <cell r="AW3" t="str">
            <v>U15 M89</v>
          </cell>
          <cell r="AX3" t="str">
            <v>U15 M96</v>
          </cell>
          <cell r="AY3" t="str">
            <v>U15 M102</v>
          </cell>
          <cell r="AZ3" t="str">
            <v>U15 M&gt;102</v>
          </cell>
          <cell r="BA3" t="str">
            <v>U17 M49</v>
          </cell>
          <cell r="BB3" t="str">
            <v>U17 M55</v>
          </cell>
          <cell r="BC3" t="str">
            <v>U17 M61</v>
          </cell>
          <cell r="BD3" t="str">
            <v>U17 M67</v>
          </cell>
          <cell r="BE3" t="str">
            <v>U17 M73</v>
          </cell>
          <cell r="BF3" t="str">
            <v>U17 M81</v>
          </cell>
          <cell r="BG3" t="str">
            <v>U17 M89</v>
          </cell>
          <cell r="BH3" t="str">
            <v>U17 M96</v>
          </cell>
          <cell r="BI3" t="str">
            <v>U17 M102</v>
          </cell>
          <cell r="BJ3" t="str">
            <v>U17 M&gt;102</v>
          </cell>
          <cell r="BK3" t="str">
            <v>U20 M55</v>
          </cell>
          <cell r="BL3" t="str">
            <v>U20 M61</v>
          </cell>
          <cell r="BM3" t="str">
            <v>U20 M67</v>
          </cell>
          <cell r="BN3" t="str">
            <v>U20 M73</v>
          </cell>
          <cell r="BO3" t="str">
            <v>U20 M81</v>
          </cell>
          <cell r="BP3" t="str">
            <v>U20 M89</v>
          </cell>
          <cell r="BQ3" t="str">
            <v>U20 M96</v>
          </cell>
          <cell r="BR3" t="str">
            <v>U20 M102</v>
          </cell>
          <cell r="BS3" t="str">
            <v>U20 M109</v>
          </cell>
          <cell r="BT3" t="str">
            <v>U20 M&gt;109</v>
          </cell>
          <cell r="BU3" t="str">
            <v>SE M55</v>
          </cell>
          <cell r="BV3" t="str">
            <v>SE M61</v>
          </cell>
          <cell r="BW3" t="str">
            <v>SE M67</v>
          </cell>
          <cell r="BX3" t="str">
            <v>SE M73</v>
          </cell>
          <cell r="BY3" t="str">
            <v>SE M81</v>
          </cell>
          <cell r="BZ3" t="str">
            <v>SE M89</v>
          </cell>
          <cell r="CA3" t="str">
            <v>SE M96</v>
          </cell>
          <cell r="CB3" t="str">
            <v>SE M102</v>
          </cell>
          <cell r="CC3" t="str">
            <v>SE M109</v>
          </cell>
          <cell r="CD3" t="str">
            <v>SE M&gt;109</v>
          </cell>
        </row>
        <row r="4">
          <cell r="C4">
            <v>20</v>
          </cell>
          <cell r="D4">
            <v>25</v>
          </cell>
          <cell r="E4">
            <v>30</v>
          </cell>
          <cell r="F4">
            <v>35</v>
          </cell>
          <cell r="G4">
            <v>40</v>
          </cell>
          <cell r="H4">
            <v>45</v>
          </cell>
          <cell r="I4">
            <v>50</v>
          </cell>
          <cell r="J4">
            <v>55</v>
          </cell>
          <cell r="K4">
            <v>57</v>
          </cell>
          <cell r="L4">
            <v>60</v>
          </cell>
          <cell r="M4">
            <v>30</v>
          </cell>
          <cell r="N4">
            <v>35</v>
          </cell>
          <cell r="O4">
            <v>40</v>
          </cell>
          <cell r="P4">
            <v>45</v>
          </cell>
          <cell r="Q4">
            <v>50</v>
          </cell>
          <cell r="R4">
            <v>55</v>
          </cell>
          <cell r="S4">
            <v>60</v>
          </cell>
          <cell r="T4">
            <v>65</v>
          </cell>
          <cell r="U4">
            <v>67</v>
          </cell>
          <cell r="V4">
            <v>70</v>
          </cell>
          <cell r="W4">
            <v>40</v>
          </cell>
          <cell r="X4">
            <v>45</v>
          </cell>
          <cell r="Y4">
            <v>50</v>
          </cell>
          <cell r="Z4">
            <v>55</v>
          </cell>
          <cell r="AA4">
            <v>60</v>
          </cell>
          <cell r="AB4">
            <v>65</v>
          </cell>
          <cell r="AC4">
            <v>70</v>
          </cell>
          <cell r="AD4">
            <v>75</v>
          </cell>
          <cell r="AE4">
            <v>77</v>
          </cell>
          <cell r="AF4">
            <v>80</v>
          </cell>
          <cell r="AG4">
            <v>50</v>
          </cell>
          <cell r="AH4">
            <v>55</v>
          </cell>
          <cell r="AI4">
            <v>60</v>
          </cell>
          <cell r="AJ4">
            <v>65</v>
          </cell>
          <cell r="AK4">
            <v>70</v>
          </cell>
          <cell r="AL4">
            <v>75</v>
          </cell>
          <cell r="AM4">
            <v>80</v>
          </cell>
          <cell r="AN4">
            <v>85</v>
          </cell>
          <cell r="AO4">
            <v>87</v>
          </cell>
          <cell r="AP4">
            <v>90</v>
          </cell>
          <cell r="AQ4">
            <v>40</v>
          </cell>
          <cell r="AR4">
            <v>55</v>
          </cell>
          <cell r="AS4">
            <v>65</v>
          </cell>
          <cell r="AT4">
            <v>75</v>
          </cell>
          <cell r="AU4">
            <v>80</v>
          </cell>
          <cell r="AV4">
            <v>85</v>
          </cell>
          <cell r="AW4">
            <v>90</v>
          </cell>
          <cell r="AX4">
            <v>95</v>
          </cell>
          <cell r="AY4">
            <v>100</v>
          </cell>
          <cell r="AZ4">
            <v>105</v>
          </cell>
          <cell r="BA4">
            <v>50</v>
          </cell>
          <cell r="BB4">
            <v>65</v>
          </cell>
          <cell r="BC4">
            <v>80</v>
          </cell>
          <cell r="BD4">
            <v>90</v>
          </cell>
          <cell r="BE4">
            <v>100</v>
          </cell>
          <cell r="BF4">
            <v>110</v>
          </cell>
          <cell r="BG4">
            <v>115</v>
          </cell>
          <cell r="BH4">
            <v>120</v>
          </cell>
          <cell r="BI4">
            <v>125</v>
          </cell>
          <cell r="BJ4">
            <v>130</v>
          </cell>
          <cell r="BK4">
            <v>80</v>
          </cell>
          <cell r="BL4">
            <v>95</v>
          </cell>
          <cell r="BM4">
            <v>105</v>
          </cell>
          <cell r="BN4">
            <v>120</v>
          </cell>
          <cell r="BO4">
            <v>130</v>
          </cell>
          <cell r="BP4">
            <v>135</v>
          </cell>
          <cell r="BQ4">
            <v>140</v>
          </cell>
          <cell r="BR4">
            <v>145</v>
          </cell>
          <cell r="BS4">
            <v>150</v>
          </cell>
          <cell r="BT4">
            <v>155</v>
          </cell>
          <cell r="BU4">
            <v>95</v>
          </cell>
          <cell r="BV4">
            <v>110</v>
          </cell>
          <cell r="BW4">
            <v>125</v>
          </cell>
          <cell r="BX4">
            <v>135</v>
          </cell>
          <cell r="BY4">
            <v>145</v>
          </cell>
          <cell r="BZ4">
            <v>150</v>
          </cell>
          <cell r="CA4">
            <v>155</v>
          </cell>
          <cell r="CB4">
            <v>160</v>
          </cell>
          <cell r="CC4">
            <v>165</v>
          </cell>
          <cell r="CD4">
            <v>170</v>
          </cell>
        </row>
        <row r="5">
          <cell r="C5">
            <v>25</v>
          </cell>
          <cell r="D5">
            <v>35</v>
          </cell>
          <cell r="E5">
            <v>40</v>
          </cell>
          <cell r="F5">
            <v>45</v>
          </cell>
          <cell r="G5">
            <v>50</v>
          </cell>
          <cell r="H5">
            <v>55</v>
          </cell>
          <cell r="I5">
            <v>60</v>
          </cell>
          <cell r="J5">
            <v>65</v>
          </cell>
          <cell r="K5">
            <v>67</v>
          </cell>
          <cell r="L5">
            <v>70</v>
          </cell>
          <cell r="M5">
            <v>35</v>
          </cell>
          <cell r="N5">
            <v>42</v>
          </cell>
          <cell r="O5">
            <v>50</v>
          </cell>
          <cell r="P5">
            <v>55</v>
          </cell>
          <cell r="Q5">
            <v>60</v>
          </cell>
          <cell r="R5">
            <v>65</v>
          </cell>
          <cell r="S5">
            <v>70</v>
          </cell>
          <cell r="T5">
            <v>75</v>
          </cell>
          <cell r="U5">
            <v>77</v>
          </cell>
          <cell r="V5">
            <v>80</v>
          </cell>
          <cell r="W5">
            <v>50</v>
          </cell>
          <cell r="X5">
            <v>55</v>
          </cell>
          <cell r="Y5">
            <v>62</v>
          </cell>
          <cell r="Z5">
            <v>70</v>
          </cell>
          <cell r="AA5">
            <v>75</v>
          </cell>
          <cell r="AB5">
            <v>80</v>
          </cell>
          <cell r="AC5">
            <v>85</v>
          </cell>
          <cell r="AD5">
            <v>90</v>
          </cell>
          <cell r="AE5">
            <v>92</v>
          </cell>
          <cell r="AF5">
            <v>95</v>
          </cell>
          <cell r="AG5">
            <v>60</v>
          </cell>
          <cell r="AH5">
            <v>67</v>
          </cell>
          <cell r="AI5">
            <v>75</v>
          </cell>
          <cell r="AJ5">
            <v>80</v>
          </cell>
          <cell r="AK5">
            <v>85</v>
          </cell>
          <cell r="AL5">
            <v>90</v>
          </cell>
          <cell r="AM5">
            <v>95</v>
          </cell>
          <cell r="AN5">
            <v>100</v>
          </cell>
          <cell r="AO5">
            <v>102</v>
          </cell>
          <cell r="AP5">
            <v>105</v>
          </cell>
          <cell r="AQ5">
            <v>55</v>
          </cell>
          <cell r="AR5">
            <v>70</v>
          </cell>
          <cell r="AS5">
            <v>80</v>
          </cell>
          <cell r="AT5">
            <v>95</v>
          </cell>
          <cell r="AU5">
            <v>100</v>
          </cell>
          <cell r="AV5">
            <v>105</v>
          </cell>
          <cell r="AW5">
            <v>110</v>
          </cell>
          <cell r="AX5">
            <v>115</v>
          </cell>
          <cell r="AY5">
            <v>120</v>
          </cell>
          <cell r="AZ5">
            <v>125</v>
          </cell>
          <cell r="BA5">
            <v>65</v>
          </cell>
          <cell r="BB5">
            <v>85</v>
          </cell>
          <cell r="BC5">
            <v>100</v>
          </cell>
          <cell r="BD5">
            <v>110</v>
          </cell>
          <cell r="BE5">
            <v>120</v>
          </cell>
          <cell r="BF5">
            <v>130</v>
          </cell>
          <cell r="BG5">
            <v>135</v>
          </cell>
          <cell r="BH5">
            <v>140</v>
          </cell>
          <cell r="BI5">
            <v>145</v>
          </cell>
          <cell r="BJ5">
            <v>150</v>
          </cell>
          <cell r="BK5">
            <v>100</v>
          </cell>
          <cell r="BL5">
            <v>115</v>
          </cell>
          <cell r="BM5">
            <v>125</v>
          </cell>
          <cell r="BN5">
            <v>140</v>
          </cell>
          <cell r="BO5">
            <v>150</v>
          </cell>
          <cell r="BP5">
            <v>160</v>
          </cell>
          <cell r="BQ5">
            <v>165</v>
          </cell>
          <cell r="BR5">
            <v>170</v>
          </cell>
          <cell r="BS5">
            <v>175</v>
          </cell>
          <cell r="BT5">
            <v>180</v>
          </cell>
          <cell r="BU5">
            <v>115</v>
          </cell>
          <cell r="BV5">
            <v>130</v>
          </cell>
          <cell r="BW5">
            <v>145</v>
          </cell>
          <cell r="BX5">
            <v>160</v>
          </cell>
          <cell r="BY5">
            <v>170</v>
          </cell>
          <cell r="BZ5">
            <v>175</v>
          </cell>
          <cell r="CA5">
            <v>180</v>
          </cell>
          <cell r="CB5">
            <v>185</v>
          </cell>
          <cell r="CC5">
            <v>190</v>
          </cell>
          <cell r="CD5">
            <v>195</v>
          </cell>
        </row>
        <row r="6">
          <cell r="C6">
            <v>35</v>
          </cell>
          <cell r="D6">
            <v>45</v>
          </cell>
          <cell r="E6">
            <v>50</v>
          </cell>
          <cell r="F6">
            <v>57</v>
          </cell>
          <cell r="G6">
            <v>62</v>
          </cell>
          <cell r="H6">
            <v>67</v>
          </cell>
          <cell r="I6">
            <v>72</v>
          </cell>
          <cell r="J6">
            <v>75</v>
          </cell>
          <cell r="K6">
            <v>77</v>
          </cell>
          <cell r="L6">
            <v>80</v>
          </cell>
          <cell r="M6">
            <v>45</v>
          </cell>
          <cell r="N6">
            <v>50</v>
          </cell>
          <cell r="O6">
            <v>57</v>
          </cell>
          <cell r="P6">
            <v>65</v>
          </cell>
          <cell r="Q6">
            <v>70</v>
          </cell>
          <cell r="R6">
            <v>75</v>
          </cell>
          <cell r="S6">
            <v>80</v>
          </cell>
          <cell r="T6">
            <v>85</v>
          </cell>
          <cell r="U6">
            <v>90</v>
          </cell>
          <cell r="V6">
            <v>95</v>
          </cell>
          <cell r="W6">
            <v>60</v>
          </cell>
          <cell r="X6">
            <v>65</v>
          </cell>
          <cell r="Y6">
            <v>75</v>
          </cell>
          <cell r="Z6">
            <v>82</v>
          </cell>
          <cell r="AA6">
            <v>90</v>
          </cell>
          <cell r="AB6">
            <v>95</v>
          </cell>
          <cell r="AC6">
            <v>100</v>
          </cell>
          <cell r="AD6">
            <v>105</v>
          </cell>
          <cell r="AE6">
            <v>107</v>
          </cell>
          <cell r="AF6">
            <v>110</v>
          </cell>
          <cell r="AG6">
            <v>70</v>
          </cell>
          <cell r="AH6">
            <v>80</v>
          </cell>
          <cell r="AI6">
            <v>87</v>
          </cell>
          <cell r="AJ6">
            <v>92</v>
          </cell>
          <cell r="AK6">
            <v>100</v>
          </cell>
          <cell r="AL6">
            <v>107</v>
          </cell>
          <cell r="AM6">
            <v>115</v>
          </cell>
          <cell r="AN6">
            <v>120</v>
          </cell>
          <cell r="AO6">
            <v>122</v>
          </cell>
          <cell r="AP6">
            <v>125</v>
          </cell>
          <cell r="AQ6">
            <v>70</v>
          </cell>
          <cell r="AR6">
            <v>85</v>
          </cell>
          <cell r="AS6">
            <v>100</v>
          </cell>
          <cell r="AT6">
            <v>110</v>
          </cell>
          <cell r="AU6">
            <v>120</v>
          </cell>
          <cell r="AV6">
            <v>130</v>
          </cell>
          <cell r="AW6">
            <v>135</v>
          </cell>
          <cell r="AX6">
            <v>140</v>
          </cell>
          <cell r="AY6">
            <v>145</v>
          </cell>
          <cell r="AZ6">
            <v>150</v>
          </cell>
          <cell r="BA6">
            <v>80</v>
          </cell>
          <cell r="BB6">
            <v>100</v>
          </cell>
          <cell r="BC6">
            <v>120</v>
          </cell>
          <cell r="BD6">
            <v>130</v>
          </cell>
          <cell r="BE6">
            <v>140</v>
          </cell>
          <cell r="BF6">
            <v>150</v>
          </cell>
          <cell r="BG6">
            <v>160</v>
          </cell>
          <cell r="BH6">
            <v>165</v>
          </cell>
          <cell r="BI6">
            <v>170</v>
          </cell>
          <cell r="BJ6">
            <v>175</v>
          </cell>
          <cell r="BK6">
            <v>115</v>
          </cell>
          <cell r="BL6">
            <v>130</v>
          </cell>
          <cell r="BM6">
            <v>150</v>
          </cell>
          <cell r="BN6">
            <v>160</v>
          </cell>
          <cell r="BO6">
            <v>170</v>
          </cell>
          <cell r="BP6">
            <v>180</v>
          </cell>
          <cell r="BQ6">
            <v>185</v>
          </cell>
          <cell r="BR6">
            <v>190</v>
          </cell>
          <cell r="BS6">
            <v>195</v>
          </cell>
          <cell r="BT6">
            <v>200</v>
          </cell>
          <cell r="BU6">
            <v>130</v>
          </cell>
          <cell r="BV6">
            <v>150</v>
          </cell>
          <cell r="BW6">
            <v>170</v>
          </cell>
          <cell r="BX6">
            <v>185</v>
          </cell>
          <cell r="BY6">
            <v>195</v>
          </cell>
          <cell r="BZ6">
            <v>200</v>
          </cell>
          <cell r="CA6">
            <v>205</v>
          </cell>
          <cell r="CB6">
            <v>210</v>
          </cell>
          <cell r="CC6">
            <v>215</v>
          </cell>
          <cell r="CD6">
            <v>220</v>
          </cell>
        </row>
        <row r="7">
          <cell r="C7">
            <v>45</v>
          </cell>
          <cell r="D7">
            <v>55</v>
          </cell>
          <cell r="E7">
            <v>60</v>
          </cell>
          <cell r="F7">
            <v>67</v>
          </cell>
          <cell r="G7">
            <v>72</v>
          </cell>
          <cell r="H7">
            <v>77</v>
          </cell>
          <cell r="I7">
            <v>82</v>
          </cell>
          <cell r="J7">
            <v>85</v>
          </cell>
          <cell r="K7">
            <v>87</v>
          </cell>
          <cell r="L7">
            <v>90</v>
          </cell>
          <cell r="M7">
            <v>55</v>
          </cell>
          <cell r="N7">
            <v>60</v>
          </cell>
          <cell r="O7">
            <v>67</v>
          </cell>
          <cell r="P7">
            <v>77</v>
          </cell>
          <cell r="Q7">
            <v>82</v>
          </cell>
          <cell r="R7">
            <v>87</v>
          </cell>
          <cell r="S7">
            <v>92</v>
          </cell>
          <cell r="T7">
            <v>97</v>
          </cell>
          <cell r="U7">
            <v>100</v>
          </cell>
          <cell r="V7">
            <v>105</v>
          </cell>
          <cell r="W7">
            <v>70</v>
          </cell>
          <cell r="X7">
            <v>77</v>
          </cell>
          <cell r="Y7">
            <v>87</v>
          </cell>
          <cell r="Z7">
            <v>95</v>
          </cell>
          <cell r="AA7">
            <v>105</v>
          </cell>
          <cell r="AB7">
            <v>110</v>
          </cell>
          <cell r="AC7">
            <v>115</v>
          </cell>
          <cell r="AD7">
            <v>120</v>
          </cell>
          <cell r="AE7">
            <v>122</v>
          </cell>
          <cell r="AF7">
            <v>125</v>
          </cell>
          <cell r="AG7">
            <v>82</v>
          </cell>
          <cell r="AH7">
            <v>92</v>
          </cell>
          <cell r="AI7">
            <v>102</v>
          </cell>
          <cell r="AJ7">
            <v>107</v>
          </cell>
          <cell r="AK7">
            <v>117</v>
          </cell>
          <cell r="AL7">
            <v>122</v>
          </cell>
          <cell r="AM7">
            <v>130</v>
          </cell>
          <cell r="AN7">
            <v>135</v>
          </cell>
          <cell r="AO7">
            <v>137</v>
          </cell>
          <cell r="AP7">
            <v>140</v>
          </cell>
          <cell r="AQ7">
            <v>85</v>
          </cell>
          <cell r="AR7">
            <v>100</v>
          </cell>
          <cell r="AS7">
            <v>115</v>
          </cell>
          <cell r="AT7">
            <v>130</v>
          </cell>
          <cell r="AU7">
            <v>140</v>
          </cell>
          <cell r="AV7">
            <v>150</v>
          </cell>
          <cell r="AW7">
            <v>155</v>
          </cell>
          <cell r="AX7">
            <v>160</v>
          </cell>
          <cell r="AY7">
            <v>165</v>
          </cell>
          <cell r="AZ7">
            <v>170</v>
          </cell>
          <cell r="BA7">
            <v>95</v>
          </cell>
          <cell r="BB7">
            <v>115</v>
          </cell>
          <cell r="BC7">
            <v>135</v>
          </cell>
          <cell r="BD7">
            <v>150</v>
          </cell>
          <cell r="BE7">
            <v>160</v>
          </cell>
          <cell r="BF7">
            <v>170</v>
          </cell>
          <cell r="BG7">
            <v>180</v>
          </cell>
          <cell r="BH7">
            <v>185</v>
          </cell>
          <cell r="BI7">
            <v>190</v>
          </cell>
          <cell r="BJ7">
            <v>195</v>
          </cell>
          <cell r="BK7">
            <v>130</v>
          </cell>
          <cell r="BL7">
            <v>150</v>
          </cell>
          <cell r="BM7">
            <v>170</v>
          </cell>
          <cell r="BN7">
            <v>180</v>
          </cell>
          <cell r="BO7">
            <v>190</v>
          </cell>
          <cell r="BP7">
            <v>200</v>
          </cell>
          <cell r="BQ7">
            <v>210</v>
          </cell>
          <cell r="BR7">
            <v>215</v>
          </cell>
          <cell r="BS7">
            <v>220</v>
          </cell>
          <cell r="BT7">
            <v>225</v>
          </cell>
          <cell r="BU7">
            <v>145</v>
          </cell>
          <cell r="BV7">
            <v>170</v>
          </cell>
          <cell r="BW7">
            <v>195</v>
          </cell>
          <cell r="BX7">
            <v>210</v>
          </cell>
          <cell r="BY7">
            <v>220</v>
          </cell>
          <cell r="BZ7">
            <v>230</v>
          </cell>
          <cell r="CA7">
            <v>235</v>
          </cell>
          <cell r="CB7">
            <v>240</v>
          </cell>
          <cell r="CC7">
            <v>245</v>
          </cell>
          <cell r="CD7">
            <v>250</v>
          </cell>
        </row>
        <row r="8">
          <cell r="C8">
            <v>55</v>
          </cell>
          <cell r="D8">
            <v>65</v>
          </cell>
          <cell r="E8">
            <v>72</v>
          </cell>
          <cell r="F8">
            <v>82</v>
          </cell>
          <cell r="G8">
            <v>87</v>
          </cell>
          <cell r="H8">
            <v>92</v>
          </cell>
          <cell r="I8">
            <v>97</v>
          </cell>
          <cell r="J8">
            <v>100</v>
          </cell>
          <cell r="K8">
            <v>102</v>
          </cell>
          <cell r="L8">
            <v>105</v>
          </cell>
          <cell r="M8">
            <v>68</v>
          </cell>
          <cell r="N8">
            <v>75</v>
          </cell>
          <cell r="O8">
            <v>82</v>
          </cell>
          <cell r="P8">
            <v>92</v>
          </cell>
          <cell r="Q8">
            <v>97</v>
          </cell>
          <cell r="R8">
            <v>102</v>
          </cell>
          <cell r="S8">
            <v>107</v>
          </cell>
          <cell r="T8">
            <v>110</v>
          </cell>
          <cell r="U8">
            <v>112</v>
          </cell>
          <cell r="V8">
            <v>115</v>
          </cell>
          <cell r="W8">
            <v>83</v>
          </cell>
          <cell r="X8">
            <v>90</v>
          </cell>
          <cell r="Y8">
            <v>103</v>
          </cell>
          <cell r="Z8">
            <v>110</v>
          </cell>
          <cell r="AA8">
            <v>118</v>
          </cell>
          <cell r="AB8">
            <v>123</v>
          </cell>
          <cell r="AC8">
            <v>127</v>
          </cell>
          <cell r="AD8">
            <v>132</v>
          </cell>
          <cell r="AE8">
            <v>135</v>
          </cell>
          <cell r="AF8">
            <v>140</v>
          </cell>
          <cell r="AG8">
            <v>95</v>
          </cell>
          <cell r="AH8">
            <v>107</v>
          </cell>
          <cell r="AI8">
            <v>123</v>
          </cell>
          <cell r="AJ8">
            <v>130</v>
          </cell>
          <cell r="AK8">
            <v>137</v>
          </cell>
          <cell r="AL8">
            <v>142</v>
          </cell>
          <cell r="AM8">
            <v>147</v>
          </cell>
          <cell r="AN8">
            <v>150</v>
          </cell>
          <cell r="AO8">
            <v>152</v>
          </cell>
          <cell r="AP8">
            <v>155</v>
          </cell>
          <cell r="AQ8">
            <v>100</v>
          </cell>
          <cell r="AR8">
            <v>115</v>
          </cell>
          <cell r="AS8">
            <v>130</v>
          </cell>
          <cell r="AT8">
            <v>150</v>
          </cell>
          <cell r="AU8">
            <v>160</v>
          </cell>
          <cell r="AV8">
            <v>170</v>
          </cell>
          <cell r="AW8">
            <v>175</v>
          </cell>
          <cell r="AX8">
            <v>180</v>
          </cell>
          <cell r="AY8">
            <v>185</v>
          </cell>
          <cell r="AZ8">
            <v>190</v>
          </cell>
          <cell r="BA8">
            <v>110</v>
          </cell>
          <cell r="BB8">
            <v>130</v>
          </cell>
          <cell r="BC8">
            <v>150</v>
          </cell>
          <cell r="BD8">
            <v>170</v>
          </cell>
          <cell r="BE8">
            <v>180</v>
          </cell>
          <cell r="BF8">
            <v>190</v>
          </cell>
          <cell r="BG8">
            <v>200</v>
          </cell>
          <cell r="BH8">
            <v>205</v>
          </cell>
          <cell r="BI8">
            <v>210</v>
          </cell>
          <cell r="BJ8">
            <v>215</v>
          </cell>
          <cell r="BK8">
            <v>145</v>
          </cell>
          <cell r="BL8">
            <v>170</v>
          </cell>
          <cell r="BM8">
            <v>190</v>
          </cell>
          <cell r="BN8">
            <v>200</v>
          </cell>
          <cell r="BO8">
            <v>215</v>
          </cell>
          <cell r="BP8">
            <v>225</v>
          </cell>
          <cell r="BQ8">
            <v>230</v>
          </cell>
          <cell r="BR8">
            <v>240</v>
          </cell>
          <cell r="BS8">
            <v>245</v>
          </cell>
          <cell r="BT8">
            <v>250</v>
          </cell>
          <cell r="BU8">
            <v>170</v>
          </cell>
          <cell r="BV8">
            <v>195</v>
          </cell>
          <cell r="BW8">
            <v>225</v>
          </cell>
          <cell r="BX8">
            <v>240</v>
          </cell>
          <cell r="BY8">
            <v>250</v>
          </cell>
          <cell r="BZ8">
            <v>260</v>
          </cell>
          <cell r="CA8">
            <v>265</v>
          </cell>
          <cell r="CB8">
            <v>270</v>
          </cell>
          <cell r="CC8">
            <v>275</v>
          </cell>
          <cell r="CD8">
            <v>280</v>
          </cell>
        </row>
        <row r="9">
          <cell r="C9">
            <v>68</v>
          </cell>
          <cell r="D9">
            <v>78</v>
          </cell>
          <cell r="E9">
            <v>85</v>
          </cell>
          <cell r="F9">
            <v>95</v>
          </cell>
          <cell r="G9">
            <v>100</v>
          </cell>
          <cell r="H9">
            <v>105</v>
          </cell>
          <cell r="I9">
            <v>110</v>
          </cell>
          <cell r="J9">
            <v>115</v>
          </cell>
          <cell r="K9">
            <v>117</v>
          </cell>
          <cell r="L9">
            <v>120</v>
          </cell>
          <cell r="M9">
            <v>80</v>
          </cell>
          <cell r="N9">
            <v>88</v>
          </cell>
          <cell r="O9">
            <v>95</v>
          </cell>
          <cell r="P9">
            <v>105</v>
          </cell>
          <cell r="Q9">
            <v>110</v>
          </cell>
          <cell r="R9">
            <v>115</v>
          </cell>
          <cell r="S9">
            <v>120</v>
          </cell>
          <cell r="T9">
            <v>125</v>
          </cell>
          <cell r="U9">
            <v>130</v>
          </cell>
          <cell r="V9">
            <v>135</v>
          </cell>
          <cell r="W9">
            <v>97</v>
          </cell>
          <cell r="X9">
            <v>105</v>
          </cell>
          <cell r="Y9">
            <v>118</v>
          </cell>
          <cell r="Z9">
            <v>125</v>
          </cell>
          <cell r="AA9">
            <v>135</v>
          </cell>
          <cell r="AB9">
            <v>142</v>
          </cell>
          <cell r="AC9">
            <v>147</v>
          </cell>
          <cell r="AD9">
            <v>152</v>
          </cell>
          <cell r="AE9">
            <v>155</v>
          </cell>
          <cell r="AF9">
            <v>160</v>
          </cell>
          <cell r="AG9">
            <v>110</v>
          </cell>
          <cell r="AH9">
            <v>122</v>
          </cell>
          <cell r="AI9">
            <v>138</v>
          </cell>
          <cell r="AJ9">
            <v>145</v>
          </cell>
          <cell r="AK9">
            <v>155</v>
          </cell>
          <cell r="AL9">
            <v>165</v>
          </cell>
          <cell r="AM9">
            <v>170</v>
          </cell>
          <cell r="AN9">
            <v>172</v>
          </cell>
          <cell r="AO9">
            <v>175</v>
          </cell>
          <cell r="AP9">
            <v>180</v>
          </cell>
          <cell r="AQ9">
            <v>115</v>
          </cell>
          <cell r="AR9">
            <v>130</v>
          </cell>
          <cell r="AS9">
            <v>150</v>
          </cell>
          <cell r="AT9">
            <v>170</v>
          </cell>
          <cell r="AU9">
            <v>180</v>
          </cell>
          <cell r="AV9">
            <v>190</v>
          </cell>
          <cell r="AW9">
            <v>200</v>
          </cell>
          <cell r="AX9">
            <v>205</v>
          </cell>
          <cell r="AY9">
            <v>210</v>
          </cell>
          <cell r="AZ9">
            <v>215</v>
          </cell>
          <cell r="BA9">
            <v>125</v>
          </cell>
          <cell r="BB9">
            <v>145</v>
          </cell>
          <cell r="BC9">
            <v>170</v>
          </cell>
          <cell r="BD9">
            <v>190</v>
          </cell>
          <cell r="BE9">
            <v>200</v>
          </cell>
          <cell r="BF9">
            <v>210</v>
          </cell>
          <cell r="BG9">
            <v>220</v>
          </cell>
          <cell r="BH9">
            <v>225</v>
          </cell>
          <cell r="BI9">
            <v>230</v>
          </cell>
          <cell r="BJ9">
            <v>235</v>
          </cell>
          <cell r="BK9">
            <v>170</v>
          </cell>
          <cell r="BL9">
            <v>190</v>
          </cell>
          <cell r="BM9">
            <v>218</v>
          </cell>
          <cell r="BN9">
            <v>230</v>
          </cell>
          <cell r="BO9">
            <v>245</v>
          </cell>
          <cell r="BP9">
            <v>255</v>
          </cell>
          <cell r="BQ9">
            <v>260</v>
          </cell>
          <cell r="BR9">
            <v>270</v>
          </cell>
          <cell r="BS9">
            <v>275</v>
          </cell>
          <cell r="BT9">
            <v>280</v>
          </cell>
          <cell r="BU9">
            <v>190</v>
          </cell>
          <cell r="BV9">
            <v>215</v>
          </cell>
          <cell r="BW9">
            <v>240</v>
          </cell>
          <cell r="BX9">
            <v>260</v>
          </cell>
          <cell r="BY9">
            <v>275</v>
          </cell>
          <cell r="BZ9">
            <v>287</v>
          </cell>
          <cell r="CA9">
            <v>295</v>
          </cell>
          <cell r="CB9">
            <v>302</v>
          </cell>
          <cell r="CC9">
            <v>310</v>
          </cell>
          <cell r="CD9">
            <v>315</v>
          </cell>
        </row>
        <row r="10">
          <cell r="C10">
            <v>80</v>
          </cell>
          <cell r="D10">
            <v>90</v>
          </cell>
          <cell r="E10">
            <v>100</v>
          </cell>
          <cell r="F10">
            <v>110</v>
          </cell>
          <cell r="G10">
            <v>115</v>
          </cell>
          <cell r="H10">
            <v>120</v>
          </cell>
          <cell r="I10">
            <v>125</v>
          </cell>
          <cell r="J10">
            <v>130</v>
          </cell>
          <cell r="K10">
            <v>132</v>
          </cell>
          <cell r="L10">
            <v>135</v>
          </cell>
          <cell r="M10">
            <v>90</v>
          </cell>
          <cell r="N10">
            <v>100</v>
          </cell>
          <cell r="O10">
            <v>110</v>
          </cell>
          <cell r="P10">
            <v>120</v>
          </cell>
          <cell r="Q10">
            <v>125</v>
          </cell>
          <cell r="R10">
            <v>130</v>
          </cell>
          <cell r="S10">
            <v>135</v>
          </cell>
          <cell r="T10">
            <v>140</v>
          </cell>
          <cell r="U10">
            <v>145</v>
          </cell>
          <cell r="V10">
            <v>150</v>
          </cell>
          <cell r="W10">
            <v>110</v>
          </cell>
          <cell r="X10">
            <v>120</v>
          </cell>
          <cell r="Y10">
            <v>138</v>
          </cell>
          <cell r="Z10">
            <v>145</v>
          </cell>
          <cell r="AA10">
            <v>155</v>
          </cell>
          <cell r="AB10">
            <v>162</v>
          </cell>
          <cell r="AC10">
            <v>167</v>
          </cell>
          <cell r="AD10">
            <v>172</v>
          </cell>
          <cell r="AE10">
            <v>175</v>
          </cell>
          <cell r="AF10">
            <v>180</v>
          </cell>
          <cell r="AG10">
            <v>125</v>
          </cell>
          <cell r="AH10">
            <v>140</v>
          </cell>
          <cell r="AI10">
            <v>155</v>
          </cell>
          <cell r="AJ10">
            <v>165</v>
          </cell>
          <cell r="AK10">
            <v>175</v>
          </cell>
          <cell r="AL10">
            <v>185</v>
          </cell>
          <cell r="AM10">
            <v>190</v>
          </cell>
          <cell r="AN10">
            <v>192</v>
          </cell>
          <cell r="AO10">
            <v>195</v>
          </cell>
          <cell r="AP10">
            <v>200</v>
          </cell>
          <cell r="AQ10">
            <v>130</v>
          </cell>
          <cell r="AR10">
            <v>150</v>
          </cell>
          <cell r="AS10">
            <v>170</v>
          </cell>
          <cell r="AT10">
            <v>190</v>
          </cell>
          <cell r="AU10">
            <v>200</v>
          </cell>
          <cell r="AV10">
            <v>210</v>
          </cell>
          <cell r="AW10">
            <v>220</v>
          </cell>
          <cell r="AX10">
            <v>225</v>
          </cell>
          <cell r="AY10">
            <v>230</v>
          </cell>
          <cell r="AZ10">
            <v>235</v>
          </cell>
          <cell r="BA10">
            <v>140</v>
          </cell>
          <cell r="BB10">
            <v>170</v>
          </cell>
          <cell r="BC10">
            <v>190</v>
          </cell>
          <cell r="BD10">
            <v>210</v>
          </cell>
          <cell r="BE10">
            <v>220</v>
          </cell>
          <cell r="BF10">
            <v>230</v>
          </cell>
          <cell r="BG10">
            <v>240</v>
          </cell>
          <cell r="BH10">
            <v>250</v>
          </cell>
          <cell r="BI10">
            <v>255</v>
          </cell>
          <cell r="BJ10">
            <v>260</v>
          </cell>
          <cell r="BK10">
            <v>190</v>
          </cell>
          <cell r="BL10">
            <v>210</v>
          </cell>
          <cell r="BM10">
            <v>240</v>
          </cell>
          <cell r="BN10">
            <v>250</v>
          </cell>
          <cell r="BO10">
            <v>270</v>
          </cell>
          <cell r="BP10">
            <v>285</v>
          </cell>
          <cell r="BQ10">
            <v>290</v>
          </cell>
          <cell r="BR10">
            <v>300</v>
          </cell>
          <cell r="BS10">
            <v>305</v>
          </cell>
          <cell r="BT10">
            <v>310</v>
          </cell>
          <cell r="BU10">
            <v>210</v>
          </cell>
          <cell r="BV10">
            <v>235</v>
          </cell>
          <cell r="BW10">
            <v>260</v>
          </cell>
          <cell r="BX10">
            <v>280</v>
          </cell>
          <cell r="BY10">
            <v>295</v>
          </cell>
          <cell r="BZ10">
            <v>310</v>
          </cell>
          <cell r="CA10">
            <v>320</v>
          </cell>
          <cell r="CB10">
            <v>330</v>
          </cell>
          <cell r="CC10">
            <v>335</v>
          </cell>
          <cell r="CD10">
            <v>340</v>
          </cell>
        </row>
        <row r="11">
          <cell r="C11">
            <v>90</v>
          </cell>
          <cell r="D11">
            <v>105</v>
          </cell>
          <cell r="E11">
            <v>115</v>
          </cell>
          <cell r="F11">
            <v>125</v>
          </cell>
          <cell r="G11">
            <v>130</v>
          </cell>
          <cell r="H11">
            <v>135</v>
          </cell>
          <cell r="I11">
            <v>140</v>
          </cell>
          <cell r="J11">
            <v>145</v>
          </cell>
          <cell r="K11">
            <v>147</v>
          </cell>
          <cell r="L11">
            <v>150</v>
          </cell>
          <cell r="M11">
            <v>105</v>
          </cell>
          <cell r="N11">
            <v>115</v>
          </cell>
          <cell r="O11">
            <v>125</v>
          </cell>
          <cell r="P11">
            <v>135</v>
          </cell>
          <cell r="Q11">
            <v>140</v>
          </cell>
          <cell r="R11">
            <v>145</v>
          </cell>
          <cell r="S11">
            <v>150</v>
          </cell>
          <cell r="T11">
            <v>160</v>
          </cell>
          <cell r="U11">
            <v>165</v>
          </cell>
          <cell r="V11">
            <v>170</v>
          </cell>
          <cell r="W11">
            <v>130</v>
          </cell>
          <cell r="X11">
            <v>140</v>
          </cell>
          <cell r="Y11">
            <v>160</v>
          </cell>
          <cell r="Z11">
            <v>165</v>
          </cell>
          <cell r="AA11">
            <v>175</v>
          </cell>
          <cell r="AB11">
            <v>182</v>
          </cell>
          <cell r="AC11">
            <v>187</v>
          </cell>
          <cell r="AD11">
            <v>192</v>
          </cell>
          <cell r="AE11">
            <v>195</v>
          </cell>
          <cell r="AF11">
            <v>200</v>
          </cell>
          <cell r="AG11">
            <v>145</v>
          </cell>
          <cell r="AH11">
            <v>160</v>
          </cell>
          <cell r="AI11">
            <v>175</v>
          </cell>
          <cell r="AJ11">
            <v>185</v>
          </cell>
          <cell r="AK11">
            <v>195</v>
          </cell>
          <cell r="AL11">
            <v>205</v>
          </cell>
          <cell r="AM11">
            <v>210</v>
          </cell>
          <cell r="AN11">
            <v>212</v>
          </cell>
          <cell r="AO11">
            <v>215</v>
          </cell>
          <cell r="AP11">
            <v>220</v>
          </cell>
          <cell r="AQ11">
            <v>145</v>
          </cell>
          <cell r="AR11">
            <v>170</v>
          </cell>
          <cell r="AS11">
            <v>190</v>
          </cell>
          <cell r="AT11">
            <v>210</v>
          </cell>
          <cell r="AU11">
            <v>220</v>
          </cell>
          <cell r="AV11">
            <v>230</v>
          </cell>
          <cell r="AW11">
            <v>240</v>
          </cell>
          <cell r="AX11">
            <v>245</v>
          </cell>
          <cell r="AY11">
            <v>250</v>
          </cell>
          <cell r="AZ11">
            <v>255</v>
          </cell>
          <cell r="BA11">
            <v>155</v>
          </cell>
          <cell r="BB11">
            <v>190</v>
          </cell>
          <cell r="BC11">
            <v>210</v>
          </cell>
          <cell r="BD11">
            <v>230</v>
          </cell>
          <cell r="BE11">
            <v>240</v>
          </cell>
          <cell r="BF11">
            <v>260</v>
          </cell>
          <cell r="BG11">
            <v>270</v>
          </cell>
          <cell r="BH11">
            <v>280</v>
          </cell>
          <cell r="BI11">
            <v>285</v>
          </cell>
          <cell r="BJ11">
            <v>290</v>
          </cell>
          <cell r="BK11">
            <v>210</v>
          </cell>
          <cell r="BL11">
            <v>230</v>
          </cell>
          <cell r="BM11">
            <v>260</v>
          </cell>
          <cell r="BN11">
            <v>275</v>
          </cell>
          <cell r="BO11">
            <v>295</v>
          </cell>
          <cell r="BP11">
            <v>310</v>
          </cell>
          <cell r="BQ11">
            <v>315</v>
          </cell>
          <cell r="BR11">
            <v>325</v>
          </cell>
          <cell r="BS11">
            <v>330</v>
          </cell>
          <cell r="BT11">
            <v>335</v>
          </cell>
          <cell r="BU11">
            <v>230</v>
          </cell>
          <cell r="BV11">
            <v>260</v>
          </cell>
          <cell r="BW11">
            <v>280</v>
          </cell>
          <cell r="BX11">
            <v>300</v>
          </cell>
          <cell r="BY11">
            <v>320</v>
          </cell>
          <cell r="BZ11">
            <v>330</v>
          </cell>
          <cell r="CA11">
            <v>340</v>
          </cell>
          <cell r="CB11">
            <v>350</v>
          </cell>
          <cell r="CC11">
            <v>360</v>
          </cell>
          <cell r="CD11">
            <v>365</v>
          </cell>
        </row>
        <row r="12">
          <cell r="C12">
            <v>175</v>
          </cell>
          <cell r="D12">
            <v>175</v>
          </cell>
          <cell r="E12">
            <v>175</v>
          </cell>
          <cell r="F12">
            <v>190</v>
          </cell>
          <cell r="G12">
            <v>200</v>
          </cell>
          <cell r="H12">
            <v>210</v>
          </cell>
          <cell r="I12">
            <v>225</v>
          </cell>
          <cell r="J12">
            <v>225</v>
          </cell>
          <cell r="K12">
            <v>230</v>
          </cell>
          <cell r="L12">
            <v>230</v>
          </cell>
          <cell r="M12">
            <v>175</v>
          </cell>
          <cell r="N12">
            <v>175</v>
          </cell>
          <cell r="O12">
            <v>175</v>
          </cell>
          <cell r="P12">
            <v>190</v>
          </cell>
          <cell r="Q12">
            <v>200</v>
          </cell>
          <cell r="R12">
            <v>210</v>
          </cell>
          <cell r="S12">
            <v>225</v>
          </cell>
          <cell r="T12">
            <v>225</v>
          </cell>
          <cell r="U12">
            <v>230</v>
          </cell>
          <cell r="V12">
            <v>230</v>
          </cell>
          <cell r="W12">
            <v>175</v>
          </cell>
          <cell r="X12">
            <v>175</v>
          </cell>
          <cell r="Y12">
            <v>190</v>
          </cell>
          <cell r="Z12">
            <v>200</v>
          </cell>
          <cell r="AA12">
            <v>210</v>
          </cell>
          <cell r="AB12">
            <v>225</v>
          </cell>
          <cell r="AC12">
            <v>225</v>
          </cell>
          <cell r="AD12">
            <v>230</v>
          </cell>
          <cell r="AE12">
            <v>230</v>
          </cell>
          <cell r="AF12">
            <v>235</v>
          </cell>
          <cell r="AG12">
            <v>175</v>
          </cell>
          <cell r="AH12">
            <v>175</v>
          </cell>
          <cell r="AI12">
            <v>190</v>
          </cell>
          <cell r="AJ12">
            <v>200</v>
          </cell>
          <cell r="AK12">
            <v>210</v>
          </cell>
          <cell r="AL12">
            <v>225</v>
          </cell>
          <cell r="AM12">
            <v>225</v>
          </cell>
          <cell r="AN12">
            <v>230</v>
          </cell>
          <cell r="AO12">
            <v>230</v>
          </cell>
          <cell r="AP12">
            <v>235</v>
          </cell>
          <cell r="AQ12">
            <v>275</v>
          </cell>
          <cell r="AR12">
            <v>275</v>
          </cell>
          <cell r="AS12">
            <v>275</v>
          </cell>
          <cell r="AT12">
            <v>295</v>
          </cell>
          <cell r="AU12">
            <v>315</v>
          </cell>
          <cell r="AV12">
            <v>335</v>
          </cell>
          <cell r="AW12">
            <v>360</v>
          </cell>
          <cell r="AX12">
            <v>360</v>
          </cell>
          <cell r="AY12">
            <v>380</v>
          </cell>
          <cell r="AZ12">
            <v>380</v>
          </cell>
          <cell r="BA12">
            <v>275</v>
          </cell>
          <cell r="BB12">
            <v>275</v>
          </cell>
          <cell r="BC12">
            <v>275</v>
          </cell>
          <cell r="BD12">
            <v>295</v>
          </cell>
          <cell r="BE12">
            <v>315</v>
          </cell>
          <cell r="BF12">
            <v>335</v>
          </cell>
          <cell r="BG12">
            <v>360</v>
          </cell>
          <cell r="BH12">
            <v>360</v>
          </cell>
          <cell r="BI12">
            <v>380</v>
          </cell>
          <cell r="BJ12">
            <v>380</v>
          </cell>
          <cell r="BK12">
            <v>275</v>
          </cell>
          <cell r="BL12">
            <v>275</v>
          </cell>
          <cell r="BM12">
            <v>295</v>
          </cell>
          <cell r="BN12">
            <v>315</v>
          </cell>
          <cell r="BO12">
            <v>335</v>
          </cell>
          <cell r="BP12">
            <v>360</v>
          </cell>
          <cell r="BQ12">
            <v>360</v>
          </cell>
          <cell r="BR12">
            <v>380</v>
          </cell>
          <cell r="BS12">
            <v>380</v>
          </cell>
          <cell r="BT12">
            <v>385</v>
          </cell>
          <cell r="BU12">
            <v>275</v>
          </cell>
          <cell r="BV12">
            <v>275</v>
          </cell>
          <cell r="BW12">
            <v>295</v>
          </cell>
          <cell r="BX12">
            <v>315</v>
          </cell>
          <cell r="BY12">
            <v>335</v>
          </cell>
          <cell r="BZ12">
            <v>360</v>
          </cell>
          <cell r="CA12">
            <v>360</v>
          </cell>
          <cell r="CB12">
            <v>380</v>
          </cell>
          <cell r="CC12">
            <v>380</v>
          </cell>
          <cell r="CD12">
            <v>385</v>
          </cell>
        </row>
        <row r="15">
          <cell r="B15" t="str">
            <v>MINIME</v>
          </cell>
          <cell r="C15" t="str">
            <v>CADET</v>
          </cell>
          <cell r="D15" t="str">
            <v>CADET</v>
          </cell>
          <cell r="E15" t="str">
            <v>JUNIOR</v>
          </cell>
          <cell r="F15" t="str">
            <v>SENIOR</v>
          </cell>
          <cell r="H15" t="str">
            <v>MINIME</v>
          </cell>
          <cell r="I15" t="str">
            <v>CADETTE</v>
          </cell>
          <cell r="J15" t="str">
            <v>CADETTE</v>
          </cell>
          <cell r="K15" t="str">
            <v>JUNIOR</v>
          </cell>
          <cell r="L15" t="str">
            <v>SENIOR</v>
          </cell>
        </row>
        <row r="16">
          <cell r="A16">
            <v>10</v>
          </cell>
          <cell r="B16" t="str">
            <v>NON</v>
          </cell>
          <cell r="C16" t="str">
            <v>U15 M49</v>
          </cell>
          <cell r="D16" t="str">
            <v>U17 M49</v>
          </cell>
          <cell r="E16" t="str">
            <v>U20 M55</v>
          </cell>
          <cell r="F16" t="str">
            <v>SE M55</v>
          </cell>
          <cell r="G16">
            <v>10</v>
          </cell>
          <cell r="H16" t="str">
            <v>NON</v>
          </cell>
          <cell r="I16" t="str">
            <v>U15 F40</v>
          </cell>
          <cell r="J16" t="str">
            <v>U17 F40</v>
          </cell>
          <cell r="K16" t="str">
            <v>U20 F45</v>
          </cell>
          <cell r="L16" t="str">
            <v>SE F45</v>
          </cell>
        </row>
        <row r="17">
          <cell r="A17">
            <v>35.01</v>
          </cell>
          <cell r="B17" t="str">
            <v>NON</v>
          </cell>
          <cell r="C17" t="str">
            <v>U15 M49</v>
          </cell>
          <cell r="D17" t="str">
            <v>U17 M49</v>
          </cell>
          <cell r="E17" t="str">
            <v>U20 M55</v>
          </cell>
          <cell r="F17" t="str">
            <v>SE M55</v>
          </cell>
          <cell r="G17">
            <v>35.01</v>
          </cell>
          <cell r="H17" t="str">
            <v>NON</v>
          </cell>
          <cell r="I17" t="str">
            <v>U15 F40</v>
          </cell>
          <cell r="J17" t="str">
            <v>U17 F40</v>
          </cell>
          <cell r="K17" t="str">
            <v>U20 F45</v>
          </cell>
          <cell r="L17" t="str">
            <v>SE F45</v>
          </cell>
        </row>
        <row r="18">
          <cell r="A18">
            <v>40.01</v>
          </cell>
          <cell r="B18" t="str">
            <v>NON</v>
          </cell>
          <cell r="C18" t="str">
            <v>U15 M49</v>
          </cell>
          <cell r="D18" t="str">
            <v>U17 M49</v>
          </cell>
          <cell r="E18" t="str">
            <v>U20 M55</v>
          </cell>
          <cell r="F18" t="str">
            <v>SE M55</v>
          </cell>
          <cell r="G18">
            <v>40.01</v>
          </cell>
          <cell r="H18" t="str">
            <v>NON</v>
          </cell>
          <cell r="I18" t="str">
            <v>U15 F45</v>
          </cell>
          <cell r="J18" t="str">
            <v>U17 F45</v>
          </cell>
          <cell r="K18" t="str">
            <v>U20 F45</v>
          </cell>
          <cell r="L18" t="str">
            <v>SE F45</v>
          </cell>
        </row>
        <row r="19">
          <cell r="A19">
            <v>45.01</v>
          </cell>
          <cell r="B19" t="str">
            <v>NON</v>
          </cell>
          <cell r="C19" t="str">
            <v>U15 M49</v>
          </cell>
          <cell r="D19" t="str">
            <v>U17 M49</v>
          </cell>
          <cell r="E19" t="str">
            <v>U20 M55</v>
          </cell>
          <cell r="F19" t="str">
            <v>SE M55</v>
          </cell>
          <cell r="G19">
            <v>45.01</v>
          </cell>
          <cell r="H19" t="str">
            <v>NON</v>
          </cell>
          <cell r="I19" t="str">
            <v>U15 F49</v>
          </cell>
          <cell r="J19" t="str">
            <v>U17 F49</v>
          </cell>
          <cell r="K19" t="str">
            <v>U20 F49</v>
          </cell>
          <cell r="L19" t="str">
            <v>SE F49</v>
          </cell>
        </row>
        <row r="20">
          <cell r="A20">
            <v>49.01</v>
          </cell>
          <cell r="B20" t="str">
            <v>NON</v>
          </cell>
          <cell r="C20" t="str">
            <v>U15 M55</v>
          </cell>
          <cell r="D20" t="str">
            <v>U17 M55</v>
          </cell>
          <cell r="E20" t="str">
            <v>U20 M55</v>
          </cell>
          <cell r="F20" t="str">
            <v>SE M55</v>
          </cell>
          <cell r="G20">
            <v>49.01</v>
          </cell>
          <cell r="H20" t="str">
            <v>NON</v>
          </cell>
          <cell r="I20" t="str">
            <v>U15 F55</v>
          </cell>
          <cell r="J20" t="str">
            <v>U17 F55</v>
          </cell>
          <cell r="K20" t="str">
            <v>U20 F55</v>
          </cell>
          <cell r="L20" t="str">
            <v>SE F55</v>
          </cell>
        </row>
        <row r="21">
          <cell r="A21">
            <v>55.01</v>
          </cell>
          <cell r="B21" t="str">
            <v>NON</v>
          </cell>
          <cell r="C21" t="str">
            <v>U15 M61</v>
          </cell>
          <cell r="D21" t="str">
            <v>U17 M61</v>
          </cell>
          <cell r="E21" t="str">
            <v>U20 M61</v>
          </cell>
          <cell r="F21" t="str">
            <v>SE M61</v>
          </cell>
          <cell r="G21">
            <v>55.01</v>
          </cell>
          <cell r="H21" t="str">
            <v>NON</v>
          </cell>
          <cell r="I21" t="str">
            <v>U15 F59</v>
          </cell>
          <cell r="J21" t="str">
            <v>U17 F59</v>
          </cell>
          <cell r="K21" t="str">
            <v>U20 F59</v>
          </cell>
          <cell r="L21" t="str">
            <v>SE F59</v>
          </cell>
        </row>
        <row r="22">
          <cell r="A22">
            <v>61.01</v>
          </cell>
          <cell r="B22" t="str">
            <v>NON</v>
          </cell>
          <cell r="C22" t="str">
            <v>U15 M67</v>
          </cell>
          <cell r="D22" t="str">
            <v>U17 M67</v>
          </cell>
          <cell r="E22" t="str">
            <v>U20 M67</v>
          </cell>
          <cell r="F22" t="str">
            <v>SE M67</v>
          </cell>
          <cell r="G22">
            <v>59.01</v>
          </cell>
          <cell r="H22" t="str">
            <v>NON</v>
          </cell>
          <cell r="I22" t="str">
            <v>U15 F64</v>
          </cell>
          <cell r="J22" t="str">
            <v>U17 F64</v>
          </cell>
          <cell r="K22" t="str">
            <v>U20 F64</v>
          </cell>
          <cell r="L22" t="str">
            <v>SE F64</v>
          </cell>
        </row>
        <row r="23">
          <cell r="A23">
            <v>67.010000000000005</v>
          </cell>
          <cell r="B23" t="str">
            <v>NON</v>
          </cell>
          <cell r="C23" t="str">
            <v>U15 M73</v>
          </cell>
          <cell r="D23" t="str">
            <v>U17 M73</v>
          </cell>
          <cell r="E23" t="str">
            <v>U20 M73</v>
          </cell>
          <cell r="F23" t="str">
            <v>SE M73</v>
          </cell>
          <cell r="G23">
            <v>64.010000000000005</v>
          </cell>
          <cell r="H23" t="str">
            <v>NON</v>
          </cell>
          <cell r="I23" t="str">
            <v>U15 F71</v>
          </cell>
          <cell r="J23" t="str">
            <v>U17 F71</v>
          </cell>
          <cell r="K23" t="str">
            <v>U20 F71</v>
          </cell>
          <cell r="L23" t="str">
            <v>SE F71</v>
          </cell>
        </row>
        <row r="24">
          <cell r="A24">
            <v>73.010000000000005</v>
          </cell>
          <cell r="B24" t="str">
            <v>NON</v>
          </cell>
          <cell r="C24" t="str">
            <v>U15 M81</v>
          </cell>
          <cell r="D24" t="str">
            <v>U17 M81</v>
          </cell>
          <cell r="E24" t="str">
            <v>U20 M81</v>
          </cell>
          <cell r="F24" t="str">
            <v>SE M81</v>
          </cell>
          <cell r="G24">
            <v>71.010000000000005</v>
          </cell>
          <cell r="H24" t="str">
            <v>NON</v>
          </cell>
          <cell r="I24" t="str">
            <v>U15 F76</v>
          </cell>
          <cell r="J24" t="str">
            <v>U17 F76</v>
          </cell>
          <cell r="K24" t="str">
            <v>U20 F76</v>
          </cell>
          <cell r="L24" t="str">
            <v>SE F76</v>
          </cell>
        </row>
        <row r="25">
          <cell r="A25">
            <v>81.010000000000005</v>
          </cell>
          <cell r="B25" t="str">
            <v>NON</v>
          </cell>
          <cell r="C25" t="str">
            <v>U15 M89</v>
          </cell>
          <cell r="D25" t="str">
            <v>U17 M89</v>
          </cell>
          <cell r="E25" t="str">
            <v>U20 M89</v>
          </cell>
          <cell r="F25" t="str">
            <v>SE M89</v>
          </cell>
          <cell r="G25">
            <v>76.010000000000005</v>
          </cell>
          <cell r="H25" t="str">
            <v>NON</v>
          </cell>
          <cell r="I25" t="str">
            <v>U15 F81</v>
          </cell>
          <cell r="J25" t="str">
            <v>U17 F81</v>
          </cell>
          <cell r="K25" t="str">
            <v>U20 F81</v>
          </cell>
          <cell r="L25" t="str">
            <v>SE F81</v>
          </cell>
        </row>
        <row r="26">
          <cell r="A26">
            <v>89.01</v>
          </cell>
          <cell r="B26" t="str">
            <v>NON</v>
          </cell>
          <cell r="C26" t="str">
            <v>U15 M96</v>
          </cell>
          <cell r="D26" t="str">
            <v>U17 M96</v>
          </cell>
          <cell r="E26" t="str">
            <v>U20 M96</v>
          </cell>
          <cell r="F26" t="str">
            <v>SE M96</v>
          </cell>
          <cell r="G26">
            <v>81.010000000000005</v>
          </cell>
          <cell r="H26" t="str">
            <v>NON</v>
          </cell>
          <cell r="I26" t="str">
            <v>U15 F&gt;81</v>
          </cell>
          <cell r="J26" t="str">
            <v>U17 F&gt;81</v>
          </cell>
          <cell r="K26" t="str">
            <v>U20 F87</v>
          </cell>
          <cell r="L26" t="str">
            <v>SE F87</v>
          </cell>
        </row>
        <row r="27">
          <cell r="A27">
            <v>96.01</v>
          </cell>
          <cell r="B27" t="str">
            <v>NON</v>
          </cell>
          <cell r="C27" t="str">
            <v>U15 M102</v>
          </cell>
          <cell r="D27" t="str">
            <v>U17 M102</v>
          </cell>
          <cell r="E27" t="str">
            <v>U20 M102</v>
          </cell>
          <cell r="F27" t="str">
            <v>SE M102</v>
          </cell>
          <cell r="G27">
            <v>87.01</v>
          </cell>
          <cell r="H27" t="str">
            <v>NON</v>
          </cell>
          <cell r="I27" t="str">
            <v>U15 F&gt;81</v>
          </cell>
          <cell r="J27" t="str">
            <v>U17 F&gt;81</v>
          </cell>
          <cell r="K27" t="str">
            <v>U20 F&gt;87</v>
          </cell>
          <cell r="L27" t="str">
            <v>SE F&gt;87</v>
          </cell>
        </row>
        <row r="28">
          <cell r="A28">
            <v>102.01</v>
          </cell>
          <cell r="B28" t="str">
            <v>NON</v>
          </cell>
          <cell r="C28" t="str">
            <v>U15 M&gt;102</v>
          </cell>
          <cell r="D28" t="str">
            <v>U17 M&gt;102</v>
          </cell>
          <cell r="E28" t="str">
            <v>U20 M109</v>
          </cell>
          <cell r="F28" t="str">
            <v>SE M109</v>
          </cell>
          <cell r="H28"/>
          <cell r="I28"/>
          <cell r="J28"/>
          <cell r="K28"/>
          <cell r="L28"/>
        </row>
        <row r="29">
          <cell r="A29">
            <v>109.1</v>
          </cell>
          <cell r="B29" t="str">
            <v>NON</v>
          </cell>
          <cell r="C29" t="str">
            <v>U15 M&gt;102</v>
          </cell>
          <cell r="D29" t="str">
            <v>U17 M&gt;102</v>
          </cell>
          <cell r="E29" t="str">
            <v>U20 M&gt;109</v>
          </cell>
          <cell r="F29" t="str">
            <v>SE M&gt;109</v>
          </cell>
          <cell r="H29"/>
          <cell r="I29"/>
          <cell r="J29"/>
          <cell r="K29"/>
          <cell r="L29"/>
        </row>
      </sheetData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VIDUEL"/>
      <sheetName val="Minimas"/>
    </sheetNames>
    <sheetDataSet>
      <sheetData sheetId="0" refreshError="1"/>
      <sheetData sheetId="1">
        <row r="3">
          <cell r="C3" t="str">
            <v>U15 F40</v>
          </cell>
          <cell r="D3" t="str">
            <v>U15 F45</v>
          </cell>
          <cell r="E3" t="str">
            <v>U15 F49</v>
          </cell>
          <cell r="F3" t="str">
            <v>U15 F55</v>
          </cell>
          <cell r="G3" t="str">
            <v>U15 F59</v>
          </cell>
          <cell r="H3" t="str">
            <v>U15 F64</v>
          </cell>
          <cell r="I3" t="str">
            <v>U15 F71</v>
          </cell>
          <cell r="J3" t="str">
            <v>U15 F76</v>
          </cell>
          <cell r="K3" t="str">
            <v>U15 F81</v>
          </cell>
          <cell r="L3" t="str">
            <v>U15 F&gt;81</v>
          </cell>
          <cell r="M3" t="str">
            <v>U17 F40</v>
          </cell>
          <cell r="N3" t="str">
            <v>U17 F45</v>
          </cell>
          <cell r="O3" t="str">
            <v>U17 F49</v>
          </cell>
          <cell r="P3" t="str">
            <v>U17 F55</v>
          </cell>
          <cell r="Q3" t="str">
            <v>U17 F59</v>
          </cell>
          <cell r="R3" t="str">
            <v>U17 F64</v>
          </cell>
          <cell r="S3" t="str">
            <v>U17 F71</v>
          </cell>
          <cell r="T3" t="str">
            <v>U17 F76</v>
          </cell>
          <cell r="U3" t="str">
            <v>U17 F81</v>
          </cell>
          <cell r="V3" t="str">
            <v>U17 F&gt;81</v>
          </cell>
          <cell r="W3" t="str">
            <v>U20 F45</v>
          </cell>
          <cell r="X3" t="str">
            <v>U20 F49</v>
          </cell>
          <cell r="Y3" t="str">
            <v>U20 F55</v>
          </cell>
          <cell r="Z3" t="str">
            <v>U20 F59</v>
          </cell>
          <cell r="AA3" t="str">
            <v>U20 F64</v>
          </cell>
          <cell r="AB3" t="str">
            <v>U20 F71</v>
          </cell>
          <cell r="AC3" t="str">
            <v>U20 F76</v>
          </cell>
          <cell r="AD3" t="str">
            <v>U20 F81</v>
          </cell>
          <cell r="AE3" t="str">
            <v>U20 F87</v>
          </cell>
          <cell r="AF3" t="str">
            <v>U20 F&gt;87</v>
          </cell>
          <cell r="AG3" t="str">
            <v>SE F45</v>
          </cell>
          <cell r="AH3" t="str">
            <v>SE F49</v>
          </cell>
          <cell r="AI3" t="str">
            <v>SE F55</v>
          </cell>
          <cell r="AJ3" t="str">
            <v>SE F59</v>
          </cell>
          <cell r="AK3" t="str">
            <v>SE F64</v>
          </cell>
          <cell r="AL3" t="str">
            <v>SE F71</v>
          </cell>
          <cell r="AM3" t="str">
            <v>SE F76</v>
          </cell>
          <cell r="AN3" t="str">
            <v>SE F81</v>
          </cell>
          <cell r="AO3" t="str">
            <v>SE F87</v>
          </cell>
          <cell r="AP3" t="str">
            <v>SE F&gt;87</v>
          </cell>
          <cell r="AQ3" t="str">
            <v>U15 M49</v>
          </cell>
          <cell r="AR3" t="str">
            <v>U15 M55</v>
          </cell>
          <cell r="AS3" t="str">
            <v>U15 M61</v>
          </cell>
          <cell r="AT3" t="str">
            <v>U15 M67</v>
          </cell>
          <cell r="AU3" t="str">
            <v>U15 M73</v>
          </cell>
          <cell r="AV3" t="str">
            <v>U15 M81</v>
          </cell>
          <cell r="AW3" t="str">
            <v>U15 M89</v>
          </cell>
          <cell r="AX3" t="str">
            <v>U15 M96</v>
          </cell>
          <cell r="AY3" t="str">
            <v>U15 M102</v>
          </cell>
          <cell r="AZ3" t="str">
            <v>U15 M&gt;102</v>
          </cell>
          <cell r="BA3" t="str">
            <v>U17 M49</v>
          </cell>
          <cell r="BB3" t="str">
            <v>U17 M55</v>
          </cell>
          <cell r="BC3" t="str">
            <v>U17 M61</v>
          </cell>
          <cell r="BD3" t="str">
            <v>U17 M67</v>
          </cell>
          <cell r="BE3" t="str">
            <v>U17 M73</v>
          </cell>
          <cell r="BF3" t="str">
            <v>U17 M81</v>
          </cell>
          <cell r="BG3" t="str">
            <v>U17 M89</v>
          </cell>
          <cell r="BH3" t="str">
            <v>U17 M96</v>
          </cell>
          <cell r="BI3" t="str">
            <v>U17 M102</v>
          </cell>
          <cell r="BJ3" t="str">
            <v>U17 M&gt;102</v>
          </cell>
          <cell r="BK3" t="str">
            <v>U20 M55</v>
          </cell>
          <cell r="BL3" t="str">
            <v>U20 M61</v>
          </cell>
          <cell r="BM3" t="str">
            <v>U20 M67</v>
          </cell>
          <cell r="BN3" t="str">
            <v>U20 M73</v>
          </cell>
          <cell r="BO3" t="str">
            <v>U20 M81</v>
          </cell>
          <cell r="BP3" t="str">
            <v>U20 M89</v>
          </cell>
          <cell r="BQ3" t="str">
            <v>U20 M96</v>
          </cell>
          <cell r="BR3" t="str">
            <v>U20 M102</v>
          </cell>
          <cell r="BS3" t="str">
            <v>U20 M109</v>
          </cell>
          <cell r="BT3" t="str">
            <v>U20 M&gt;109</v>
          </cell>
          <cell r="BU3" t="str">
            <v>SE M55</v>
          </cell>
          <cell r="BV3" t="str">
            <v>SE M61</v>
          </cell>
          <cell r="BW3" t="str">
            <v>SE M67</v>
          </cell>
          <cell r="BX3" t="str">
            <v>SE M73</v>
          </cell>
          <cell r="BY3" t="str">
            <v>SE M81</v>
          </cell>
          <cell r="BZ3" t="str">
            <v>SE M89</v>
          </cell>
          <cell r="CA3" t="str">
            <v>SE M96</v>
          </cell>
          <cell r="CB3" t="str">
            <v>SE M102</v>
          </cell>
          <cell r="CC3" t="str">
            <v>SE M109</v>
          </cell>
          <cell r="CD3" t="str">
            <v>SE M&gt;109</v>
          </cell>
        </row>
        <row r="4">
          <cell r="C4">
            <v>20</v>
          </cell>
          <cell r="D4">
            <v>25</v>
          </cell>
          <cell r="E4">
            <v>30</v>
          </cell>
          <cell r="F4">
            <v>35</v>
          </cell>
          <cell r="G4">
            <v>40</v>
          </cell>
          <cell r="H4">
            <v>45</v>
          </cell>
          <cell r="I4">
            <v>50</v>
          </cell>
          <cell r="J4">
            <v>55</v>
          </cell>
          <cell r="K4">
            <v>57</v>
          </cell>
          <cell r="L4">
            <v>60</v>
          </cell>
          <cell r="M4">
            <v>30</v>
          </cell>
          <cell r="N4">
            <v>35</v>
          </cell>
          <cell r="O4">
            <v>40</v>
          </cell>
          <cell r="P4">
            <v>45</v>
          </cell>
          <cell r="Q4">
            <v>50</v>
          </cell>
          <cell r="R4">
            <v>55</v>
          </cell>
          <cell r="S4">
            <v>60</v>
          </cell>
          <cell r="T4">
            <v>65</v>
          </cell>
          <cell r="U4">
            <v>67</v>
          </cell>
          <cell r="V4">
            <v>70</v>
          </cell>
          <cell r="W4">
            <v>40</v>
          </cell>
          <cell r="X4">
            <v>45</v>
          </cell>
          <cell r="Y4">
            <v>50</v>
          </cell>
          <cell r="Z4">
            <v>55</v>
          </cell>
          <cell r="AA4">
            <v>60</v>
          </cell>
          <cell r="AB4">
            <v>65</v>
          </cell>
          <cell r="AC4">
            <v>70</v>
          </cell>
          <cell r="AD4">
            <v>75</v>
          </cell>
          <cell r="AE4">
            <v>77</v>
          </cell>
          <cell r="AF4">
            <v>80</v>
          </cell>
          <cell r="AG4">
            <v>50</v>
          </cell>
          <cell r="AH4">
            <v>55</v>
          </cell>
          <cell r="AI4">
            <v>60</v>
          </cell>
          <cell r="AJ4">
            <v>65</v>
          </cell>
          <cell r="AK4">
            <v>70</v>
          </cell>
          <cell r="AL4">
            <v>75</v>
          </cell>
          <cell r="AM4">
            <v>80</v>
          </cell>
          <cell r="AN4">
            <v>85</v>
          </cell>
          <cell r="AO4">
            <v>87</v>
          </cell>
          <cell r="AP4">
            <v>90</v>
          </cell>
          <cell r="AQ4">
            <v>40</v>
          </cell>
          <cell r="AR4">
            <v>55</v>
          </cell>
          <cell r="AS4">
            <v>65</v>
          </cell>
          <cell r="AT4">
            <v>75</v>
          </cell>
          <cell r="AU4">
            <v>80</v>
          </cell>
          <cell r="AV4">
            <v>85</v>
          </cell>
          <cell r="AW4">
            <v>90</v>
          </cell>
          <cell r="AX4">
            <v>95</v>
          </cell>
          <cell r="AY4">
            <v>100</v>
          </cell>
          <cell r="AZ4">
            <v>105</v>
          </cell>
          <cell r="BA4">
            <v>50</v>
          </cell>
          <cell r="BB4">
            <v>65</v>
          </cell>
          <cell r="BC4">
            <v>80</v>
          </cell>
          <cell r="BD4">
            <v>90</v>
          </cell>
          <cell r="BE4">
            <v>100</v>
          </cell>
          <cell r="BF4">
            <v>110</v>
          </cell>
          <cell r="BG4">
            <v>115</v>
          </cell>
          <cell r="BH4">
            <v>120</v>
          </cell>
          <cell r="BI4">
            <v>125</v>
          </cell>
          <cell r="BJ4">
            <v>130</v>
          </cell>
          <cell r="BK4">
            <v>80</v>
          </cell>
          <cell r="BL4">
            <v>95</v>
          </cell>
          <cell r="BM4">
            <v>105</v>
          </cell>
          <cell r="BN4">
            <v>120</v>
          </cell>
          <cell r="BO4">
            <v>130</v>
          </cell>
          <cell r="BP4">
            <v>135</v>
          </cell>
          <cell r="BQ4">
            <v>140</v>
          </cell>
          <cell r="BR4">
            <v>145</v>
          </cell>
          <cell r="BS4">
            <v>150</v>
          </cell>
          <cell r="BT4">
            <v>155</v>
          </cell>
          <cell r="BU4">
            <v>95</v>
          </cell>
          <cell r="BV4">
            <v>110</v>
          </cell>
          <cell r="BW4">
            <v>125</v>
          </cell>
          <cell r="BX4">
            <v>135</v>
          </cell>
          <cell r="BY4">
            <v>145</v>
          </cell>
          <cell r="BZ4">
            <v>150</v>
          </cell>
          <cell r="CA4">
            <v>155</v>
          </cell>
          <cell r="CB4">
            <v>160</v>
          </cell>
          <cell r="CC4">
            <v>165</v>
          </cell>
          <cell r="CD4">
            <v>170</v>
          </cell>
        </row>
        <row r="5">
          <cell r="C5">
            <v>25</v>
          </cell>
          <cell r="D5">
            <v>35</v>
          </cell>
          <cell r="E5">
            <v>40</v>
          </cell>
          <cell r="F5">
            <v>45</v>
          </cell>
          <cell r="G5">
            <v>50</v>
          </cell>
          <cell r="H5">
            <v>55</v>
          </cell>
          <cell r="I5">
            <v>60</v>
          </cell>
          <cell r="J5">
            <v>65</v>
          </cell>
          <cell r="K5">
            <v>67</v>
          </cell>
          <cell r="L5">
            <v>70</v>
          </cell>
          <cell r="M5">
            <v>35</v>
          </cell>
          <cell r="N5">
            <v>42</v>
          </cell>
          <cell r="O5">
            <v>50</v>
          </cell>
          <cell r="P5">
            <v>55</v>
          </cell>
          <cell r="Q5">
            <v>60</v>
          </cell>
          <cell r="R5">
            <v>65</v>
          </cell>
          <cell r="S5">
            <v>70</v>
          </cell>
          <cell r="T5">
            <v>75</v>
          </cell>
          <cell r="U5">
            <v>77</v>
          </cell>
          <cell r="V5">
            <v>80</v>
          </cell>
          <cell r="W5">
            <v>50</v>
          </cell>
          <cell r="X5">
            <v>55</v>
          </cell>
          <cell r="Y5">
            <v>62</v>
          </cell>
          <cell r="Z5">
            <v>70</v>
          </cell>
          <cell r="AA5">
            <v>75</v>
          </cell>
          <cell r="AB5">
            <v>80</v>
          </cell>
          <cell r="AC5">
            <v>85</v>
          </cell>
          <cell r="AD5">
            <v>90</v>
          </cell>
          <cell r="AE5">
            <v>92</v>
          </cell>
          <cell r="AF5">
            <v>95</v>
          </cell>
          <cell r="AG5">
            <v>60</v>
          </cell>
          <cell r="AH5">
            <v>67</v>
          </cell>
          <cell r="AI5">
            <v>75</v>
          </cell>
          <cell r="AJ5">
            <v>80</v>
          </cell>
          <cell r="AK5">
            <v>85</v>
          </cell>
          <cell r="AL5">
            <v>90</v>
          </cell>
          <cell r="AM5">
            <v>95</v>
          </cell>
          <cell r="AN5">
            <v>100</v>
          </cell>
          <cell r="AO5">
            <v>102</v>
          </cell>
          <cell r="AP5">
            <v>105</v>
          </cell>
          <cell r="AQ5">
            <v>55</v>
          </cell>
          <cell r="AR5">
            <v>70</v>
          </cell>
          <cell r="AS5">
            <v>80</v>
          </cell>
          <cell r="AT5">
            <v>95</v>
          </cell>
          <cell r="AU5">
            <v>100</v>
          </cell>
          <cell r="AV5">
            <v>105</v>
          </cell>
          <cell r="AW5">
            <v>110</v>
          </cell>
          <cell r="AX5">
            <v>115</v>
          </cell>
          <cell r="AY5">
            <v>120</v>
          </cell>
          <cell r="AZ5">
            <v>125</v>
          </cell>
          <cell r="BA5">
            <v>65</v>
          </cell>
          <cell r="BB5">
            <v>85</v>
          </cell>
          <cell r="BC5">
            <v>100</v>
          </cell>
          <cell r="BD5">
            <v>110</v>
          </cell>
          <cell r="BE5">
            <v>120</v>
          </cell>
          <cell r="BF5">
            <v>130</v>
          </cell>
          <cell r="BG5">
            <v>135</v>
          </cell>
          <cell r="BH5">
            <v>140</v>
          </cell>
          <cell r="BI5">
            <v>145</v>
          </cell>
          <cell r="BJ5">
            <v>150</v>
          </cell>
          <cell r="BK5">
            <v>100</v>
          </cell>
          <cell r="BL5">
            <v>115</v>
          </cell>
          <cell r="BM5">
            <v>125</v>
          </cell>
          <cell r="BN5">
            <v>140</v>
          </cell>
          <cell r="BO5">
            <v>150</v>
          </cell>
          <cell r="BP5">
            <v>160</v>
          </cell>
          <cell r="BQ5">
            <v>165</v>
          </cell>
          <cell r="BR5">
            <v>170</v>
          </cell>
          <cell r="BS5">
            <v>175</v>
          </cell>
          <cell r="BT5">
            <v>180</v>
          </cell>
          <cell r="BU5">
            <v>115</v>
          </cell>
          <cell r="BV5">
            <v>130</v>
          </cell>
          <cell r="BW5">
            <v>145</v>
          </cell>
          <cell r="BX5">
            <v>160</v>
          </cell>
          <cell r="BY5">
            <v>170</v>
          </cell>
          <cell r="BZ5">
            <v>175</v>
          </cell>
          <cell r="CA5">
            <v>180</v>
          </cell>
          <cell r="CB5">
            <v>185</v>
          </cell>
          <cell r="CC5">
            <v>190</v>
          </cell>
          <cell r="CD5">
            <v>195</v>
          </cell>
        </row>
        <row r="6">
          <cell r="C6">
            <v>35</v>
          </cell>
          <cell r="D6">
            <v>45</v>
          </cell>
          <cell r="E6">
            <v>50</v>
          </cell>
          <cell r="F6">
            <v>57</v>
          </cell>
          <cell r="G6">
            <v>62</v>
          </cell>
          <cell r="H6">
            <v>67</v>
          </cell>
          <cell r="I6">
            <v>72</v>
          </cell>
          <cell r="J6">
            <v>75</v>
          </cell>
          <cell r="K6">
            <v>77</v>
          </cell>
          <cell r="L6">
            <v>80</v>
          </cell>
          <cell r="M6">
            <v>45</v>
          </cell>
          <cell r="N6">
            <v>50</v>
          </cell>
          <cell r="O6">
            <v>57</v>
          </cell>
          <cell r="P6">
            <v>65</v>
          </cell>
          <cell r="Q6">
            <v>70</v>
          </cell>
          <cell r="R6">
            <v>75</v>
          </cell>
          <cell r="S6">
            <v>80</v>
          </cell>
          <cell r="T6">
            <v>85</v>
          </cell>
          <cell r="U6">
            <v>90</v>
          </cell>
          <cell r="V6">
            <v>95</v>
          </cell>
          <cell r="W6">
            <v>60</v>
          </cell>
          <cell r="X6">
            <v>65</v>
          </cell>
          <cell r="Y6">
            <v>75</v>
          </cell>
          <cell r="Z6">
            <v>82</v>
          </cell>
          <cell r="AA6">
            <v>90</v>
          </cell>
          <cell r="AB6">
            <v>95</v>
          </cell>
          <cell r="AC6">
            <v>100</v>
          </cell>
          <cell r="AD6">
            <v>105</v>
          </cell>
          <cell r="AE6">
            <v>107</v>
          </cell>
          <cell r="AF6">
            <v>110</v>
          </cell>
          <cell r="AG6">
            <v>70</v>
          </cell>
          <cell r="AH6">
            <v>80</v>
          </cell>
          <cell r="AI6">
            <v>87</v>
          </cell>
          <cell r="AJ6">
            <v>92</v>
          </cell>
          <cell r="AK6">
            <v>100</v>
          </cell>
          <cell r="AL6">
            <v>107</v>
          </cell>
          <cell r="AM6">
            <v>115</v>
          </cell>
          <cell r="AN6">
            <v>120</v>
          </cell>
          <cell r="AO6">
            <v>122</v>
          </cell>
          <cell r="AP6">
            <v>125</v>
          </cell>
          <cell r="AQ6">
            <v>70</v>
          </cell>
          <cell r="AR6">
            <v>85</v>
          </cell>
          <cell r="AS6">
            <v>100</v>
          </cell>
          <cell r="AT6">
            <v>110</v>
          </cell>
          <cell r="AU6">
            <v>120</v>
          </cell>
          <cell r="AV6">
            <v>130</v>
          </cell>
          <cell r="AW6">
            <v>135</v>
          </cell>
          <cell r="AX6">
            <v>140</v>
          </cell>
          <cell r="AY6">
            <v>145</v>
          </cell>
          <cell r="AZ6">
            <v>150</v>
          </cell>
          <cell r="BA6">
            <v>80</v>
          </cell>
          <cell r="BB6">
            <v>100</v>
          </cell>
          <cell r="BC6">
            <v>120</v>
          </cell>
          <cell r="BD6">
            <v>130</v>
          </cell>
          <cell r="BE6">
            <v>140</v>
          </cell>
          <cell r="BF6">
            <v>150</v>
          </cell>
          <cell r="BG6">
            <v>160</v>
          </cell>
          <cell r="BH6">
            <v>165</v>
          </cell>
          <cell r="BI6">
            <v>170</v>
          </cell>
          <cell r="BJ6">
            <v>175</v>
          </cell>
          <cell r="BK6">
            <v>115</v>
          </cell>
          <cell r="BL6">
            <v>130</v>
          </cell>
          <cell r="BM6">
            <v>150</v>
          </cell>
          <cell r="BN6">
            <v>160</v>
          </cell>
          <cell r="BO6">
            <v>170</v>
          </cell>
          <cell r="BP6">
            <v>180</v>
          </cell>
          <cell r="BQ6">
            <v>185</v>
          </cell>
          <cell r="BR6">
            <v>190</v>
          </cell>
          <cell r="BS6">
            <v>195</v>
          </cell>
          <cell r="BT6">
            <v>200</v>
          </cell>
          <cell r="BU6">
            <v>130</v>
          </cell>
          <cell r="BV6">
            <v>150</v>
          </cell>
          <cell r="BW6">
            <v>170</v>
          </cell>
          <cell r="BX6">
            <v>185</v>
          </cell>
          <cell r="BY6">
            <v>195</v>
          </cell>
          <cell r="BZ6">
            <v>200</v>
          </cell>
          <cell r="CA6">
            <v>205</v>
          </cell>
          <cell r="CB6">
            <v>210</v>
          </cell>
          <cell r="CC6">
            <v>215</v>
          </cell>
          <cell r="CD6">
            <v>220</v>
          </cell>
        </row>
        <row r="7">
          <cell r="C7">
            <v>45</v>
          </cell>
          <cell r="D7">
            <v>55</v>
          </cell>
          <cell r="E7">
            <v>60</v>
          </cell>
          <cell r="F7">
            <v>67</v>
          </cell>
          <cell r="G7">
            <v>72</v>
          </cell>
          <cell r="H7">
            <v>77</v>
          </cell>
          <cell r="I7">
            <v>82</v>
          </cell>
          <cell r="J7">
            <v>85</v>
          </cell>
          <cell r="K7">
            <v>87</v>
          </cell>
          <cell r="L7">
            <v>90</v>
          </cell>
          <cell r="M7">
            <v>55</v>
          </cell>
          <cell r="N7">
            <v>60</v>
          </cell>
          <cell r="O7">
            <v>67</v>
          </cell>
          <cell r="P7">
            <v>77</v>
          </cell>
          <cell r="Q7">
            <v>82</v>
          </cell>
          <cell r="R7">
            <v>87</v>
          </cell>
          <cell r="S7">
            <v>92</v>
          </cell>
          <cell r="T7">
            <v>97</v>
          </cell>
          <cell r="U7">
            <v>100</v>
          </cell>
          <cell r="V7">
            <v>105</v>
          </cell>
          <cell r="W7">
            <v>70</v>
          </cell>
          <cell r="X7">
            <v>77</v>
          </cell>
          <cell r="Y7">
            <v>87</v>
          </cell>
          <cell r="Z7">
            <v>95</v>
          </cell>
          <cell r="AA7">
            <v>105</v>
          </cell>
          <cell r="AB7">
            <v>110</v>
          </cell>
          <cell r="AC7">
            <v>115</v>
          </cell>
          <cell r="AD7">
            <v>120</v>
          </cell>
          <cell r="AE7">
            <v>122</v>
          </cell>
          <cell r="AF7">
            <v>125</v>
          </cell>
          <cell r="AG7">
            <v>82</v>
          </cell>
          <cell r="AH7">
            <v>92</v>
          </cell>
          <cell r="AI7">
            <v>102</v>
          </cell>
          <cell r="AJ7">
            <v>107</v>
          </cell>
          <cell r="AK7">
            <v>117</v>
          </cell>
          <cell r="AL7">
            <v>122</v>
          </cell>
          <cell r="AM7">
            <v>130</v>
          </cell>
          <cell r="AN7">
            <v>135</v>
          </cell>
          <cell r="AO7">
            <v>137</v>
          </cell>
          <cell r="AP7">
            <v>140</v>
          </cell>
          <cell r="AQ7">
            <v>85</v>
          </cell>
          <cell r="AR7">
            <v>100</v>
          </cell>
          <cell r="AS7">
            <v>115</v>
          </cell>
          <cell r="AT7">
            <v>130</v>
          </cell>
          <cell r="AU7">
            <v>140</v>
          </cell>
          <cell r="AV7">
            <v>150</v>
          </cell>
          <cell r="AW7">
            <v>155</v>
          </cell>
          <cell r="AX7">
            <v>160</v>
          </cell>
          <cell r="AY7">
            <v>165</v>
          </cell>
          <cell r="AZ7">
            <v>170</v>
          </cell>
          <cell r="BA7">
            <v>95</v>
          </cell>
          <cell r="BB7">
            <v>115</v>
          </cell>
          <cell r="BC7">
            <v>135</v>
          </cell>
          <cell r="BD7">
            <v>150</v>
          </cell>
          <cell r="BE7">
            <v>160</v>
          </cell>
          <cell r="BF7">
            <v>170</v>
          </cell>
          <cell r="BG7">
            <v>180</v>
          </cell>
          <cell r="BH7">
            <v>185</v>
          </cell>
          <cell r="BI7">
            <v>190</v>
          </cell>
          <cell r="BJ7">
            <v>195</v>
          </cell>
          <cell r="BK7">
            <v>130</v>
          </cell>
          <cell r="BL7">
            <v>150</v>
          </cell>
          <cell r="BM7">
            <v>170</v>
          </cell>
          <cell r="BN7">
            <v>180</v>
          </cell>
          <cell r="BO7">
            <v>190</v>
          </cell>
          <cell r="BP7">
            <v>200</v>
          </cell>
          <cell r="BQ7">
            <v>210</v>
          </cell>
          <cell r="BR7">
            <v>215</v>
          </cell>
          <cell r="BS7">
            <v>220</v>
          </cell>
          <cell r="BT7">
            <v>225</v>
          </cell>
          <cell r="BU7">
            <v>145</v>
          </cell>
          <cell r="BV7">
            <v>170</v>
          </cell>
          <cell r="BW7">
            <v>195</v>
          </cell>
          <cell r="BX7">
            <v>210</v>
          </cell>
          <cell r="BY7">
            <v>220</v>
          </cell>
          <cell r="BZ7">
            <v>230</v>
          </cell>
          <cell r="CA7">
            <v>235</v>
          </cell>
          <cell r="CB7">
            <v>240</v>
          </cell>
          <cell r="CC7">
            <v>245</v>
          </cell>
          <cell r="CD7">
            <v>250</v>
          </cell>
        </row>
        <row r="8">
          <cell r="C8">
            <v>55</v>
          </cell>
          <cell r="D8">
            <v>65</v>
          </cell>
          <cell r="E8">
            <v>72</v>
          </cell>
          <cell r="F8">
            <v>82</v>
          </cell>
          <cell r="G8">
            <v>87</v>
          </cell>
          <cell r="H8">
            <v>92</v>
          </cell>
          <cell r="I8">
            <v>97</v>
          </cell>
          <cell r="J8">
            <v>100</v>
          </cell>
          <cell r="K8">
            <v>102</v>
          </cell>
          <cell r="L8">
            <v>105</v>
          </cell>
          <cell r="M8">
            <v>68</v>
          </cell>
          <cell r="N8">
            <v>75</v>
          </cell>
          <cell r="O8">
            <v>82</v>
          </cell>
          <cell r="P8">
            <v>92</v>
          </cell>
          <cell r="Q8">
            <v>97</v>
          </cell>
          <cell r="R8">
            <v>102</v>
          </cell>
          <cell r="S8">
            <v>107</v>
          </cell>
          <cell r="T8">
            <v>110</v>
          </cell>
          <cell r="U8">
            <v>112</v>
          </cell>
          <cell r="V8">
            <v>115</v>
          </cell>
          <cell r="W8">
            <v>83</v>
          </cell>
          <cell r="X8">
            <v>90</v>
          </cell>
          <cell r="Y8">
            <v>103</v>
          </cell>
          <cell r="Z8">
            <v>110</v>
          </cell>
          <cell r="AA8">
            <v>118</v>
          </cell>
          <cell r="AB8">
            <v>123</v>
          </cell>
          <cell r="AC8">
            <v>127</v>
          </cell>
          <cell r="AD8">
            <v>132</v>
          </cell>
          <cell r="AE8">
            <v>135</v>
          </cell>
          <cell r="AF8">
            <v>140</v>
          </cell>
          <cell r="AG8">
            <v>95</v>
          </cell>
          <cell r="AH8">
            <v>107</v>
          </cell>
          <cell r="AI8">
            <v>123</v>
          </cell>
          <cell r="AJ8">
            <v>130</v>
          </cell>
          <cell r="AK8">
            <v>137</v>
          </cell>
          <cell r="AL8">
            <v>142</v>
          </cell>
          <cell r="AM8">
            <v>147</v>
          </cell>
          <cell r="AN8">
            <v>150</v>
          </cell>
          <cell r="AO8">
            <v>152</v>
          </cell>
          <cell r="AP8">
            <v>155</v>
          </cell>
          <cell r="AQ8">
            <v>100</v>
          </cell>
          <cell r="AR8">
            <v>115</v>
          </cell>
          <cell r="AS8">
            <v>130</v>
          </cell>
          <cell r="AT8">
            <v>150</v>
          </cell>
          <cell r="AU8">
            <v>160</v>
          </cell>
          <cell r="AV8">
            <v>170</v>
          </cell>
          <cell r="AW8">
            <v>175</v>
          </cell>
          <cell r="AX8">
            <v>180</v>
          </cell>
          <cell r="AY8">
            <v>185</v>
          </cell>
          <cell r="AZ8">
            <v>190</v>
          </cell>
          <cell r="BA8">
            <v>110</v>
          </cell>
          <cell r="BB8">
            <v>130</v>
          </cell>
          <cell r="BC8">
            <v>150</v>
          </cell>
          <cell r="BD8">
            <v>170</v>
          </cell>
          <cell r="BE8">
            <v>180</v>
          </cell>
          <cell r="BF8">
            <v>190</v>
          </cell>
          <cell r="BG8">
            <v>200</v>
          </cell>
          <cell r="BH8">
            <v>205</v>
          </cell>
          <cell r="BI8">
            <v>210</v>
          </cell>
          <cell r="BJ8">
            <v>215</v>
          </cell>
          <cell r="BK8">
            <v>145</v>
          </cell>
          <cell r="BL8">
            <v>170</v>
          </cell>
          <cell r="BM8">
            <v>190</v>
          </cell>
          <cell r="BN8">
            <v>200</v>
          </cell>
          <cell r="BO8">
            <v>215</v>
          </cell>
          <cell r="BP8">
            <v>225</v>
          </cell>
          <cell r="BQ8">
            <v>230</v>
          </cell>
          <cell r="BR8">
            <v>240</v>
          </cell>
          <cell r="BS8">
            <v>245</v>
          </cell>
          <cell r="BT8">
            <v>250</v>
          </cell>
          <cell r="BU8">
            <v>170</v>
          </cell>
          <cell r="BV8">
            <v>195</v>
          </cell>
          <cell r="BW8">
            <v>225</v>
          </cell>
          <cell r="BX8">
            <v>240</v>
          </cell>
          <cell r="BY8">
            <v>250</v>
          </cell>
          <cell r="BZ8">
            <v>260</v>
          </cell>
          <cell r="CA8">
            <v>265</v>
          </cell>
          <cell r="CB8">
            <v>270</v>
          </cell>
          <cell r="CC8">
            <v>275</v>
          </cell>
          <cell r="CD8">
            <v>280</v>
          </cell>
        </row>
        <row r="9">
          <cell r="C9">
            <v>68</v>
          </cell>
          <cell r="D9">
            <v>78</v>
          </cell>
          <cell r="E9">
            <v>85</v>
          </cell>
          <cell r="F9">
            <v>95</v>
          </cell>
          <cell r="G9">
            <v>100</v>
          </cell>
          <cell r="H9">
            <v>105</v>
          </cell>
          <cell r="I9">
            <v>110</v>
          </cell>
          <cell r="J9">
            <v>115</v>
          </cell>
          <cell r="K9">
            <v>117</v>
          </cell>
          <cell r="L9">
            <v>120</v>
          </cell>
          <cell r="M9">
            <v>80</v>
          </cell>
          <cell r="N9">
            <v>88</v>
          </cell>
          <cell r="O9">
            <v>95</v>
          </cell>
          <cell r="P9">
            <v>105</v>
          </cell>
          <cell r="Q9">
            <v>110</v>
          </cell>
          <cell r="R9">
            <v>115</v>
          </cell>
          <cell r="S9">
            <v>120</v>
          </cell>
          <cell r="T9">
            <v>125</v>
          </cell>
          <cell r="U9">
            <v>130</v>
          </cell>
          <cell r="V9">
            <v>135</v>
          </cell>
          <cell r="W9">
            <v>97</v>
          </cell>
          <cell r="X9">
            <v>105</v>
          </cell>
          <cell r="Y9">
            <v>118</v>
          </cell>
          <cell r="Z9">
            <v>125</v>
          </cell>
          <cell r="AA9">
            <v>135</v>
          </cell>
          <cell r="AB9">
            <v>142</v>
          </cell>
          <cell r="AC9">
            <v>147</v>
          </cell>
          <cell r="AD9">
            <v>152</v>
          </cell>
          <cell r="AE9">
            <v>155</v>
          </cell>
          <cell r="AF9">
            <v>160</v>
          </cell>
          <cell r="AG9">
            <v>110</v>
          </cell>
          <cell r="AH9">
            <v>122</v>
          </cell>
          <cell r="AI9">
            <v>138</v>
          </cell>
          <cell r="AJ9">
            <v>145</v>
          </cell>
          <cell r="AK9">
            <v>155</v>
          </cell>
          <cell r="AL9">
            <v>165</v>
          </cell>
          <cell r="AM9">
            <v>170</v>
          </cell>
          <cell r="AN9">
            <v>172</v>
          </cell>
          <cell r="AO9">
            <v>175</v>
          </cell>
          <cell r="AP9">
            <v>180</v>
          </cell>
          <cell r="AQ9">
            <v>115</v>
          </cell>
          <cell r="AR9">
            <v>130</v>
          </cell>
          <cell r="AS9">
            <v>150</v>
          </cell>
          <cell r="AT9">
            <v>170</v>
          </cell>
          <cell r="AU9">
            <v>180</v>
          </cell>
          <cell r="AV9">
            <v>190</v>
          </cell>
          <cell r="AW9">
            <v>200</v>
          </cell>
          <cell r="AX9">
            <v>205</v>
          </cell>
          <cell r="AY9">
            <v>210</v>
          </cell>
          <cell r="AZ9">
            <v>215</v>
          </cell>
          <cell r="BA9">
            <v>125</v>
          </cell>
          <cell r="BB9">
            <v>145</v>
          </cell>
          <cell r="BC9">
            <v>170</v>
          </cell>
          <cell r="BD9">
            <v>190</v>
          </cell>
          <cell r="BE9">
            <v>200</v>
          </cell>
          <cell r="BF9">
            <v>210</v>
          </cell>
          <cell r="BG9">
            <v>220</v>
          </cell>
          <cell r="BH9">
            <v>225</v>
          </cell>
          <cell r="BI9">
            <v>230</v>
          </cell>
          <cell r="BJ9">
            <v>235</v>
          </cell>
          <cell r="BK9">
            <v>170</v>
          </cell>
          <cell r="BL9">
            <v>190</v>
          </cell>
          <cell r="BM9">
            <v>218</v>
          </cell>
          <cell r="BN9">
            <v>230</v>
          </cell>
          <cell r="BO9">
            <v>245</v>
          </cell>
          <cell r="BP9">
            <v>255</v>
          </cell>
          <cell r="BQ9">
            <v>260</v>
          </cell>
          <cell r="BR9">
            <v>270</v>
          </cell>
          <cell r="BS9">
            <v>275</v>
          </cell>
          <cell r="BT9">
            <v>280</v>
          </cell>
          <cell r="BU9">
            <v>190</v>
          </cell>
          <cell r="BV9">
            <v>215</v>
          </cell>
          <cell r="BW9">
            <v>240</v>
          </cell>
          <cell r="BX9">
            <v>260</v>
          </cell>
          <cell r="BY9">
            <v>275</v>
          </cell>
          <cell r="BZ9">
            <v>287</v>
          </cell>
          <cell r="CA9">
            <v>295</v>
          </cell>
          <cell r="CB9">
            <v>302</v>
          </cell>
          <cell r="CC9">
            <v>310</v>
          </cell>
          <cell r="CD9">
            <v>315</v>
          </cell>
        </row>
        <row r="10">
          <cell r="C10">
            <v>80</v>
          </cell>
          <cell r="D10">
            <v>90</v>
          </cell>
          <cell r="E10">
            <v>100</v>
          </cell>
          <cell r="F10">
            <v>110</v>
          </cell>
          <cell r="G10">
            <v>115</v>
          </cell>
          <cell r="H10">
            <v>120</v>
          </cell>
          <cell r="I10">
            <v>125</v>
          </cell>
          <cell r="J10">
            <v>130</v>
          </cell>
          <cell r="K10">
            <v>132</v>
          </cell>
          <cell r="L10">
            <v>135</v>
          </cell>
          <cell r="M10">
            <v>90</v>
          </cell>
          <cell r="N10">
            <v>100</v>
          </cell>
          <cell r="O10">
            <v>110</v>
          </cell>
          <cell r="P10">
            <v>120</v>
          </cell>
          <cell r="Q10">
            <v>125</v>
          </cell>
          <cell r="R10">
            <v>130</v>
          </cell>
          <cell r="S10">
            <v>135</v>
          </cell>
          <cell r="T10">
            <v>140</v>
          </cell>
          <cell r="U10">
            <v>145</v>
          </cell>
          <cell r="V10">
            <v>150</v>
          </cell>
          <cell r="W10">
            <v>110</v>
          </cell>
          <cell r="X10">
            <v>120</v>
          </cell>
          <cell r="Y10">
            <v>138</v>
          </cell>
          <cell r="Z10">
            <v>145</v>
          </cell>
          <cell r="AA10">
            <v>155</v>
          </cell>
          <cell r="AB10">
            <v>162</v>
          </cell>
          <cell r="AC10">
            <v>167</v>
          </cell>
          <cell r="AD10">
            <v>172</v>
          </cell>
          <cell r="AE10">
            <v>175</v>
          </cell>
          <cell r="AF10">
            <v>180</v>
          </cell>
          <cell r="AG10">
            <v>125</v>
          </cell>
          <cell r="AH10">
            <v>140</v>
          </cell>
          <cell r="AI10">
            <v>155</v>
          </cell>
          <cell r="AJ10">
            <v>165</v>
          </cell>
          <cell r="AK10">
            <v>175</v>
          </cell>
          <cell r="AL10">
            <v>185</v>
          </cell>
          <cell r="AM10">
            <v>190</v>
          </cell>
          <cell r="AN10">
            <v>192</v>
          </cell>
          <cell r="AO10">
            <v>195</v>
          </cell>
          <cell r="AP10">
            <v>200</v>
          </cell>
          <cell r="AQ10">
            <v>130</v>
          </cell>
          <cell r="AR10">
            <v>150</v>
          </cell>
          <cell r="AS10">
            <v>170</v>
          </cell>
          <cell r="AT10">
            <v>190</v>
          </cell>
          <cell r="AU10">
            <v>200</v>
          </cell>
          <cell r="AV10">
            <v>210</v>
          </cell>
          <cell r="AW10">
            <v>220</v>
          </cell>
          <cell r="AX10">
            <v>225</v>
          </cell>
          <cell r="AY10">
            <v>230</v>
          </cell>
          <cell r="AZ10">
            <v>235</v>
          </cell>
          <cell r="BA10">
            <v>140</v>
          </cell>
          <cell r="BB10">
            <v>170</v>
          </cell>
          <cell r="BC10">
            <v>190</v>
          </cell>
          <cell r="BD10">
            <v>210</v>
          </cell>
          <cell r="BE10">
            <v>220</v>
          </cell>
          <cell r="BF10">
            <v>230</v>
          </cell>
          <cell r="BG10">
            <v>240</v>
          </cell>
          <cell r="BH10">
            <v>250</v>
          </cell>
          <cell r="BI10">
            <v>255</v>
          </cell>
          <cell r="BJ10">
            <v>260</v>
          </cell>
          <cell r="BK10">
            <v>190</v>
          </cell>
          <cell r="BL10">
            <v>210</v>
          </cell>
          <cell r="BM10">
            <v>240</v>
          </cell>
          <cell r="BN10">
            <v>250</v>
          </cell>
          <cell r="BO10">
            <v>270</v>
          </cell>
          <cell r="BP10">
            <v>285</v>
          </cell>
          <cell r="BQ10">
            <v>290</v>
          </cell>
          <cell r="BR10">
            <v>300</v>
          </cell>
          <cell r="BS10">
            <v>305</v>
          </cell>
          <cell r="BT10">
            <v>310</v>
          </cell>
          <cell r="BU10">
            <v>210</v>
          </cell>
          <cell r="BV10">
            <v>235</v>
          </cell>
          <cell r="BW10">
            <v>260</v>
          </cell>
          <cell r="BX10">
            <v>280</v>
          </cell>
          <cell r="BY10">
            <v>295</v>
          </cell>
          <cell r="BZ10">
            <v>310</v>
          </cell>
          <cell r="CA10">
            <v>320</v>
          </cell>
          <cell r="CB10">
            <v>330</v>
          </cell>
          <cell r="CC10">
            <v>335</v>
          </cell>
          <cell r="CD10">
            <v>340</v>
          </cell>
        </row>
        <row r="11">
          <cell r="C11">
            <v>90</v>
          </cell>
          <cell r="D11">
            <v>105</v>
          </cell>
          <cell r="E11">
            <v>115</v>
          </cell>
          <cell r="F11">
            <v>125</v>
          </cell>
          <cell r="G11">
            <v>130</v>
          </cell>
          <cell r="H11">
            <v>135</v>
          </cell>
          <cell r="I11">
            <v>140</v>
          </cell>
          <cell r="J11">
            <v>145</v>
          </cell>
          <cell r="K11">
            <v>147</v>
          </cell>
          <cell r="L11">
            <v>150</v>
          </cell>
          <cell r="M11">
            <v>105</v>
          </cell>
          <cell r="N11">
            <v>115</v>
          </cell>
          <cell r="O11">
            <v>125</v>
          </cell>
          <cell r="P11">
            <v>135</v>
          </cell>
          <cell r="Q11">
            <v>140</v>
          </cell>
          <cell r="R11">
            <v>145</v>
          </cell>
          <cell r="S11">
            <v>150</v>
          </cell>
          <cell r="T11">
            <v>160</v>
          </cell>
          <cell r="U11">
            <v>165</v>
          </cell>
          <cell r="V11">
            <v>170</v>
          </cell>
          <cell r="W11">
            <v>130</v>
          </cell>
          <cell r="X11">
            <v>140</v>
          </cell>
          <cell r="Y11">
            <v>160</v>
          </cell>
          <cell r="Z11">
            <v>165</v>
          </cell>
          <cell r="AA11">
            <v>175</v>
          </cell>
          <cell r="AB11">
            <v>182</v>
          </cell>
          <cell r="AC11">
            <v>187</v>
          </cell>
          <cell r="AD11">
            <v>192</v>
          </cell>
          <cell r="AE11">
            <v>195</v>
          </cell>
          <cell r="AF11">
            <v>200</v>
          </cell>
          <cell r="AG11">
            <v>145</v>
          </cell>
          <cell r="AH11">
            <v>160</v>
          </cell>
          <cell r="AI11">
            <v>175</v>
          </cell>
          <cell r="AJ11">
            <v>185</v>
          </cell>
          <cell r="AK11">
            <v>195</v>
          </cell>
          <cell r="AL11">
            <v>205</v>
          </cell>
          <cell r="AM11">
            <v>210</v>
          </cell>
          <cell r="AN11">
            <v>212</v>
          </cell>
          <cell r="AO11">
            <v>215</v>
          </cell>
          <cell r="AP11">
            <v>220</v>
          </cell>
          <cell r="AQ11">
            <v>145</v>
          </cell>
          <cell r="AR11">
            <v>170</v>
          </cell>
          <cell r="AS11">
            <v>190</v>
          </cell>
          <cell r="AT11">
            <v>210</v>
          </cell>
          <cell r="AU11">
            <v>220</v>
          </cell>
          <cell r="AV11">
            <v>230</v>
          </cell>
          <cell r="AW11">
            <v>240</v>
          </cell>
          <cell r="AX11">
            <v>245</v>
          </cell>
          <cell r="AY11">
            <v>250</v>
          </cell>
          <cell r="AZ11">
            <v>255</v>
          </cell>
          <cell r="BA11">
            <v>155</v>
          </cell>
          <cell r="BB11">
            <v>190</v>
          </cell>
          <cell r="BC11">
            <v>210</v>
          </cell>
          <cell r="BD11">
            <v>230</v>
          </cell>
          <cell r="BE11">
            <v>240</v>
          </cell>
          <cell r="BF11">
            <v>260</v>
          </cell>
          <cell r="BG11">
            <v>270</v>
          </cell>
          <cell r="BH11">
            <v>280</v>
          </cell>
          <cell r="BI11">
            <v>285</v>
          </cell>
          <cell r="BJ11">
            <v>290</v>
          </cell>
          <cell r="BK11">
            <v>210</v>
          </cell>
          <cell r="BL11">
            <v>230</v>
          </cell>
          <cell r="BM11">
            <v>260</v>
          </cell>
          <cell r="BN11">
            <v>275</v>
          </cell>
          <cell r="BO11">
            <v>295</v>
          </cell>
          <cell r="BP11">
            <v>310</v>
          </cell>
          <cell r="BQ11">
            <v>315</v>
          </cell>
          <cell r="BR11">
            <v>325</v>
          </cell>
          <cell r="BS11">
            <v>330</v>
          </cell>
          <cell r="BT11">
            <v>335</v>
          </cell>
          <cell r="BU11">
            <v>230</v>
          </cell>
          <cell r="BV11">
            <v>260</v>
          </cell>
          <cell r="BW11">
            <v>280</v>
          </cell>
          <cell r="BX11">
            <v>300</v>
          </cell>
          <cell r="BY11">
            <v>320</v>
          </cell>
          <cell r="BZ11">
            <v>330</v>
          </cell>
          <cell r="CA11">
            <v>340</v>
          </cell>
          <cell r="CB11">
            <v>350</v>
          </cell>
          <cell r="CC11">
            <v>360</v>
          </cell>
          <cell r="CD11">
            <v>365</v>
          </cell>
        </row>
        <row r="12">
          <cell r="C12">
            <v>175</v>
          </cell>
          <cell r="D12">
            <v>175</v>
          </cell>
          <cell r="E12">
            <v>175</v>
          </cell>
          <cell r="F12">
            <v>190</v>
          </cell>
          <cell r="G12">
            <v>200</v>
          </cell>
          <cell r="H12">
            <v>210</v>
          </cell>
          <cell r="I12">
            <v>225</v>
          </cell>
          <cell r="J12">
            <v>225</v>
          </cell>
          <cell r="K12">
            <v>230</v>
          </cell>
          <cell r="L12">
            <v>230</v>
          </cell>
          <cell r="M12">
            <v>175</v>
          </cell>
          <cell r="N12">
            <v>175</v>
          </cell>
          <cell r="O12">
            <v>175</v>
          </cell>
          <cell r="P12">
            <v>190</v>
          </cell>
          <cell r="Q12">
            <v>200</v>
          </cell>
          <cell r="R12">
            <v>210</v>
          </cell>
          <cell r="S12">
            <v>225</v>
          </cell>
          <cell r="T12">
            <v>225</v>
          </cell>
          <cell r="U12">
            <v>230</v>
          </cell>
          <cell r="V12">
            <v>230</v>
          </cell>
          <cell r="W12">
            <v>175</v>
          </cell>
          <cell r="X12">
            <v>175</v>
          </cell>
          <cell r="Y12">
            <v>190</v>
          </cell>
          <cell r="Z12">
            <v>200</v>
          </cell>
          <cell r="AA12">
            <v>210</v>
          </cell>
          <cell r="AB12">
            <v>225</v>
          </cell>
          <cell r="AC12">
            <v>225</v>
          </cell>
          <cell r="AD12">
            <v>230</v>
          </cell>
          <cell r="AE12">
            <v>230</v>
          </cell>
          <cell r="AF12">
            <v>235</v>
          </cell>
          <cell r="AG12">
            <v>175</v>
          </cell>
          <cell r="AH12">
            <v>175</v>
          </cell>
          <cell r="AI12">
            <v>190</v>
          </cell>
          <cell r="AJ12">
            <v>200</v>
          </cell>
          <cell r="AK12">
            <v>210</v>
          </cell>
          <cell r="AL12">
            <v>225</v>
          </cell>
          <cell r="AM12">
            <v>225</v>
          </cell>
          <cell r="AN12">
            <v>230</v>
          </cell>
          <cell r="AO12">
            <v>230</v>
          </cell>
          <cell r="AP12">
            <v>235</v>
          </cell>
          <cell r="AQ12">
            <v>275</v>
          </cell>
          <cell r="AR12">
            <v>275</v>
          </cell>
          <cell r="AS12">
            <v>275</v>
          </cell>
          <cell r="AT12">
            <v>295</v>
          </cell>
          <cell r="AU12">
            <v>315</v>
          </cell>
          <cell r="AV12">
            <v>335</v>
          </cell>
          <cell r="AW12">
            <v>360</v>
          </cell>
          <cell r="AX12">
            <v>360</v>
          </cell>
          <cell r="AY12">
            <v>380</v>
          </cell>
          <cell r="AZ12">
            <v>380</v>
          </cell>
          <cell r="BA12">
            <v>275</v>
          </cell>
          <cell r="BB12">
            <v>275</v>
          </cell>
          <cell r="BC12">
            <v>275</v>
          </cell>
          <cell r="BD12">
            <v>295</v>
          </cell>
          <cell r="BE12">
            <v>315</v>
          </cell>
          <cell r="BF12">
            <v>335</v>
          </cell>
          <cell r="BG12">
            <v>360</v>
          </cell>
          <cell r="BH12">
            <v>360</v>
          </cell>
          <cell r="BI12">
            <v>380</v>
          </cell>
          <cell r="BJ12">
            <v>380</v>
          </cell>
          <cell r="BK12">
            <v>275</v>
          </cell>
          <cell r="BL12">
            <v>275</v>
          </cell>
          <cell r="BM12">
            <v>295</v>
          </cell>
          <cell r="BN12">
            <v>315</v>
          </cell>
          <cell r="BO12">
            <v>335</v>
          </cell>
          <cell r="BP12">
            <v>360</v>
          </cell>
          <cell r="BQ12">
            <v>360</v>
          </cell>
          <cell r="BR12">
            <v>380</v>
          </cell>
          <cell r="BS12">
            <v>380</v>
          </cell>
          <cell r="BT12">
            <v>385</v>
          </cell>
          <cell r="BU12">
            <v>275</v>
          </cell>
          <cell r="BV12">
            <v>275</v>
          </cell>
          <cell r="BW12">
            <v>295</v>
          </cell>
          <cell r="BX12">
            <v>315</v>
          </cell>
          <cell r="BY12">
            <v>335</v>
          </cell>
          <cell r="BZ12">
            <v>360</v>
          </cell>
          <cell r="CA12">
            <v>360</v>
          </cell>
          <cell r="CB12">
            <v>380</v>
          </cell>
          <cell r="CC12">
            <v>380</v>
          </cell>
          <cell r="CD12">
            <v>385</v>
          </cell>
        </row>
        <row r="15">
          <cell r="B15" t="str">
            <v>MINIME</v>
          </cell>
          <cell r="C15" t="str">
            <v>CADET</v>
          </cell>
          <cell r="D15" t="str">
            <v>CADET</v>
          </cell>
          <cell r="E15" t="str">
            <v>JUNIOR</v>
          </cell>
          <cell r="F15" t="str">
            <v>SENIOR</v>
          </cell>
          <cell r="H15" t="str">
            <v>MINIME</v>
          </cell>
          <cell r="I15" t="str">
            <v>CADETTE</v>
          </cell>
          <cell r="J15" t="str">
            <v>CADETTE</v>
          </cell>
          <cell r="K15" t="str">
            <v>JUNIOR</v>
          </cell>
          <cell r="L15" t="str">
            <v>SENIOR</v>
          </cell>
        </row>
        <row r="16">
          <cell r="A16">
            <v>10</v>
          </cell>
          <cell r="B16" t="str">
            <v>NON</v>
          </cell>
          <cell r="C16" t="str">
            <v>U15 M49</v>
          </cell>
          <cell r="D16" t="str">
            <v>U17 M49</v>
          </cell>
          <cell r="E16" t="str">
            <v>U20 M55</v>
          </cell>
          <cell r="F16" t="str">
            <v>SE M55</v>
          </cell>
          <cell r="G16">
            <v>10</v>
          </cell>
          <cell r="H16" t="str">
            <v>NON</v>
          </cell>
          <cell r="I16" t="str">
            <v>U15 F40</v>
          </cell>
          <cell r="J16" t="str">
            <v>U17 F40</v>
          </cell>
          <cell r="K16" t="str">
            <v>U20 F45</v>
          </cell>
          <cell r="L16" t="str">
            <v>SE F45</v>
          </cell>
        </row>
        <row r="17">
          <cell r="A17">
            <v>35.01</v>
          </cell>
          <cell r="B17" t="str">
            <v>NON</v>
          </cell>
          <cell r="C17" t="str">
            <v>U15 M49</v>
          </cell>
          <cell r="D17" t="str">
            <v>U17 M49</v>
          </cell>
          <cell r="E17" t="str">
            <v>U20 M55</v>
          </cell>
          <cell r="F17" t="str">
            <v>SE M55</v>
          </cell>
          <cell r="G17">
            <v>35.01</v>
          </cell>
          <cell r="H17" t="str">
            <v>NON</v>
          </cell>
          <cell r="I17" t="str">
            <v>U15 F40</v>
          </cell>
          <cell r="J17" t="str">
            <v>U17 F40</v>
          </cell>
          <cell r="K17" t="str">
            <v>U20 F45</v>
          </cell>
          <cell r="L17" t="str">
            <v>SE F45</v>
          </cell>
        </row>
        <row r="18">
          <cell r="A18">
            <v>40.01</v>
          </cell>
          <cell r="B18" t="str">
            <v>NON</v>
          </cell>
          <cell r="C18" t="str">
            <v>U15 M49</v>
          </cell>
          <cell r="D18" t="str">
            <v>U17 M49</v>
          </cell>
          <cell r="E18" t="str">
            <v>U20 M55</v>
          </cell>
          <cell r="F18" t="str">
            <v>SE M55</v>
          </cell>
          <cell r="G18">
            <v>40.01</v>
          </cell>
          <cell r="H18" t="str">
            <v>NON</v>
          </cell>
          <cell r="I18" t="str">
            <v>U15 F45</v>
          </cell>
          <cell r="J18" t="str">
            <v>U17 F45</v>
          </cell>
          <cell r="K18" t="str">
            <v>U20 F45</v>
          </cell>
          <cell r="L18" t="str">
            <v>SE F45</v>
          </cell>
        </row>
        <row r="19">
          <cell r="A19">
            <v>45.01</v>
          </cell>
          <cell r="B19" t="str">
            <v>NON</v>
          </cell>
          <cell r="C19" t="str">
            <v>U15 M49</v>
          </cell>
          <cell r="D19" t="str">
            <v>U17 M49</v>
          </cell>
          <cell r="E19" t="str">
            <v>U20 M55</v>
          </cell>
          <cell r="F19" t="str">
            <v>SE M55</v>
          </cell>
          <cell r="G19">
            <v>45.01</v>
          </cell>
          <cell r="H19" t="str">
            <v>NON</v>
          </cell>
          <cell r="I19" t="str">
            <v>U15 F49</v>
          </cell>
          <cell r="J19" t="str">
            <v>U17 F49</v>
          </cell>
          <cell r="K19" t="str">
            <v>U20 F49</v>
          </cell>
          <cell r="L19" t="str">
            <v>SE F49</v>
          </cell>
        </row>
        <row r="20">
          <cell r="A20">
            <v>49.01</v>
          </cell>
          <cell r="B20" t="str">
            <v>NON</v>
          </cell>
          <cell r="C20" t="str">
            <v>U15 M55</v>
          </cell>
          <cell r="D20" t="str">
            <v>U17 M55</v>
          </cell>
          <cell r="E20" t="str">
            <v>U20 M55</v>
          </cell>
          <cell r="F20" t="str">
            <v>SE M55</v>
          </cell>
          <cell r="G20">
            <v>49.01</v>
          </cell>
          <cell r="H20" t="str">
            <v>NON</v>
          </cell>
          <cell r="I20" t="str">
            <v>U15 F55</v>
          </cell>
          <cell r="J20" t="str">
            <v>U17 F55</v>
          </cell>
          <cell r="K20" t="str">
            <v>U20 F55</v>
          </cell>
          <cell r="L20" t="str">
            <v>SE F55</v>
          </cell>
        </row>
        <row r="21">
          <cell r="A21">
            <v>55.01</v>
          </cell>
          <cell r="B21" t="str">
            <v>NON</v>
          </cell>
          <cell r="C21" t="str">
            <v>U15 M61</v>
          </cell>
          <cell r="D21" t="str">
            <v>U17 M61</v>
          </cell>
          <cell r="E21" t="str">
            <v>U20 M61</v>
          </cell>
          <cell r="F21" t="str">
            <v>SE M61</v>
          </cell>
          <cell r="G21">
            <v>55.01</v>
          </cell>
          <cell r="H21" t="str">
            <v>NON</v>
          </cell>
          <cell r="I21" t="str">
            <v>U15 F59</v>
          </cell>
          <cell r="J21" t="str">
            <v>U17 F59</v>
          </cell>
          <cell r="K21" t="str">
            <v>U20 F59</v>
          </cell>
          <cell r="L21" t="str">
            <v>SE F59</v>
          </cell>
        </row>
        <row r="22">
          <cell r="A22">
            <v>61.01</v>
          </cell>
          <cell r="B22" t="str">
            <v>NON</v>
          </cell>
          <cell r="C22" t="str">
            <v>U15 M67</v>
          </cell>
          <cell r="D22" t="str">
            <v>U17 M67</v>
          </cell>
          <cell r="E22" t="str">
            <v>U20 M67</v>
          </cell>
          <cell r="F22" t="str">
            <v>SE M67</v>
          </cell>
          <cell r="G22">
            <v>59.01</v>
          </cell>
          <cell r="H22" t="str">
            <v>NON</v>
          </cell>
          <cell r="I22" t="str">
            <v>U15 F64</v>
          </cell>
          <cell r="J22" t="str">
            <v>U17 F64</v>
          </cell>
          <cell r="K22" t="str">
            <v>U20 F64</v>
          </cell>
          <cell r="L22" t="str">
            <v>SE F64</v>
          </cell>
        </row>
        <row r="23">
          <cell r="A23">
            <v>67.010000000000005</v>
          </cell>
          <cell r="B23" t="str">
            <v>NON</v>
          </cell>
          <cell r="C23" t="str">
            <v>U15 M73</v>
          </cell>
          <cell r="D23" t="str">
            <v>U17 M73</v>
          </cell>
          <cell r="E23" t="str">
            <v>U20 M73</v>
          </cell>
          <cell r="F23" t="str">
            <v>SE M73</v>
          </cell>
          <cell r="G23">
            <v>64.010000000000005</v>
          </cell>
          <cell r="H23" t="str">
            <v>NON</v>
          </cell>
          <cell r="I23" t="str">
            <v>U15 F71</v>
          </cell>
          <cell r="J23" t="str">
            <v>U17 F71</v>
          </cell>
          <cell r="K23" t="str">
            <v>U20 F71</v>
          </cell>
          <cell r="L23" t="str">
            <v>SE F71</v>
          </cell>
        </row>
        <row r="24">
          <cell r="A24">
            <v>73.010000000000005</v>
          </cell>
          <cell r="B24" t="str">
            <v>NON</v>
          </cell>
          <cell r="C24" t="str">
            <v>U15 M81</v>
          </cell>
          <cell r="D24" t="str">
            <v>U17 M81</v>
          </cell>
          <cell r="E24" t="str">
            <v>U20 M81</v>
          </cell>
          <cell r="F24" t="str">
            <v>SE M81</v>
          </cell>
          <cell r="G24">
            <v>71.010000000000005</v>
          </cell>
          <cell r="H24" t="str">
            <v>NON</v>
          </cell>
          <cell r="I24" t="str">
            <v>U15 F76</v>
          </cell>
          <cell r="J24" t="str">
            <v>U17 F76</v>
          </cell>
          <cell r="K24" t="str">
            <v>U20 F76</v>
          </cell>
          <cell r="L24" t="str">
            <v>SE F76</v>
          </cell>
        </row>
        <row r="25">
          <cell r="A25">
            <v>81.010000000000005</v>
          </cell>
          <cell r="B25" t="str">
            <v>NON</v>
          </cell>
          <cell r="C25" t="str">
            <v>U15 M89</v>
          </cell>
          <cell r="D25" t="str">
            <v>U17 M89</v>
          </cell>
          <cell r="E25" t="str">
            <v>U20 M89</v>
          </cell>
          <cell r="F25" t="str">
            <v>SE M89</v>
          </cell>
          <cell r="G25">
            <v>76.010000000000005</v>
          </cell>
          <cell r="H25" t="str">
            <v>NON</v>
          </cell>
          <cell r="I25" t="str">
            <v>U15 F81</v>
          </cell>
          <cell r="J25" t="str">
            <v>U17 F81</v>
          </cell>
          <cell r="K25" t="str">
            <v>U20 F81</v>
          </cell>
          <cell r="L25" t="str">
            <v>SE F81</v>
          </cell>
        </row>
        <row r="26">
          <cell r="A26">
            <v>89.01</v>
          </cell>
          <cell r="B26" t="str">
            <v>NON</v>
          </cell>
          <cell r="C26" t="str">
            <v>U15 M96</v>
          </cell>
          <cell r="D26" t="str">
            <v>U17 M96</v>
          </cell>
          <cell r="E26" t="str">
            <v>U20 M96</v>
          </cell>
          <cell r="F26" t="str">
            <v>SE M96</v>
          </cell>
          <cell r="G26">
            <v>81.010000000000005</v>
          </cell>
          <cell r="H26" t="str">
            <v>NON</v>
          </cell>
          <cell r="I26" t="str">
            <v>U15 F&gt;81</v>
          </cell>
          <cell r="J26" t="str">
            <v>U17 F&gt;81</v>
          </cell>
          <cell r="K26" t="str">
            <v>U20 F87</v>
          </cell>
          <cell r="L26" t="str">
            <v>SE F87</v>
          </cell>
        </row>
        <row r="27">
          <cell r="A27">
            <v>96.01</v>
          </cell>
          <cell r="B27" t="str">
            <v>NON</v>
          </cell>
          <cell r="C27" t="str">
            <v>U15 M102</v>
          </cell>
          <cell r="D27" t="str">
            <v>U17 M102</v>
          </cell>
          <cell r="E27" t="str">
            <v>U20 M102</v>
          </cell>
          <cell r="F27" t="str">
            <v>SE M102</v>
          </cell>
          <cell r="G27">
            <v>87.01</v>
          </cell>
          <cell r="H27" t="str">
            <v>NON</v>
          </cell>
          <cell r="I27" t="str">
            <v>U15 F&gt;81</v>
          </cell>
          <cell r="J27" t="str">
            <v>U17 F&gt;81</v>
          </cell>
          <cell r="K27" t="str">
            <v>U20 F&gt;87</v>
          </cell>
          <cell r="L27" t="str">
            <v>SE F&gt;87</v>
          </cell>
        </row>
        <row r="28">
          <cell r="A28">
            <v>102.01</v>
          </cell>
          <cell r="B28" t="str">
            <v>NON</v>
          </cell>
          <cell r="C28" t="str">
            <v>U15 M&gt;102</v>
          </cell>
          <cell r="D28" t="str">
            <v>U17 M&gt;102</v>
          </cell>
          <cell r="E28" t="str">
            <v>U20 M109</v>
          </cell>
          <cell r="F28" t="str">
            <v>SE M109</v>
          </cell>
        </row>
        <row r="29">
          <cell r="A29">
            <v>109.1</v>
          </cell>
          <cell r="B29" t="str">
            <v>NON</v>
          </cell>
          <cell r="C29" t="str">
            <v>U15 M&gt;102</v>
          </cell>
          <cell r="D29" t="str">
            <v>U17 M&gt;102</v>
          </cell>
          <cell r="E29" t="str">
            <v>U20 M&gt;109</v>
          </cell>
          <cell r="F29" t="str">
            <v>SE M&gt;109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VIDUEL"/>
      <sheetName val="Minimas"/>
    </sheetNames>
    <sheetDataSet>
      <sheetData sheetId="0" refreshError="1"/>
      <sheetData sheetId="1">
        <row r="15">
          <cell r="B15" t="str">
            <v>MINIME</v>
          </cell>
          <cell r="C15" t="str">
            <v>CADET</v>
          </cell>
          <cell r="D15" t="str">
            <v>CADET</v>
          </cell>
          <cell r="E15" t="str">
            <v>JUNIOR</v>
          </cell>
          <cell r="F15" t="str">
            <v>SENIOR</v>
          </cell>
          <cell r="H15" t="str">
            <v>MINIME</v>
          </cell>
          <cell r="I15" t="str">
            <v>CADETTE</v>
          </cell>
          <cell r="J15" t="str">
            <v>CADETTE</v>
          </cell>
          <cell r="K15" t="str">
            <v>JUNIOR</v>
          </cell>
          <cell r="L15" t="str">
            <v>SENIOR</v>
          </cell>
        </row>
        <row r="16">
          <cell r="A16">
            <v>10</v>
          </cell>
          <cell r="B16" t="str">
            <v>NON</v>
          </cell>
          <cell r="C16" t="str">
            <v>U15 M49</v>
          </cell>
          <cell r="D16" t="str">
            <v>U17 M49</v>
          </cell>
          <cell r="E16" t="str">
            <v>U20 M55</v>
          </cell>
          <cell r="F16" t="str">
            <v>SE M55</v>
          </cell>
          <cell r="G16">
            <v>10</v>
          </cell>
          <cell r="H16" t="str">
            <v>NON</v>
          </cell>
          <cell r="I16" t="str">
            <v>U15 F40</v>
          </cell>
          <cell r="J16" t="str">
            <v>U17 F40</v>
          </cell>
          <cell r="K16" t="str">
            <v>U20 F45</v>
          </cell>
          <cell r="L16" t="str">
            <v>SE F45</v>
          </cell>
        </row>
        <row r="17">
          <cell r="A17">
            <v>35.01</v>
          </cell>
          <cell r="B17" t="str">
            <v>NON</v>
          </cell>
          <cell r="C17" t="str">
            <v>U15 M49</v>
          </cell>
          <cell r="D17" t="str">
            <v>U17 M49</v>
          </cell>
          <cell r="E17" t="str">
            <v>U20 M55</v>
          </cell>
          <cell r="F17" t="str">
            <v>SE M55</v>
          </cell>
          <cell r="G17">
            <v>35.01</v>
          </cell>
          <cell r="H17" t="str">
            <v>NON</v>
          </cell>
          <cell r="I17" t="str">
            <v>U15 F40</v>
          </cell>
          <cell r="J17" t="str">
            <v>U17 F40</v>
          </cell>
          <cell r="K17" t="str">
            <v>U20 F45</v>
          </cell>
          <cell r="L17" t="str">
            <v>SE F45</v>
          </cell>
        </row>
        <row r="18">
          <cell r="A18">
            <v>40.01</v>
          </cell>
          <cell r="B18" t="str">
            <v>NON</v>
          </cell>
          <cell r="C18" t="str">
            <v>U15 M49</v>
          </cell>
          <cell r="D18" t="str">
            <v>U17 M49</v>
          </cell>
          <cell r="E18" t="str">
            <v>U20 M55</v>
          </cell>
          <cell r="F18" t="str">
            <v>SE M55</v>
          </cell>
          <cell r="G18">
            <v>40.01</v>
          </cell>
          <cell r="H18" t="str">
            <v>NON</v>
          </cell>
          <cell r="I18" t="str">
            <v>U15 F45</v>
          </cell>
          <cell r="J18" t="str">
            <v>U17 F45</v>
          </cell>
          <cell r="K18" t="str">
            <v>U20 F45</v>
          </cell>
          <cell r="L18" t="str">
            <v>SE F45</v>
          </cell>
        </row>
        <row r="19">
          <cell r="A19">
            <v>45.01</v>
          </cell>
          <cell r="B19" t="str">
            <v>NON</v>
          </cell>
          <cell r="C19" t="str">
            <v>U15 M49</v>
          </cell>
          <cell r="D19" t="str">
            <v>U17 M49</v>
          </cell>
          <cell r="E19" t="str">
            <v>U20 M55</v>
          </cell>
          <cell r="F19" t="str">
            <v>SE M55</v>
          </cell>
          <cell r="G19">
            <v>45.01</v>
          </cell>
          <cell r="H19" t="str">
            <v>NON</v>
          </cell>
          <cell r="I19" t="str">
            <v>U15 F49</v>
          </cell>
          <cell r="J19" t="str">
            <v>U17 F49</v>
          </cell>
          <cell r="K19" t="str">
            <v>U20 F49</v>
          </cell>
          <cell r="L19" t="str">
            <v>SE F49</v>
          </cell>
        </row>
        <row r="20">
          <cell r="A20">
            <v>49.01</v>
          </cell>
          <cell r="B20" t="str">
            <v>NON</v>
          </cell>
          <cell r="C20" t="str">
            <v>U15 M55</v>
          </cell>
          <cell r="D20" t="str">
            <v>U17 M55</v>
          </cell>
          <cell r="E20" t="str">
            <v>U20 M55</v>
          </cell>
          <cell r="F20" t="str">
            <v>SE M55</v>
          </cell>
          <cell r="G20">
            <v>49.01</v>
          </cell>
          <cell r="H20" t="str">
            <v>NON</v>
          </cell>
          <cell r="I20" t="str">
            <v>U15 F55</v>
          </cell>
          <cell r="J20" t="str">
            <v>U17 F55</v>
          </cell>
          <cell r="K20" t="str">
            <v>U20 F55</v>
          </cell>
          <cell r="L20" t="str">
            <v>SE F55</v>
          </cell>
        </row>
        <row r="21">
          <cell r="A21">
            <v>55.01</v>
          </cell>
          <cell r="B21" t="str">
            <v>NON</v>
          </cell>
          <cell r="C21" t="str">
            <v>U15 M61</v>
          </cell>
          <cell r="D21" t="str">
            <v>U17 M61</v>
          </cell>
          <cell r="E21" t="str">
            <v>U20 M61</v>
          </cell>
          <cell r="F21" t="str">
            <v>SE M61</v>
          </cell>
          <cell r="G21">
            <v>55.01</v>
          </cell>
          <cell r="H21" t="str">
            <v>NON</v>
          </cell>
          <cell r="I21" t="str">
            <v>U15 F59</v>
          </cell>
          <cell r="J21" t="str">
            <v>U17 F59</v>
          </cell>
          <cell r="K21" t="str">
            <v>U20 F59</v>
          </cell>
          <cell r="L21" t="str">
            <v>SE F59</v>
          </cell>
        </row>
        <row r="22">
          <cell r="A22">
            <v>61.01</v>
          </cell>
          <cell r="B22" t="str">
            <v>NON</v>
          </cell>
          <cell r="C22" t="str">
            <v>U15 M67</v>
          </cell>
          <cell r="D22" t="str">
            <v>U17 M67</v>
          </cell>
          <cell r="E22" t="str">
            <v>U20 M67</v>
          </cell>
          <cell r="F22" t="str">
            <v>SE M67</v>
          </cell>
          <cell r="G22">
            <v>59.01</v>
          </cell>
          <cell r="H22" t="str">
            <v>NON</v>
          </cell>
          <cell r="I22" t="str">
            <v>U15 F64</v>
          </cell>
          <cell r="J22" t="str">
            <v>U17 F64</v>
          </cell>
          <cell r="K22" t="str">
            <v>U20 F64</v>
          </cell>
          <cell r="L22" t="str">
            <v>SE F64</v>
          </cell>
        </row>
        <row r="23">
          <cell r="A23">
            <v>67.010000000000005</v>
          </cell>
          <cell r="B23" t="str">
            <v>NON</v>
          </cell>
          <cell r="C23" t="str">
            <v>U15 M73</v>
          </cell>
          <cell r="D23" t="str">
            <v>U17 M73</v>
          </cell>
          <cell r="E23" t="str">
            <v>U20 M73</v>
          </cell>
          <cell r="F23" t="str">
            <v>SE M73</v>
          </cell>
          <cell r="G23">
            <v>64.010000000000005</v>
          </cell>
          <cell r="H23" t="str">
            <v>NON</v>
          </cell>
          <cell r="I23" t="str">
            <v>U15 F71</v>
          </cell>
          <cell r="J23" t="str">
            <v>U17 F71</v>
          </cell>
          <cell r="K23" t="str">
            <v>U20 F71</v>
          </cell>
          <cell r="L23" t="str">
            <v>SE F71</v>
          </cell>
        </row>
        <row r="24">
          <cell r="A24">
            <v>73.010000000000005</v>
          </cell>
          <cell r="B24" t="str">
            <v>NON</v>
          </cell>
          <cell r="C24" t="str">
            <v>U15 M81</v>
          </cell>
          <cell r="D24" t="str">
            <v>U17 M81</v>
          </cell>
          <cell r="E24" t="str">
            <v>U20 M81</v>
          </cell>
          <cell r="F24" t="str">
            <v>SE M81</v>
          </cell>
          <cell r="G24">
            <v>71.010000000000005</v>
          </cell>
          <cell r="H24" t="str">
            <v>NON</v>
          </cell>
          <cell r="I24" t="str">
            <v>U15 F76</v>
          </cell>
          <cell r="J24" t="str">
            <v>U17 F76</v>
          </cell>
          <cell r="K24" t="str">
            <v>U20 F76</v>
          </cell>
          <cell r="L24" t="str">
            <v>SE F76</v>
          </cell>
        </row>
        <row r="25">
          <cell r="A25">
            <v>81.010000000000005</v>
          </cell>
          <cell r="B25" t="str">
            <v>NON</v>
          </cell>
          <cell r="C25" t="str">
            <v>U15 M89</v>
          </cell>
          <cell r="D25" t="str">
            <v>U17 M89</v>
          </cell>
          <cell r="E25" t="str">
            <v>U20 M89</v>
          </cell>
          <cell r="F25" t="str">
            <v>SE M89</v>
          </cell>
          <cell r="G25">
            <v>76.010000000000005</v>
          </cell>
          <cell r="H25" t="str">
            <v>NON</v>
          </cell>
          <cell r="I25" t="str">
            <v>U15 F81</v>
          </cell>
          <cell r="J25" t="str">
            <v>U17 F81</v>
          </cell>
          <cell r="K25" t="str">
            <v>U20 F81</v>
          </cell>
          <cell r="L25" t="str">
            <v>SE F81</v>
          </cell>
        </row>
        <row r="26">
          <cell r="A26">
            <v>89.01</v>
          </cell>
          <cell r="B26" t="str">
            <v>NON</v>
          </cell>
          <cell r="C26" t="str">
            <v>U15 M96</v>
          </cell>
          <cell r="D26" t="str">
            <v>U17 M96</v>
          </cell>
          <cell r="E26" t="str">
            <v>U20 M96</v>
          </cell>
          <cell r="F26" t="str">
            <v>SE M96</v>
          </cell>
          <cell r="G26">
            <v>81.010000000000005</v>
          </cell>
          <cell r="H26" t="str">
            <v>NON</v>
          </cell>
          <cell r="I26" t="str">
            <v>U15 F&gt;81</v>
          </cell>
          <cell r="J26" t="str">
            <v>U17 F&gt;81</v>
          </cell>
          <cell r="K26" t="str">
            <v>U20 F87</v>
          </cell>
          <cell r="L26" t="str">
            <v>SE F87</v>
          </cell>
        </row>
        <row r="27">
          <cell r="A27">
            <v>96.01</v>
          </cell>
          <cell r="B27" t="str">
            <v>NON</v>
          </cell>
          <cell r="C27" t="str">
            <v>U15 M102</v>
          </cell>
          <cell r="D27" t="str">
            <v>U17 M102</v>
          </cell>
          <cell r="E27" t="str">
            <v>U20 M102</v>
          </cell>
          <cell r="F27" t="str">
            <v>SE M102</v>
          </cell>
          <cell r="G27">
            <v>87.01</v>
          </cell>
          <cell r="H27" t="str">
            <v>NON</v>
          </cell>
          <cell r="I27" t="str">
            <v>U15 F&gt;81</v>
          </cell>
          <cell r="J27" t="str">
            <v>U17 F&gt;81</v>
          </cell>
          <cell r="K27" t="str">
            <v>U20 F&gt;87</v>
          </cell>
          <cell r="L27" t="str">
            <v>SE F&gt;87</v>
          </cell>
        </row>
        <row r="28">
          <cell r="A28">
            <v>102.01</v>
          </cell>
          <cell r="B28" t="str">
            <v>NON</v>
          </cell>
          <cell r="C28" t="str">
            <v>U15 M&gt;102</v>
          </cell>
          <cell r="D28" t="str">
            <v>U17 M&gt;102</v>
          </cell>
          <cell r="E28" t="str">
            <v>U20 M109</v>
          </cell>
          <cell r="F28" t="str">
            <v>SE M109</v>
          </cell>
        </row>
        <row r="29">
          <cell r="A29">
            <v>109.1</v>
          </cell>
          <cell r="B29" t="str">
            <v>NON</v>
          </cell>
          <cell r="C29" t="str">
            <v>U15 M&gt;102</v>
          </cell>
          <cell r="D29" t="str">
            <v>U17 M&gt;102</v>
          </cell>
          <cell r="E29" t="str">
            <v>U20 M&gt;109</v>
          </cell>
          <cell r="F29" t="str">
            <v>SE M&gt;109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MININES"/>
      <sheetName val="MASCULINS"/>
      <sheetName val="Minimas"/>
    </sheetNames>
    <sheetDataSet>
      <sheetData sheetId="0" refreshError="1"/>
      <sheetData sheetId="1" refreshError="1"/>
      <sheetData sheetId="2">
        <row r="15">
          <cell r="B15" t="str">
            <v>MINIME</v>
          </cell>
          <cell r="C15" t="str">
            <v>CADET</v>
          </cell>
          <cell r="D15" t="str">
            <v>CADET</v>
          </cell>
          <cell r="E15" t="str">
            <v>JUNIOR</v>
          </cell>
          <cell r="F15" t="str">
            <v>SENIOR</v>
          </cell>
          <cell r="H15" t="str">
            <v>MINIME</v>
          </cell>
          <cell r="I15" t="str">
            <v>CADETTE</v>
          </cell>
          <cell r="J15" t="str">
            <v>CADETTE</v>
          </cell>
          <cell r="K15" t="str">
            <v>JUNIOR</v>
          </cell>
          <cell r="L15" t="str">
            <v>SENIOR</v>
          </cell>
        </row>
        <row r="16">
          <cell r="A16">
            <v>10</v>
          </cell>
          <cell r="B16" t="str">
            <v>NON</v>
          </cell>
          <cell r="C16" t="str">
            <v>U15 M49</v>
          </cell>
          <cell r="D16" t="str">
            <v>U17 M49</v>
          </cell>
          <cell r="E16" t="str">
            <v>U20 M55</v>
          </cell>
          <cell r="F16" t="str">
            <v>SE M55</v>
          </cell>
          <cell r="G16">
            <v>10</v>
          </cell>
          <cell r="H16" t="str">
            <v>NON</v>
          </cell>
          <cell r="I16" t="str">
            <v>U15 F40</v>
          </cell>
          <cell r="J16" t="str">
            <v>U17 F40</v>
          </cell>
          <cell r="K16" t="str">
            <v>U20 F45</v>
          </cell>
          <cell r="L16" t="str">
            <v>SE F45</v>
          </cell>
        </row>
        <row r="17">
          <cell r="A17">
            <v>35.01</v>
          </cell>
          <cell r="B17" t="str">
            <v>NON</v>
          </cell>
          <cell r="C17" t="str">
            <v>U15 M49</v>
          </cell>
          <cell r="D17" t="str">
            <v>U17 M49</v>
          </cell>
          <cell r="E17" t="str">
            <v>U20 M55</v>
          </cell>
          <cell r="F17" t="str">
            <v>SE M55</v>
          </cell>
          <cell r="G17">
            <v>35.01</v>
          </cell>
          <cell r="H17" t="str">
            <v>NON</v>
          </cell>
          <cell r="I17" t="str">
            <v>U15 F40</v>
          </cell>
          <cell r="J17" t="str">
            <v>U17 F40</v>
          </cell>
          <cell r="K17" t="str">
            <v>U20 F45</v>
          </cell>
          <cell r="L17" t="str">
            <v>SE F45</v>
          </cell>
        </row>
        <row r="18">
          <cell r="A18">
            <v>40.01</v>
          </cell>
          <cell r="B18" t="str">
            <v>NON</v>
          </cell>
          <cell r="C18" t="str">
            <v>U15 M49</v>
          </cell>
          <cell r="D18" t="str">
            <v>U17 M49</v>
          </cell>
          <cell r="E18" t="str">
            <v>U20 M55</v>
          </cell>
          <cell r="F18" t="str">
            <v>SE M55</v>
          </cell>
          <cell r="G18">
            <v>40.01</v>
          </cell>
          <cell r="H18" t="str">
            <v>NON</v>
          </cell>
          <cell r="I18" t="str">
            <v>U15 F45</v>
          </cell>
          <cell r="J18" t="str">
            <v>U17 F45</v>
          </cell>
          <cell r="K18" t="str">
            <v>U20 F45</v>
          </cell>
          <cell r="L18" t="str">
            <v>SE F45</v>
          </cell>
        </row>
        <row r="19">
          <cell r="A19">
            <v>45.01</v>
          </cell>
          <cell r="B19" t="str">
            <v>NON</v>
          </cell>
          <cell r="C19" t="str">
            <v>U15 M49</v>
          </cell>
          <cell r="D19" t="str">
            <v>U17 M49</v>
          </cell>
          <cell r="E19" t="str">
            <v>U20 M55</v>
          </cell>
          <cell r="F19" t="str">
            <v>SE M55</v>
          </cell>
          <cell r="G19">
            <v>45.01</v>
          </cell>
          <cell r="H19" t="str">
            <v>NON</v>
          </cell>
          <cell r="I19" t="str">
            <v>U15 F49</v>
          </cell>
          <cell r="J19" t="str">
            <v>U17 F49</v>
          </cell>
          <cell r="K19" t="str">
            <v>U20 F49</v>
          </cell>
          <cell r="L19" t="str">
            <v>SE F49</v>
          </cell>
        </row>
        <row r="20">
          <cell r="A20">
            <v>49.01</v>
          </cell>
          <cell r="B20" t="str">
            <v>NON</v>
          </cell>
          <cell r="C20" t="str">
            <v>U15 M55</v>
          </cell>
          <cell r="D20" t="str">
            <v>U17 M55</v>
          </cell>
          <cell r="E20" t="str">
            <v>U20 M55</v>
          </cell>
          <cell r="F20" t="str">
            <v>SE M55</v>
          </cell>
          <cell r="G20">
            <v>49.01</v>
          </cell>
          <cell r="H20" t="str">
            <v>NON</v>
          </cell>
          <cell r="I20" t="str">
            <v>U15 F55</v>
          </cell>
          <cell r="J20" t="str">
            <v>U17 F55</v>
          </cell>
          <cell r="K20" t="str">
            <v>U20 F55</v>
          </cell>
          <cell r="L20" t="str">
            <v>SE F55</v>
          </cell>
        </row>
        <row r="21">
          <cell r="A21">
            <v>55.01</v>
          </cell>
          <cell r="B21" t="str">
            <v>NON</v>
          </cell>
          <cell r="C21" t="str">
            <v>U15 M61</v>
          </cell>
          <cell r="D21" t="str">
            <v>U17 M61</v>
          </cell>
          <cell r="E21" t="str">
            <v>U20 M61</v>
          </cell>
          <cell r="F21" t="str">
            <v>SE M61</v>
          </cell>
          <cell r="G21">
            <v>55.01</v>
          </cell>
          <cell r="H21" t="str">
            <v>NON</v>
          </cell>
          <cell r="I21" t="str">
            <v>U15 F59</v>
          </cell>
          <cell r="J21" t="str">
            <v>U17 F59</v>
          </cell>
          <cell r="K21" t="str">
            <v>U20 F59</v>
          </cell>
          <cell r="L21" t="str">
            <v>SE F59</v>
          </cell>
        </row>
        <row r="22">
          <cell r="A22">
            <v>61.01</v>
          </cell>
          <cell r="B22" t="str">
            <v>NON</v>
          </cell>
          <cell r="C22" t="str">
            <v>U15 M67</v>
          </cell>
          <cell r="D22" t="str">
            <v>U17 M67</v>
          </cell>
          <cell r="E22" t="str">
            <v>U20 M67</v>
          </cell>
          <cell r="F22" t="str">
            <v>SE M67</v>
          </cell>
          <cell r="G22">
            <v>59.01</v>
          </cell>
          <cell r="H22" t="str">
            <v>NON</v>
          </cell>
          <cell r="I22" t="str">
            <v>U15 F64</v>
          </cell>
          <cell r="J22" t="str">
            <v>U17 F64</v>
          </cell>
          <cell r="K22" t="str">
            <v>U20 F64</v>
          </cell>
          <cell r="L22" t="str">
            <v>SE F64</v>
          </cell>
        </row>
        <row r="23">
          <cell r="A23">
            <v>67.010000000000005</v>
          </cell>
          <cell r="B23" t="str">
            <v>NON</v>
          </cell>
          <cell r="C23" t="str">
            <v>U15 M73</v>
          </cell>
          <cell r="D23" t="str">
            <v>U17 M73</v>
          </cell>
          <cell r="E23" t="str">
            <v>U20 M73</v>
          </cell>
          <cell r="F23" t="str">
            <v>SE M73</v>
          </cell>
          <cell r="G23">
            <v>64.010000000000005</v>
          </cell>
          <cell r="H23" t="str">
            <v>NON</v>
          </cell>
          <cell r="I23" t="str">
            <v>U15 F71</v>
          </cell>
          <cell r="J23" t="str">
            <v>U17 F71</v>
          </cell>
          <cell r="K23" t="str">
            <v>U20 F71</v>
          </cell>
          <cell r="L23" t="str">
            <v>SE F71</v>
          </cell>
        </row>
        <row r="24">
          <cell r="A24">
            <v>73.010000000000005</v>
          </cell>
          <cell r="B24" t="str">
            <v>NON</v>
          </cell>
          <cell r="C24" t="str">
            <v>U15 M81</v>
          </cell>
          <cell r="D24" t="str">
            <v>U17 M81</v>
          </cell>
          <cell r="E24" t="str">
            <v>U20 M81</v>
          </cell>
          <cell r="F24" t="str">
            <v>SE M81</v>
          </cell>
          <cell r="G24">
            <v>71.010000000000005</v>
          </cell>
          <cell r="H24" t="str">
            <v>NON</v>
          </cell>
          <cell r="I24" t="str">
            <v>U15 F76</v>
          </cell>
          <cell r="J24" t="str">
            <v>U17 F76</v>
          </cell>
          <cell r="K24" t="str">
            <v>U20 F76</v>
          </cell>
          <cell r="L24" t="str">
            <v>SE F76</v>
          </cell>
        </row>
        <row r="25">
          <cell r="A25">
            <v>81.010000000000005</v>
          </cell>
          <cell r="B25" t="str">
            <v>NON</v>
          </cell>
          <cell r="C25" t="str">
            <v>U15 M89</v>
          </cell>
          <cell r="D25" t="str">
            <v>U17 M89</v>
          </cell>
          <cell r="E25" t="str">
            <v>U20 M89</v>
          </cell>
          <cell r="F25" t="str">
            <v>SE M89</v>
          </cell>
          <cell r="G25">
            <v>76.010000000000005</v>
          </cell>
          <cell r="H25" t="str">
            <v>NON</v>
          </cell>
          <cell r="I25" t="str">
            <v>U15 F81</v>
          </cell>
          <cell r="J25" t="str">
            <v>U17 F81</v>
          </cell>
          <cell r="K25" t="str">
            <v>U20 F81</v>
          </cell>
          <cell r="L25" t="str">
            <v>SE F81</v>
          </cell>
        </row>
        <row r="26">
          <cell r="A26">
            <v>89.01</v>
          </cell>
          <cell r="B26" t="str">
            <v>NON</v>
          </cell>
          <cell r="C26" t="str">
            <v>U15 M96</v>
          </cell>
          <cell r="D26" t="str">
            <v>U17 M96</v>
          </cell>
          <cell r="E26" t="str">
            <v>U20 M96</v>
          </cell>
          <cell r="F26" t="str">
            <v>SE M96</v>
          </cell>
          <cell r="G26">
            <v>81.010000000000005</v>
          </cell>
          <cell r="H26" t="str">
            <v>NON</v>
          </cell>
          <cell r="I26" t="str">
            <v>U15 F&gt;81</v>
          </cell>
          <cell r="J26" t="str">
            <v>U17 F&gt;81</v>
          </cell>
          <cell r="K26" t="str">
            <v>U20 F87</v>
          </cell>
          <cell r="L26" t="str">
            <v>SE F87</v>
          </cell>
        </row>
        <row r="27">
          <cell r="A27">
            <v>96.01</v>
          </cell>
          <cell r="B27" t="str">
            <v>NON</v>
          </cell>
          <cell r="C27" t="str">
            <v>U15 M102</v>
          </cell>
          <cell r="D27" t="str">
            <v>U17 M102</v>
          </cell>
          <cell r="E27" t="str">
            <v>U20 M102</v>
          </cell>
          <cell r="F27" t="str">
            <v>SE M102</v>
          </cell>
          <cell r="G27">
            <v>87.01</v>
          </cell>
          <cell r="H27" t="str">
            <v>NON</v>
          </cell>
          <cell r="I27" t="str">
            <v>U15 F&gt;81</v>
          </cell>
          <cell r="J27" t="str">
            <v>U17 F&gt;81</v>
          </cell>
          <cell r="K27" t="str">
            <v>U20 F&gt;87</v>
          </cell>
          <cell r="L27" t="str">
            <v>SE F&gt;87</v>
          </cell>
        </row>
        <row r="28">
          <cell r="A28">
            <v>102.01</v>
          </cell>
          <cell r="B28" t="str">
            <v>NON</v>
          </cell>
          <cell r="C28" t="str">
            <v>U15 M&gt;102</v>
          </cell>
          <cell r="D28" t="str">
            <v>U17 M&gt;102</v>
          </cell>
          <cell r="E28" t="str">
            <v>U20 M109</v>
          </cell>
          <cell r="F28" t="str">
            <v>SE M109</v>
          </cell>
        </row>
        <row r="29">
          <cell r="A29">
            <v>109.1</v>
          </cell>
          <cell r="B29" t="str">
            <v>NON</v>
          </cell>
          <cell r="C29" t="str">
            <v>U15 M&gt;102</v>
          </cell>
          <cell r="D29" t="str">
            <v>U17 M&gt;102</v>
          </cell>
          <cell r="E29" t="str">
            <v>U20 M&gt;109</v>
          </cell>
          <cell r="F29" t="str">
            <v>SE M&gt;109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EME PLATEAU"/>
      <sheetName val="1ER PLATEAU"/>
      <sheetName val="Minimas"/>
    </sheetNames>
    <sheetDataSet>
      <sheetData sheetId="0" refreshError="1"/>
      <sheetData sheetId="1" refreshError="1"/>
      <sheetData sheetId="2">
        <row r="3">
          <cell r="C3" t="str">
            <v>U15 F40</v>
          </cell>
          <cell r="D3" t="str">
            <v>U15 F45</v>
          </cell>
          <cell r="E3" t="str">
            <v>U15 F49</v>
          </cell>
          <cell r="F3" t="str">
            <v>U15 F55</v>
          </cell>
          <cell r="G3" t="str">
            <v>U15 F59</v>
          </cell>
          <cell r="H3" t="str">
            <v>U15 F64</v>
          </cell>
          <cell r="I3" t="str">
            <v>U15 F71</v>
          </cell>
          <cell r="J3" t="str">
            <v>U15 F76</v>
          </cell>
          <cell r="K3" t="str">
            <v>U15 F81</v>
          </cell>
          <cell r="L3" t="str">
            <v>U15 F&gt;81</v>
          </cell>
          <cell r="M3" t="str">
            <v>U17 F40</v>
          </cell>
          <cell r="N3" t="str">
            <v>U17 F45</v>
          </cell>
          <cell r="O3" t="str">
            <v>U17 F49</v>
          </cell>
          <cell r="P3" t="str">
            <v>U17 F55</v>
          </cell>
          <cell r="Q3" t="str">
            <v>U17 F59</v>
          </cell>
          <cell r="R3" t="str">
            <v>U17 F64</v>
          </cell>
          <cell r="S3" t="str">
            <v>U17 F71</v>
          </cell>
          <cell r="T3" t="str">
            <v>U17 F76</v>
          </cell>
          <cell r="U3" t="str">
            <v>U17 F81</v>
          </cell>
          <cell r="V3" t="str">
            <v>U17 F&gt;81</v>
          </cell>
          <cell r="W3" t="str">
            <v>U20 F45</v>
          </cell>
          <cell r="X3" t="str">
            <v>U20 F49</v>
          </cell>
          <cell r="Y3" t="str">
            <v>U20 F55</v>
          </cell>
          <cell r="Z3" t="str">
            <v>U20 F59</v>
          </cell>
          <cell r="AA3" t="str">
            <v>U20 F64</v>
          </cell>
          <cell r="AB3" t="str">
            <v>U20 F71</v>
          </cell>
          <cell r="AC3" t="str">
            <v>U20 F76</v>
          </cell>
          <cell r="AD3" t="str">
            <v>U20 F81</v>
          </cell>
          <cell r="AE3" t="str">
            <v>U20 F87</v>
          </cell>
          <cell r="AF3" t="str">
            <v>U20 F&gt;87</v>
          </cell>
          <cell r="AG3" t="str">
            <v>SE F45</v>
          </cell>
          <cell r="AH3" t="str">
            <v>SE F49</v>
          </cell>
          <cell r="AI3" t="str">
            <v>SE F55</v>
          </cell>
          <cell r="AJ3" t="str">
            <v>SE F59</v>
          </cell>
          <cell r="AK3" t="str">
            <v>SE F64</v>
          </cell>
          <cell r="AL3" t="str">
            <v>SE F71</v>
          </cell>
          <cell r="AM3" t="str">
            <v>SE F76</v>
          </cell>
          <cell r="AN3" t="str">
            <v>SE F81</v>
          </cell>
          <cell r="AO3" t="str">
            <v>SE F87</v>
          </cell>
          <cell r="AP3" t="str">
            <v>SE F&gt;87</v>
          </cell>
          <cell r="AQ3" t="str">
            <v>U15 M49</v>
          </cell>
          <cell r="AR3" t="str">
            <v>U15 M55</v>
          </cell>
          <cell r="AS3" t="str">
            <v>U15 M61</v>
          </cell>
          <cell r="AT3" t="str">
            <v>U15 M67</v>
          </cell>
          <cell r="AU3" t="str">
            <v>U15 M73</v>
          </cell>
          <cell r="AV3" t="str">
            <v>U15 M81</v>
          </cell>
          <cell r="AW3" t="str">
            <v>U15 M89</v>
          </cell>
          <cell r="AX3" t="str">
            <v>U15 M96</v>
          </cell>
          <cell r="AY3" t="str">
            <v>U15 M102</v>
          </cell>
          <cell r="AZ3" t="str">
            <v>U15 M&gt;102</v>
          </cell>
          <cell r="BA3" t="str">
            <v>U17 M49</v>
          </cell>
          <cell r="BB3" t="str">
            <v>U17 M55</v>
          </cell>
          <cell r="BC3" t="str">
            <v>U17 M61</v>
          </cell>
          <cell r="BD3" t="str">
            <v>U17 M67</v>
          </cell>
          <cell r="BE3" t="str">
            <v>U17 M73</v>
          </cell>
          <cell r="BF3" t="str">
            <v>U17 M81</v>
          </cell>
          <cell r="BG3" t="str">
            <v>U17 M89</v>
          </cell>
          <cell r="BH3" t="str">
            <v>U17 M96</v>
          </cell>
          <cell r="BI3" t="str">
            <v>U17 M102</v>
          </cell>
          <cell r="BJ3" t="str">
            <v>U17 M&gt;102</v>
          </cell>
          <cell r="BK3" t="str">
            <v>U20 M55</v>
          </cell>
          <cell r="BL3" t="str">
            <v>U20 M61</v>
          </cell>
          <cell r="BM3" t="str">
            <v>U20 M67</v>
          </cell>
          <cell r="BN3" t="str">
            <v>U20 M73</v>
          </cell>
          <cell r="BO3" t="str">
            <v>U20 M81</v>
          </cell>
          <cell r="BP3" t="str">
            <v>U20 M89</v>
          </cell>
          <cell r="BQ3" t="str">
            <v>U20 M96</v>
          </cell>
          <cell r="BR3" t="str">
            <v>U20 M102</v>
          </cell>
          <cell r="BS3" t="str">
            <v>U20 M109</v>
          </cell>
          <cell r="BT3" t="str">
            <v>U20 M&gt;109</v>
          </cell>
          <cell r="BU3" t="str">
            <v>SE M55</v>
          </cell>
          <cell r="BV3" t="str">
            <v>SE M61</v>
          </cell>
          <cell r="BW3" t="str">
            <v>SE M67</v>
          </cell>
          <cell r="BX3" t="str">
            <v>SE M73</v>
          </cell>
          <cell r="BY3" t="str">
            <v>SE M81</v>
          </cell>
          <cell r="BZ3" t="str">
            <v>SE M89</v>
          </cell>
          <cell r="CA3" t="str">
            <v>SE M96</v>
          </cell>
          <cell r="CB3" t="str">
            <v>SE M102</v>
          </cell>
          <cell r="CC3" t="str">
            <v>SE M109</v>
          </cell>
          <cell r="CD3" t="str">
            <v>SE M&gt;109</v>
          </cell>
        </row>
        <row r="4">
          <cell r="C4">
            <v>20</v>
          </cell>
          <cell r="D4">
            <v>25</v>
          </cell>
          <cell r="E4">
            <v>30</v>
          </cell>
          <cell r="F4">
            <v>35</v>
          </cell>
          <cell r="G4">
            <v>40</v>
          </cell>
          <cell r="H4">
            <v>45</v>
          </cell>
          <cell r="I4">
            <v>50</v>
          </cell>
          <cell r="J4">
            <v>55</v>
          </cell>
          <cell r="K4">
            <v>57</v>
          </cell>
          <cell r="L4">
            <v>60</v>
          </cell>
          <cell r="M4">
            <v>30</v>
          </cell>
          <cell r="N4">
            <v>35</v>
          </cell>
          <cell r="O4">
            <v>40</v>
          </cell>
          <cell r="P4">
            <v>45</v>
          </cell>
          <cell r="Q4">
            <v>50</v>
          </cell>
          <cell r="R4">
            <v>55</v>
          </cell>
          <cell r="S4">
            <v>60</v>
          </cell>
          <cell r="T4">
            <v>65</v>
          </cell>
          <cell r="U4">
            <v>67</v>
          </cell>
          <cell r="V4">
            <v>70</v>
          </cell>
          <cell r="W4">
            <v>40</v>
          </cell>
          <cell r="X4">
            <v>45</v>
          </cell>
          <cell r="Y4">
            <v>50</v>
          </cell>
          <cell r="Z4">
            <v>55</v>
          </cell>
          <cell r="AA4">
            <v>60</v>
          </cell>
          <cell r="AB4">
            <v>65</v>
          </cell>
          <cell r="AC4">
            <v>70</v>
          </cell>
          <cell r="AD4">
            <v>75</v>
          </cell>
          <cell r="AE4">
            <v>77</v>
          </cell>
          <cell r="AF4">
            <v>80</v>
          </cell>
          <cell r="AG4">
            <v>50</v>
          </cell>
          <cell r="AH4">
            <v>55</v>
          </cell>
          <cell r="AI4">
            <v>60</v>
          </cell>
          <cell r="AJ4">
            <v>65</v>
          </cell>
          <cell r="AK4">
            <v>70</v>
          </cell>
          <cell r="AL4">
            <v>75</v>
          </cell>
          <cell r="AM4">
            <v>80</v>
          </cell>
          <cell r="AN4">
            <v>85</v>
          </cell>
          <cell r="AO4">
            <v>87</v>
          </cell>
          <cell r="AP4">
            <v>90</v>
          </cell>
          <cell r="AQ4">
            <v>40</v>
          </cell>
          <cell r="AR4">
            <v>55</v>
          </cell>
          <cell r="AS4">
            <v>65</v>
          </cell>
          <cell r="AT4">
            <v>75</v>
          </cell>
          <cell r="AU4">
            <v>80</v>
          </cell>
          <cell r="AV4">
            <v>85</v>
          </cell>
          <cell r="AW4">
            <v>90</v>
          </cell>
          <cell r="AX4">
            <v>95</v>
          </cell>
          <cell r="AY4">
            <v>100</v>
          </cell>
          <cell r="AZ4">
            <v>105</v>
          </cell>
          <cell r="BA4">
            <v>50</v>
          </cell>
          <cell r="BB4">
            <v>65</v>
          </cell>
          <cell r="BC4">
            <v>80</v>
          </cell>
          <cell r="BD4">
            <v>90</v>
          </cell>
          <cell r="BE4">
            <v>100</v>
          </cell>
          <cell r="BF4">
            <v>110</v>
          </cell>
          <cell r="BG4">
            <v>115</v>
          </cell>
          <cell r="BH4">
            <v>120</v>
          </cell>
          <cell r="BI4">
            <v>125</v>
          </cell>
          <cell r="BJ4">
            <v>130</v>
          </cell>
          <cell r="BK4">
            <v>80</v>
          </cell>
          <cell r="BL4">
            <v>95</v>
          </cell>
          <cell r="BM4">
            <v>105</v>
          </cell>
          <cell r="BN4">
            <v>120</v>
          </cell>
          <cell r="BO4">
            <v>130</v>
          </cell>
          <cell r="BP4">
            <v>135</v>
          </cell>
          <cell r="BQ4">
            <v>140</v>
          </cell>
          <cell r="BR4">
            <v>145</v>
          </cell>
          <cell r="BS4">
            <v>150</v>
          </cell>
          <cell r="BT4">
            <v>155</v>
          </cell>
          <cell r="BU4">
            <v>95</v>
          </cell>
          <cell r="BV4">
            <v>110</v>
          </cell>
          <cell r="BW4">
            <v>125</v>
          </cell>
          <cell r="BX4">
            <v>135</v>
          </cell>
          <cell r="BY4">
            <v>145</v>
          </cell>
          <cell r="BZ4">
            <v>150</v>
          </cell>
          <cell r="CA4">
            <v>155</v>
          </cell>
          <cell r="CB4">
            <v>160</v>
          </cell>
          <cell r="CC4">
            <v>165</v>
          </cell>
          <cell r="CD4">
            <v>170</v>
          </cell>
        </row>
        <row r="5">
          <cell r="C5">
            <v>25</v>
          </cell>
          <cell r="D5">
            <v>35</v>
          </cell>
          <cell r="E5">
            <v>40</v>
          </cell>
          <cell r="F5">
            <v>45</v>
          </cell>
          <cell r="G5">
            <v>50</v>
          </cell>
          <cell r="H5">
            <v>55</v>
          </cell>
          <cell r="I5">
            <v>60</v>
          </cell>
          <cell r="J5">
            <v>65</v>
          </cell>
          <cell r="K5">
            <v>67</v>
          </cell>
          <cell r="L5">
            <v>70</v>
          </cell>
          <cell r="M5">
            <v>35</v>
          </cell>
          <cell r="N5">
            <v>42</v>
          </cell>
          <cell r="O5">
            <v>50</v>
          </cell>
          <cell r="P5">
            <v>55</v>
          </cell>
          <cell r="Q5">
            <v>60</v>
          </cell>
          <cell r="R5">
            <v>65</v>
          </cell>
          <cell r="S5">
            <v>70</v>
          </cell>
          <cell r="T5">
            <v>75</v>
          </cell>
          <cell r="U5">
            <v>77</v>
          </cell>
          <cell r="V5">
            <v>80</v>
          </cell>
          <cell r="W5">
            <v>50</v>
          </cell>
          <cell r="X5">
            <v>55</v>
          </cell>
          <cell r="Y5">
            <v>62</v>
          </cell>
          <cell r="Z5">
            <v>70</v>
          </cell>
          <cell r="AA5">
            <v>75</v>
          </cell>
          <cell r="AB5">
            <v>80</v>
          </cell>
          <cell r="AC5">
            <v>85</v>
          </cell>
          <cell r="AD5">
            <v>90</v>
          </cell>
          <cell r="AE5">
            <v>92</v>
          </cell>
          <cell r="AF5">
            <v>95</v>
          </cell>
          <cell r="AG5">
            <v>60</v>
          </cell>
          <cell r="AH5">
            <v>67</v>
          </cell>
          <cell r="AI5">
            <v>75</v>
          </cell>
          <cell r="AJ5">
            <v>80</v>
          </cell>
          <cell r="AK5">
            <v>85</v>
          </cell>
          <cell r="AL5">
            <v>90</v>
          </cell>
          <cell r="AM5">
            <v>95</v>
          </cell>
          <cell r="AN5">
            <v>100</v>
          </cell>
          <cell r="AO5">
            <v>102</v>
          </cell>
          <cell r="AP5">
            <v>105</v>
          </cell>
          <cell r="AQ5">
            <v>55</v>
          </cell>
          <cell r="AR5">
            <v>70</v>
          </cell>
          <cell r="AS5">
            <v>80</v>
          </cell>
          <cell r="AT5">
            <v>95</v>
          </cell>
          <cell r="AU5">
            <v>100</v>
          </cell>
          <cell r="AV5">
            <v>105</v>
          </cell>
          <cell r="AW5">
            <v>110</v>
          </cell>
          <cell r="AX5">
            <v>115</v>
          </cell>
          <cell r="AY5">
            <v>120</v>
          </cell>
          <cell r="AZ5">
            <v>125</v>
          </cell>
          <cell r="BA5">
            <v>65</v>
          </cell>
          <cell r="BB5">
            <v>85</v>
          </cell>
          <cell r="BC5">
            <v>100</v>
          </cell>
          <cell r="BD5">
            <v>110</v>
          </cell>
          <cell r="BE5">
            <v>120</v>
          </cell>
          <cell r="BF5">
            <v>130</v>
          </cell>
          <cell r="BG5">
            <v>135</v>
          </cell>
          <cell r="BH5">
            <v>140</v>
          </cell>
          <cell r="BI5">
            <v>145</v>
          </cell>
          <cell r="BJ5">
            <v>150</v>
          </cell>
          <cell r="BK5">
            <v>100</v>
          </cell>
          <cell r="BL5">
            <v>115</v>
          </cell>
          <cell r="BM5">
            <v>125</v>
          </cell>
          <cell r="BN5">
            <v>140</v>
          </cell>
          <cell r="BO5">
            <v>150</v>
          </cell>
          <cell r="BP5">
            <v>160</v>
          </cell>
          <cell r="BQ5">
            <v>165</v>
          </cell>
          <cell r="BR5">
            <v>170</v>
          </cell>
          <cell r="BS5">
            <v>175</v>
          </cell>
          <cell r="BT5">
            <v>180</v>
          </cell>
          <cell r="BU5">
            <v>115</v>
          </cell>
          <cell r="BV5">
            <v>130</v>
          </cell>
          <cell r="BW5">
            <v>145</v>
          </cell>
          <cell r="BX5">
            <v>160</v>
          </cell>
          <cell r="BY5">
            <v>170</v>
          </cell>
          <cell r="BZ5">
            <v>175</v>
          </cell>
          <cell r="CA5">
            <v>180</v>
          </cell>
          <cell r="CB5">
            <v>185</v>
          </cell>
          <cell r="CC5">
            <v>190</v>
          </cell>
          <cell r="CD5">
            <v>195</v>
          </cell>
        </row>
        <row r="6">
          <cell r="C6">
            <v>35</v>
          </cell>
          <cell r="D6">
            <v>45</v>
          </cell>
          <cell r="E6">
            <v>50</v>
          </cell>
          <cell r="F6">
            <v>57</v>
          </cell>
          <cell r="G6">
            <v>62</v>
          </cell>
          <cell r="H6">
            <v>67</v>
          </cell>
          <cell r="I6">
            <v>72</v>
          </cell>
          <cell r="J6">
            <v>75</v>
          </cell>
          <cell r="K6">
            <v>77</v>
          </cell>
          <cell r="L6">
            <v>80</v>
          </cell>
          <cell r="M6">
            <v>45</v>
          </cell>
          <cell r="N6">
            <v>50</v>
          </cell>
          <cell r="O6">
            <v>57</v>
          </cell>
          <cell r="P6">
            <v>65</v>
          </cell>
          <cell r="Q6">
            <v>70</v>
          </cell>
          <cell r="R6">
            <v>75</v>
          </cell>
          <cell r="S6">
            <v>80</v>
          </cell>
          <cell r="T6">
            <v>85</v>
          </cell>
          <cell r="U6">
            <v>90</v>
          </cell>
          <cell r="V6">
            <v>95</v>
          </cell>
          <cell r="W6">
            <v>60</v>
          </cell>
          <cell r="X6">
            <v>65</v>
          </cell>
          <cell r="Y6">
            <v>75</v>
          </cell>
          <cell r="Z6">
            <v>82</v>
          </cell>
          <cell r="AA6">
            <v>90</v>
          </cell>
          <cell r="AB6">
            <v>95</v>
          </cell>
          <cell r="AC6">
            <v>100</v>
          </cell>
          <cell r="AD6">
            <v>105</v>
          </cell>
          <cell r="AE6">
            <v>107</v>
          </cell>
          <cell r="AF6">
            <v>110</v>
          </cell>
          <cell r="AG6">
            <v>70</v>
          </cell>
          <cell r="AH6">
            <v>80</v>
          </cell>
          <cell r="AI6">
            <v>87</v>
          </cell>
          <cell r="AJ6">
            <v>92</v>
          </cell>
          <cell r="AK6">
            <v>100</v>
          </cell>
          <cell r="AL6">
            <v>107</v>
          </cell>
          <cell r="AM6">
            <v>115</v>
          </cell>
          <cell r="AN6">
            <v>120</v>
          </cell>
          <cell r="AO6">
            <v>122</v>
          </cell>
          <cell r="AP6">
            <v>125</v>
          </cell>
          <cell r="AQ6">
            <v>70</v>
          </cell>
          <cell r="AR6">
            <v>85</v>
          </cell>
          <cell r="AS6">
            <v>100</v>
          </cell>
          <cell r="AT6">
            <v>110</v>
          </cell>
          <cell r="AU6">
            <v>120</v>
          </cell>
          <cell r="AV6">
            <v>130</v>
          </cell>
          <cell r="AW6">
            <v>135</v>
          </cell>
          <cell r="AX6">
            <v>140</v>
          </cell>
          <cell r="AY6">
            <v>145</v>
          </cell>
          <cell r="AZ6">
            <v>150</v>
          </cell>
          <cell r="BA6">
            <v>80</v>
          </cell>
          <cell r="BB6">
            <v>100</v>
          </cell>
          <cell r="BC6">
            <v>120</v>
          </cell>
          <cell r="BD6">
            <v>130</v>
          </cell>
          <cell r="BE6">
            <v>140</v>
          </cell>
          <cell r="BF6">
            <v>150</v>
          </cell>
          <cell r="BG6">
            <v>160</v>
          </cell>
          <cell r="BH6">
            <v>165</v>
          </cell>
          <cell r="BI6">
            <v>170</v>
          </cell>
          <cell r="BJ6">
            <v>175</v>
          </cell>
          <cell r="BK6">
            <v>115</v>
          </cell>
          <cell r="BL6">
            <v>130</v>
          </cell>
          <cell r="BM6">
            <v>150</v>
          </cell>
          <cell r="BN6">
            <v>160</v>
          </cell>
          <cell r="BO6">
            <v>170</v>
          </cell>
          <cell r="BP6">
            <v>180</v>
          </cell>
          <cell r="BQ6">
            <v>185</v>
          </cell>
          <cell r="BR6">
            <v>190</v>
          </cell>
          <cell r="BS6">
            <v>195</v>
          </cell>
          <cell r="BT6">
            <v>200</v>
          </cell>
          <cell r="BU6">
            <v>130</v>
          </cell>
          <cell r="BV6">
            <v>150</v>
          </cell>
          <cell r="BW6">
            <v>170</v>
          </cell>
          <cell r="BX6">
            <v>185</v>
          </cell>
          <cell r="BY6">
            <v>195</v>
          </cell>
          <cell r="BZ6">
            <v>200</v>
          </cell>
          <cell r="CA6">
            <v>205</v>
          </cell>
          <cell r="CB6">
            <v>210</v>
          </cell>
          <cell r="CC6">
            <v>215</v>
          </cell>
          <cell r="CD6">
            <v>220</v>
          </cell>
        </row>
        <row r="7">
          <cell r="C7">
            <v>45</v>
          </cell>
          <cell r="D7">
            <v>55</v>
          </cell>
          <cell r="E7">
            <v>60</v>
          </cell>
          <cell r="F7">
            <v>67</v>
          </cell>
          <cell r="G7">
            <v>72</v>
          </cell>
          <cell r="H7">
            <v>77</v>
          </cell>
          <cell r="I7">
            <v>82</v>
          </cell>
          <cell r="J7">
            <v>85</v>
          </cell>
          <cell r="K7">
            <v>87</v>
          </cell>
          <cell r="L7">
            <v>90</v>
          </cell>
          <cell r="M7">
            <v>55</v>
          </cell>
          <cell r="N7">
            <v>60</v>
          </cell>
          <cell r="O7">
            <v>67</v>
          </cell>
          <cell r="P7">
            <v>77</v>
          </cell>
          <cell r="Q7">
            <v>82</v>
          </cell>
          <cell r="R7">
            <v>87</v>
          </cell>
          <cell r="S7">
            <v>92</v>
          </cell>
          <cell r="T7">
            <v>97</v>
          </cell>
          <cell r="U7">
            <v>100</v>
          </cell>
          <cell r="V7">
            <v>105</v>
          </cell>
          <cell r="W7">
            <v>70</v>
          </cell>
          <cell r="X7">
            <v>77</v>
          </cell>
          <cell r="Y7">
            <v>87</v>
          </cell>
          <cell r="Z7">
            <v>95</v>
          </cell>
          <cell r="AA7">
            <v>105</v>
          </cell>
          <cell r="AB7">
            <v>110</v>
          </cell>
          <cell r="AC7">
            <v>115</v>
          </cell>
          <cell r="AD7">
            <v>120</v>
          </cell>
          <cell r="AE7">
            <v>122</v>
          </cell>
          <cell r="AF7">
            <v>125</v>
          </cell>
          <cell r="AG7">
            <v>82</v>
          </cell>
          <cell r="AH7">
            <v>92</v>
          </cell>
          <cell r="AI7">
            <v>102</v>
          </cell>
          <cell r="AJ7">
            <v>107</v>
          </cell>
          <cell r="AK7">
            <v>117</v>
          </cell>
          <cell r="AL7">
            <v>122</v>
          </cell>
          <cell r="AM7">
            <v>130</v>
          </cell>
          <cell r="AN7">
            <v>135</v>
          </cell>
          <cell r="AO7">
            <v>137</v>
          </cell>
          <cell r="AP7">
            <v>140</v>
          </cell>
          <cell r="AQ7">
            <v>85</v>
          </cell>
          <cell r="AR7">
            <v>100</v>
          </cell>
          <cell r="AS7">
            <v>115</v>
          </cell>
          <cell r="AT7">
            <v>130</v>
          </cell>
          <cell r="AU7">
            <v>140</v>
          </cell>
          <cell r="AV7">
            <v>150</v>
          </cell>
          <cell r="AW7">
            <v>155</v>
          </cell>
          <cell r="AX7">
            <v>160</v>
          </cell>
          <cell r="AY7">
            <v>165</v>
          </cell>
          <cell r="AZ7">
            <v>170</v>
          </cell>
          <cell r="BA7">
            <v>95</v>
          </cell>
          <cell r="BB7">
            <v>115</v>
          </cell>
          <cell r="BC7">
            <v>135</v>
          </cell>
          <cell r="BD7">
            <v>150</v>
          </cell>
          <cell r="BE7">
            <v>160</v>
          </cell>
          <cell r="BF7">
            <v>170</v>
          </cell>
          <cell r="BG7">
            <v>180</v>
          </cell>
          <cell r="BH7">
            <v>185</v>
          </cell>
          <cell r="BI7">
            <v>190</v>
          </cell>
          <cell r="BJ7">
            <v>195</v>
          </cell>
          <cell r="BK7">
            <v>130</v>
          </cell>
          <cell r="BL7">
            <v>150</v>
          </cell>
          <cell r="BM7">
            <v>170</v>
          </cell>
          <cell r="BN7">
            <v>180</v>
          </cell>
          <cell r="BO7">
            <v>190</v>
          </cell>
          <cell r="BP7">
            <v>200</v>
          </cell>
          <cell r="BQ7">
            <v>210</v>
          </cell>
          <cell r="BR7">
            <v>215</v>
          </cell>
          <cell r="BS7">
            <v>220</v>
          </cell>
          <cell r="BT7">
            <v>225</v>
          </cell>
          <cell r="BU7">
            <v>145</v>
          </cell>
          <cell r="BV7">
            <v>170</v>
          </cell>
          <cell r="BW7">
            <v>195</v>
          </cell>
          <cell r="BX7">
            <v>210</v>
          </cell>
          <cell r="BY7">
            <v>220</v>
          </cell>
          <cell r="BZ7">
            <v>230</v>
          </cell>
          <cell r="CA7">
            <v>235</v>
          </cell>
          <cell r="CB7">
            <v>240</v>
          </cell>
          <cell r="CC7">
            <v>245</v>
          </cell>
          <cell r="CD7">
            <v>250</v>
          </cell>
        </row>
        <row r="8">
          <cell r="C8">
            <v>55</v>
          </cell>
          <cell r="D8">
            <v>65</v>
          </cell>
          <cell r="E8">
            <v>72</v>
          </cell>
          <cell r="F8">
            <v>82</v>
          </cell>
          <cell r="G8">
            <v>87</v>
          </cell>
          <cell r="H8">
            <v>92</v>
          </cell>
          <cell r="I8">
            <v>97</v>
          </cell>
          <cell r="J8">
            <v>100</v>
          </cell>
          <cell r="K8">
            <v>102</v>
          </cell>
          <cell r="L8">
            <v>105</v>
          </cell>
          <cell r="M8">
            <v>68</v>
          </cell>
          <cell r="N8">
            <v>75</v>
          </cell>
          <cell r="O8">
            <v>82</v>
          </cell>
          <cell r="P8">
            <v>92</v>
          </cell>
          <cell r="Q8">
            <v>97</v>
          </cell>
          <cell r="R8">
            <v>102</v>
          </cell>
          <cell r="S8">
            <v>107</v>
          </cell>
          <cell r="T8">
            <v>110</v>
          </cell>
          <cell r="U8">
            <v>112</v>
          </cell>
          <cell r="V8">
            <v>115</v>
          </cell>
          <cell r="W8">
            <v>83</v>
          </cell>
          <cell r="X8">
            <v>90</v>
          </cell>
          <cell r="Y8">
            <v>103</v>
          </cell>
          <cell r="Z8">
            <v>110</v>
          </cell>
          <cell r="AA8">
            <v>118</v>
          </cell>
          <cell r="AB8">
            <v>123</v>
          </cell>
          <cell r="AC8">
            <v>127</v>
          </cell>
          <cell r="AD8">
            <v>132</v>
          </cell>
          <cell r="AE8">
            <v>135</v>
          </cell>
          <cell r="AF8">
            <v>140</v>
          </cell>
          <cell r="AG8">
            <v>95</v>
          </cell>
          <cell r="AH8">
            <v>107</v>
          </cell>
          <cell r="AI8">
            <v>123</v>
          </cell>
          <cell r="AJ8">
            <v>130</v>
          </cell>
          <cell r="AK8">
            <v>137</v>
          </cell>
          <cell r="AL8">
            <v>142</v>
          </cell>
          <cell r="AM8">
            <v>147</v>
          </cell>
          <cell r="AN8">
            <v>150</v>
          </cell>
          <cell r="AO8">
            <v>152</v>
          </cell>
          <cell r="AP8">
            <v>155</v>
          </cell>
          <cell r="AQ8">
            <v>100</v>
          </cell>
          <cell r="AR8">
            <v>115</v>
          </cell>
          <cell r="AS8">
            <v>130</v>
          </cell>
          <cell r="AT8">
            <v>150</v>
          </cell>
          <cell r="AU8">
            <v>160</v>
          </cell>
          <cell r="AV8">
            <v>170</v>
          </cell>
          <cell r="AW8">
            <v>175</v>
          </cell>
          <cell r="AX8">
            <v>180</v>
          </cell>
          <cell r="AY8">
            <v>185</v>
          </cell>
          <cell r="AZ8">
            <v>190</v>
          </cell>
          <cell r="BA8">
            <v>110</v>
          </cell>
          <cell r="BB8">
            <v>130</v>
          </cell>
          <cell r="BC8">
            <v>150</v>
          </cell>
          <cell r="BD8">
            <v>170</v>
          </cell>
          <cell r="BE8">
            <v>180</v>
          </cell>
          <cell r="BF8">
            <v>190</v>
          </cell>
          <cell r="BG8">
            <v>200</v>
          </cell>
          <cell r="BH8">
            <v>205</v>
          </cell>
          <cell r="BI8">
            <v>210</v>
          </cell>
          <cell r="BJ8">
            <v>215</v>
          </cell>
          <cell r="BK8">
            <v>145</v>
          </cell>
          <cell r="BL8">
            <v>170</v>
          </cell>
          <cell r="BM8">
            <v>190</v>
          </cell>
          <cell r="BN8">
            <v>200</v>
          </cell>
          <cell r="BO8">
            <v>215</v>
          </cell>
          <cell r="BP8">
            <v>225</v>
          </cell>
          <cell r="BQ8">
            <v>230</v>
          </cell>
          <cell r="BR8">
            <v>240</v>
          </cell>
          <cell r="BS8">
            <v>245</v>
          </cell>
          <cell r="BT8">
            <v>250</v>
          </cell>
          <cell r="BU8">
            <v>170</v>
          </cell>
          <cell r="BV8">
            <v>195</v>
          </cell>
          <cell r="BW8">
            <v>225</v>
          </cell>
          <cell r="BX8">
            <v>240</v>
          </cell>
          <cell r="BY8">
            <v>250</v>
          </cell>
          <cell r="BZ8">
            <v>260</v>
          </cell>
          <cell r="CA8">
            <v>265</v>
          </cell>
          <cell r="CB8">
            <v>270</v>
          </cell>
          <cell r="CC8">
            <v>275</v>
          </cell>
          <cell r="CD8">
            <v>280</v>
          </cell>
        </row>
        <row r="9">
          <cell r="C9">
            <v>68</v>
          </cell>
          <cell r="D9">
            <v>78</v>
          </cell>
          <cell r="E9">
            <v>85</v>
          </cell>
          <cell r="F9">
            <v>95</v>
          </cell>
          <cell r="G9">
            <v>100</v>
          </cell>
          <cell r="H9">
            <v>105</v>
          </cell>
          <cell r="I9">
            <v>110</v>
          </cell>
          <cell r="J9">
            <v>115</v>
          </cell>
          <cell r="K9">
            <v>117</v>
          </cell>
          <cell r="L9">
            <v>120</v>
          </cell>
          <cell r="M9">
            <v>80</v>
          </cell>
          <cell r="N9">
            <v>88</v>
          </cell>
          <cell r="O9">
            <v>95</v>
          </cell>
          <cell r="P9">
            <v>105</v>
          </cell>
          <cell r="Q9">
            <v>110</v>
          </cell>
          <cell r="R9">
            <v>115</v>
          </cell>
          <cell r="S9">
            <v>120</v>
          </cell>
          <cell r="T9">
            <v>125</v>
          </cell>
          <cell r="U9">
            <v>130</v>
          </cell>
          <cell r="V9">
            <v>135</v>
          </cell>
          <cell r="W9">
            <v>97</v>
          </cell>
          <cell r="X9">
            <v>105</v>
          </cell>
          <cell r="Y9">
            <v>118</v>
          </cell>
          <cell r="Z9">
            <v>125</v>
          </cell>
          <cell r="AA9">
            <v>135</v>
          </cell>
          <cell r="AB9">
            <v>142</v>
          </cell>
          <cell r="AC9">
            <v>147</v>
          </cell>
          <cell r="AD9">
            <v>152</v>
          </cell>
          <cell r="AE9">
            <v>155</v>
          </cell>
          <cell r="AF9">
            <v>160</v>
          </cell>
          <cell r="AG9">
            <v>110</v>
          </cell>
          <cell r="AH9">
            <v>122</v>
          </cell>
          <cell r="AI9">
            <v>138</v>
          </cell>
          <cell r="AJ9">
            <v>145</v>
          </cell>
          <cell r="AK9">
            <v>155</v>
          </cell>
          <cell r="AL9">
            <v>165</v>
          </cell>
          <cell r="AM9">
            <v>170</v>
          </cell>
          <cell r="AN9">
            <v>172</v>
          </cell>
          <cell r="AO9">
            <v>175</v>
          </cell>
          <cell r="AP9">
            <v>180</v>
          </cell>
          <cell r="AQ9">
            <v>115</v>
          </cell>
          <cell r="AR9">
            <v>130</v>
          </cell>
          <cell r="AS9">
            <v>150</v>
          </cell>
          <cell r="AT9">
            <v>170</v>
          </cell>
          <cell r="AU9">
            <v>180</v>
          </cell>
          <cell r="AV9">
            <v>190</v>
          </cell>
          <cell r="AW9">
            <v>200</v>
          </cell>
          <cell r="AX9">
            <v>205</v>
          </cell>
          <cell r="AY9">
            <v>210</v>
          </cell>
          <cell r="AZ9">
            <v>215</v>
          </cell>
          <cell r="BA9">
            <v>125</v>
          </cell>
          <cell r="BB9">
            <v>145</v>
          </cell>
          <cell r="BC9">
            <v>170</v>
          </cell>
          <cell r="BD9">
            <v>190</v>
          </cell>
          <cell r="BE9">
            <v>200</v>
          </cell>
          <cell r="BF9">
            <v>210</v>
          </cell>
          <cell r="BG9">
            <v>220</v>
          </cell>
          <cell r="BH9">
            <v>225</v>
          </cell>
          <cell r="BI9">
            <v>230</v>
          </cell>
          <cell r="BJ9">
            <v>235</v>
          </cell>
          <cell r="BK9">
            <v>170</v>
          </cell>
          <cell r="BL9">
            <v>190</v>
          </cell>
          <cell r="BM9">
            <v>218</v>
          </cell>
          <cell r="BN9">
            <v>230</v>
          </cell>
          <cell r="BO9">
            <v>245</v>
          </cell>
          <cell r="BP9">
            <v>255</v>
          </cell>
          <cell r="BQ9">
            <v>260</v>
          </cell>
          <cell r="BR9">
            <v>270</v>
          </cell>
          <cell r="BS9">
            <v>275</v>
          </cell>
          <cell r="BT9">
            <v>280</v>
          </cell>
          <cell r="BU9">
            <v>190</v>
          </cell>
          <cell r="BV9">
            <v>215</v>
          </cell>
          <cell r="BW9">
            <v>240</v>
          </cell>
          <cell r="BX9">
            <v>260</v>
          </cell>
          <cell r="BY9">
            <v>275</v>
          </cell>
          <cell r="BZ9">
            <v>287</v>
          </cell>
          <cell r="CA9">
            <v>295</v>
          </cell>
          <cell r="CB9">
            <v>302</v>
          </cell>
          <cell r="CC9">
            <v>310</v>
          </cell>
          <cell r="CD9">
            <v>315</v>
          </cell>
        </row>
        <row r="10">
          <cell r="C10">
            <v>80</v>
          </cell>
          <cell r="D10">
            <v>90</v>
          </cell>
          <cell r="E10">
            <v>100</v>
          </cell>
          <cell r="F10">
            <v>110</v>
          </cell>
          <cell r="G10">
            <v>115</v>
          </cell>
          <cell r="H10">
            <v>120</v>
          </cell>
          <cell r="I10">
            <v>125</v>
          </cell>
          <cell r="J10">
            <v>130</v>
          </cell>
          <cell r="K10">
            <v>132</v>
          </cell>
          <cell r="L10">
            <v>135</v>
          </cell>
          <cell r="M10">
            <v>90</v>
          </cell>
          <cell r="N10">
            <v>100</v>
          </cell>
          <cell r="O10">
            <v>110</v>
          </cell>
          <cell r="P10">
            <v>120</v>
          </cell>
          <cell r="Q10">
            <v>125</v>
          </cell>
          <cell r="R10">
            <v>130</v>
          </cell>
          <cell r="S10">
            <v>135</v>
          </cell>
          <cell r="T10">
            <v>140</v>
          </cell>
          <cell r="U10">
            <v>145</v>
          </cell>
          <cell r="V10">
            <v>150</v>
          </cell>
          <cell r="W10">
            <v>110</v>
          </cell>
          <cell r="X10">
            <v>120</v>
          </cell>
          <cell r="Y10">
            <v>138</v>
          </cell>
          <cell r="Z10">
            <v>145</v>
          </cell>
          <cell r="AA10">
            <v>155</v>
          </cell>
          <cell r="AB10">
            <v>162</v>
          </cell>
          <cell r="AC10">
            <v>167</v>
          </cell>
          <cell r="AD10">
            <v>172</v>
          </cell>
          <cell r="AE10">
            <v>175</v>
          </cell>
          <cell r="AF10">
            <v>180</v>
          </cell>
          <cell r="AG10">
            <v>125</v>
          </cell>
          <cell r="AH10">
            <v>140</v>
          </cell>
          <cell r="AI10">
            <v>155</v>
          </cell>
          <cell r="AJ10">
            <v>165</v>
          </cell>
          <cell r="AK10">
            <v>175</v>
          </cell>
          <cell r="AL10">
            <v>185</v>
          </cell>
          <cell r="AM10">
            <v>190</v>
          </cell>
          <cell r="AN10">
            <v>192</v>
          </cell>
          <cell r="AO10">
            <v>195</v>
          </cell>
          <cell r="AP10">
            <v>200</v>
          </cell>
          <cell r="AQ10">
            <v>130</v>
          </cell>
          <cell r="AR10">
            <v>150</v>
          </cell>
          <cell r="AS10">
            <v>170</v>
          </cell>
          <cell r="AT10">
            <v>190</v>
          </cell>
          <cell r="AU10">
            <v>200</v>
          </cell>
          <cell r="AV10">
            <v>210</v>
          </cell>
          <cell r="AW10">
            <v>220</v>
          </cell>
          <cell r="AX10">
            <v>225</v>
          </cell>
          <cell r="AY10">
            <v>230</v>
          </cell>
          <cell r="AZ10">
            <v>235</v>
          </cell>
          <cell r="BA10">
            <v>140</v>
          </cell>
          <cell r="BB10">
            <v>170</v>
          </cell>
          <cell r="BC10">
            <v>190</v>
          </cell>
          <cell r="BD10">
            <v>210</v>
          </cell>
          <cell r="BE10">
            <v>220</v>
          </cell>
          <cell r="BF10">
            <v>230</v>
          </cell>
          <cell r="BG10">
            <v>240</v>
          </cell>
          <cell r="BH10">
            <v>250</v>
          </cell>
          <cell r="BI10">
            <v>255</v>
          </cell>
          <cell r="BJ10">
            <v>260</v>
          </cell>
          <cell r="BK10">
            <v>190</v>
          </cell>
          <cell r="BL10">
            <v>210</v>
          </cell>
          <cell r="BM10">
            <v>240</v>
          </cell>
          <cell r="BN10">
            <v>250</v>
          </cell>
          <cell r="BO10">
            <v>270</v>
          </cell>
          <cell r="BP10">
            <v>285</v>
          </cell>
          <cell r="BQ10">
            <v>290</v>
          </cell>
          <cell r="BR10">
            <v>300</v>
          </cell>
          <cell r="BS10">
            <v>305</v>
          </cell>
          <cell r="BT10">
            <v>310</v>
          </cell>
          <cell r="BU10">
            <v>210</v>
          </cell>
          <cell r="BV10">
            <v>235</v>
          </cell>
          <cell r="BW10">
            <v>260</v>
          </cell>
          <cell r="BX10">
            <v>280</v>
          </cell>
          <cell r="BY10">
            <v>295</v>
          </cell>
          <cell r="BZ10">
            <v>310</v>
          </cell>
          <cell r="CA10">
            <v>320</v>
          </cell>
          <cell r="CB10">
            <v>330</v>
          </cell>
          <cell r="CC10">
            <v>335</v>
          </cell>
          <cell r="CD10">
            <v>340</v>
          </cell>
        </row>
        <row r="11">
          <cell r="C11">
            <v>90</v>
          </cell>
          <cell r="D11">
            <v>105</v>
          </cell>
          <cell r="E11">
            <v>115</v>
          </cell>
          <cell r="F11">
            <v>125</v>
          </cell>
          <cell r="G11">
            <v>130</v>
          </cell>
          <cell r="H11">
            <v>135</v>
          </cell>
          <cell r="I11">
            <v>140</v>
          </cell>
          <cell r="J11">
            <v>145</v>
          </cell>
          <cell r="K11">
            <v>147</v>
          </cell>
          <cell r="L11">
            <v>150</v>
          </cell>
          <cell r="M11">
            <v>105</v>
          </cell>
          <cell r="N11">
            <v>115</v>
          </cell>
          <cell r="O11">
            <v>125</v>
          </cell>
          <cell r="P11">
            <v>135</v>
          </cell>
          <cell r="Q11">
            <v>140</v>
          </cell>
          <cell r="R11">
            <v>145</v>
          </cell>
          <cell r="S11">
            <v>150</v>
          </cell>
          <cell r="T11">
            <v>160</v>
          </cell>
          <cell r="U11">
            <v>165</v>
          </cell>
          <cell r="V11">
            <v>170</v>
          </cell>
          <cell r="W11">
            <v>130</v>
          </cell>
          <cell r="X11">
            <v>140</v>
          </cell>
          <cell r="Y11">
            <v>160</v>
          </cell>
          <cell r="Z11">
            <v>165</v>
          </cell>
          <cell r="AA11">
            <v>175</v>
          </cell>
          <cell r="AB11">
            <v>182</v>
          </cell>
          <cell r="AC11">
            <v>187</v>
          </cell>
          <cell r="AD11">
            <v>192</v>
          </cell>
          <cell r="AE11">
            <v>195</v>
          </cell>
          <cell r="AF11">
            <v>200</v>
          </cell>
          <cell r="AG11">
            <v>145</v>
          </cell>
          <cell r="AH11">
            <v>160</v>
          </cell>
          <cell r="AI11">
            <v>175</v>
          </cell>
          <cell r="AJ11">
            <v>185</v>
          </cell>
          <cell r="AK11">
            <v>195</v>
          </cell>
          <cell r="AL11">
            <v>205</v>
          </cell>
          <cell r="AM11">
            <v>210</v>
          </cell>
          <cell r="AN11">
            <v>212</v>
          </cell>
          <cell r="AO11">
            <v>215</v>
          </cell>
          <cell r="AP11">
            <v>220</v>
          </cell>
          <cell r="AQ11">
            <v>145</v>
          </cell>
          <cell r="AR11">
            <v>170</v>
          </cell>
          <cell r="AS11">
            <v>190</v>
          </cell>
          <cell r="AT11">
            <v>210</v>
          </cell>
          <cell r="AU11">
            <v>220</v>
          </cell>
          <cell r="AV11">
            <v>230</v>
          </cell>
          <cell r="AW11">
            <v>240</v>
          </cell>
          <cell r="AX11">
            <v>245</v>
          </cell>
          <cell r="AY11">
            <v>250</v>
          </cell>
          <cell r="AZ11">
            <v>255</v>
          </cell>
          <cell r="BA11">
            <v>155</v>
          </cell>
          <cell r="BB11">
            <v>190</v>
          </cell>
          <cell r="BC11">
            <v>210</v>
          </cell>
          <cell r="BD11">
            <v>230</v>
          </cell>
          <cell r="BE11">
            <v>240</v>
          </cell>
          <cell r="BF11">
            <v>260</v>
          </cell>
          <cell r="BG11">
            <v>270</v>
          </cell>
          <cell r="BH11">
            <v>280</v>
          </cell>
          <cell r="BI11">
            <v>285</v>
          </cell>
          <cell r="BJ11">
            <v>290</v>
          </cell>
          <cell r="BK11">
            <v>210</v>
          </cell>
          <cell r="BL11">
            <v>230</v>
          </cell>
          <cell r="BM11">
            <v>260</v>
          </cell>
          <cell r="BN11">
            <v>275</v>
          </cell>
          <cell r="BO11">
            <v>295</v>
          </cell>
          <cell r="BP11">
            <v>310</v>
          </cell>
          <cell r="BQ11">
            <v>315</v>
          </cell>
          <cell r="BR11">
            <v>325</v>
          </cell>
          <cell r="BS11">
            <v>330</v>
          </cell>
          <cell r="BT11">
            <v>335</v>
          </cell>
          <cell r="BU11">
            <v>230</v>
          </cell>
          <cell r="BV11">
            <v>260</v>
          </cell>
          <cell r="BW11">
            <v>280</v>
          </cell>
          <cell r="BX11">
            <v>300</v>
          </cell>
          <cell r="BY11">
            <v>320</v>
          </cell>
          <cell r="BZ11">
            <v>330</v>
          </cell>
          <cell r="CA11">
            <v>340</v>
          </cell>
          <cell r="CB11">
            <v>350</v>
          </cell>
          <cell r="CC11">
            <v>360</v>
          </cell>
          <cell r="CD11">
            <v>365</v>
          </cell>
        </row>
        <row r="12">
          <cell r="C12">
            <v>175</v>
          </cell>
          <cell r="D12">
            <v>175</v>
          </cell>
          <cell r="E12">
            <v>175</v>
          </cell>
          <cell r="F12">
            <v>190</v>
          </cell>
          <cell r="G12">
            <v>200</v>
          </cell>
          <cell r="H12">
            <v>210</v>
          </cell>
          <cell r="I12">
            <v>225</v>
          </cell>
          <cell r="J12">
            <v>225</v>
          </cell>
          <cell r="K12">
            <v>230</v>
          </cell>
          <cell r="L12">
            <v>230</v>
          </cell>
          <cell r="M12">
            <v>175</v>
          </cell>
          <cell r="N12">
            <v>175</v>
          </cell>
          <cell r="O12">
            <v>175</v>
          </cell>
          <cell r="P12">
            <v>190</v>
          </cell>
          <cell r="Q12">
            <v>200</v>
          </cell>
          <cell r="R12">
            <v>210</v>
          </cell>
          <cell r="S12">
            <v>225</v>
          </cell>
          <cell r="T12">
            <v>225</v>
          </cell>
          <cell r="U12">
            <v>230</v>
          </cell>
          <cell r="V12">
            <v>230</v>
          </cell>
          <cell r="W12">
            <v>175</v>
          </cell>
          <cell r="X12">
            <v>175</v>
          </cell>
          <cell r="Y12">
            <v>190</v>
          </cell>
          <cell r="Z12">
            <v>200</v>
          </cell>
          <cell r="AA12">
            <v>210</v>
          </cell>
          <cell r="AB12">
            <v>225</v>
          </cell>
          <cell r="AC12">
            <v>225</v>
          </cell>
          <cell r="AD12">
            <v>230</v>
          </cell>
          <cell r="AE12">
            <v>230</v>
          </cell>
          <cell r="AF12">
            <v>235</v>
          </cell>
          <cell r="AG12">
            <v>175</v>
          </cell>
          <cell r="AH12">
            <v>175</v>
          </cell>
          <cell r="AI12">
            <v>190</v>
          </cell>
          <cell r="AJ12">
            <v>200</v>
          </cell>
          <cell r="AK12">
            <v>210</v>
          </cell>
          <cell r="AL12">
            <v>225</v>
          </cell>
          <cell r="AM12">
            <v>225</v>
          </cell>
          <cell r="AN12">
            <v>230</v>
          </cell>
          <cell r="AO12">
            <v>230</v>
          </cell>
          <cell r="AP12">
            <v>235</v>
          </cell>
          <cell r="AQ12">
            <v>275</v>
          </cell>
          <cell r="AR12">
            <v>275</v>
          </cell>
          <cell r="AS12">
            <v>275</v>
          </cell>
          <cell r="AT12">
            <v>295</v>
          </cell>
          <cell r="AU12">
            <v>315</v>
          </cell>
          <cell r="AV12">
            <v>335</v>
          </cell>
          <cell r="AW12">
            <v>360</v>
          </cell>
          <cell r="AX12">
            <v>360</v>
          </cell>
          <cell r="AY12">
            <v>380</v>
          </cell>
          <cell r="AZ12">
            <v>380</v>
          </cell>
          <cell r="BA12">
            <v>275</v>
          </cell>
          <cell r="BB12">
            <v>275</v>
          </cell>
          <cell r="BC12">
            <v>275</v>
          </cell>
          <cell r="BD12">
            <v>295</v>
          </cell>
          <cell r="BE12">
            <v>315</v>
          </cell>
          <cell r="BF12">
            <v>335</v>
          </cell>
          <cell r="BG12">
            <v>360</v>
          </cell>
          <cell r="BH12">
            <v>360</v>
          </cell>
          <cell r="BI12">
            <v>380</v>
          </cell>
          <cell r="BJ12">
            <v>380</v>
          </cell>
          <cell r="BK12">
            <v>275</v>
          </cell>
          <cell r="BL12">
            <v>275</v>
          </cell>
          <cell r="BM12">
            <v>295</v>
          </cell>
          <cell r="BN12">
            <v>315</v>
          </cell>
          <cell r="BO12">
            <v>335</v>
          </cell>
          <cell r="BP12">
            <v>360</v>
          </cell>
          <cell r="BQ12">
            <v>360</v>
          </cell>
          <cell r="BR12">
            <v>380</v>
          </cell>
          <cell r="BS12">
            <v>380</v>
          </cell>
          <cell r="BT12">
            <v>385</v>
          </cell>
          <cell r="BU12">
            <v>275</v>
          </cell>
          <cell r="BV12">
            <v>275</v>
          </cell>
          <cell r="BW12">
            <v>295</v>
          </cell>
          <cell r="BX12">
            <v>315</v>
          </cell>
          <cell r="BY12">
            <v>335</v>
          </cell>
          <cell r="BZ12">
            <v>360</v>
          </cell>
          <cell r="CA12">
            <v>360</v>
          </cell>
          <cell r="CB12">
            <v>380</v>
          </cell>
          <cell r="CC12">
            <v>380</v>
          </cell>
          <cell r="CD12">
            <v>385</v>
          </cell>
        </row>
        <row r="15">
          <cell r="B15" t="str">
            <v>MINIME</v>
          </cell>
          <cell r="C15" t="str">
            <v>CADET</v>
          </cell>
          <cell r="D15" t="str">
            <v>CADET</v>
          </cell>
          <cell r="E15" t="str">
            <v>JUNIOR</v>
          </cell>
          <cell r="F15" t="str">
            <v>SENIOR</v>
          </cell>
          <cell r="H15" t="str">
            <v>MINIME</v>
          </cell>
          <cell r="I15" t="str">
            <v>CADETTE</v>
          </cell>
          <cell r="J15" t="str">
            <v>CADETTE</v>
          </cell>
          <cell r="K15" t="str">
            <v>JUNIOR</v>
          </cell>
          <cell r="L15" t="str">
            <v>SENIOR</v>
          </cell>
        </row>
        <row r="16">
          <cell r="A16">
            <v>10</v>
          </cell>
          <cell r="B16" t="str">
            <v>NON</v>
          </cell>
          <cell r="C16" t="str">
            <v>U15 M49</v>
          </cell>
          <cell r="D16" t="str">
            <v>U17 M49</v>
          </cell>
          <cell r="E16" t="str">
            <v>U20 M55</v>
          </cell>
          <cell r="F16" t="str">
            <v>SE M55</v>
          </cell>
          <cell r="G16">
            <v>10</v>
          </cell>
          <cell r="H16" t="str">
            <v>NON</v>
          </cell>
          <cell r="I16" t="str">
            <v>U15 F40</v>
          </cell>
          <cell r="J16" t="str">
            <v>U17 F40</v>
          </cell>
          <cell r="K16" t="str">
            <v>U20 F45</v>
          </cell>
          <cell r="L16" t="str">
            <v>SE F45</v>
          </cell>
        </row>
        <row r="17">
          <cell r="A17">
            <v>35.01</v>
          </cell>
          <cell r="B17" t="str">
            <v>NON</v>
          </cell>
          <cell r="C17" t="str">
            <v>U15 M49</v>
          </cell>
          <cell r="D17" t="str">
            <v>U17 M49</v>
          </cell>
          <cell r="E17" t="str">
            <v>U20 M55</v>
          </cell>
          <cell r="F17" t="str">
            <v>SE M55</v>
          </cell>
          <cell r="G17">
            <v>35.01</v>
          </cell>
          <cell r="H17" t="str">
            <v>NON</v>
          </cell>
          <cell r="I17" t="str">
            <v>U15 F40</v>
          </cell>
          <cell r="J17" t="str">
            <v>U17 F40</v>
          </cell>
          <cell r="K17" t="str">
            <v>U20 F45</v>
          </cell>
          <cell r="L17" t="str">
            <v>SE F45</v>
          </cell>
        </row>
        <row r="18">
          <cell r="A18">
            <v>40.01</v>
          </cell>
          <cell r="B18" t="str">
            <v>NON</v>
          </cell>
          <cell r="C18" t="str">
            <v>U15 M49</v>
          </cell>
          <cell r="D18" t="str">
            <v>U17 M49</v>
          </cell>
          <cell r="E18" t="str">
            <v>U20 M55</v>
          </cell>
          <cell r="F18" t="str">
            <v>SE M55</v>
          </cell>
          <cell r="G18">
            <v>40.01</v>
          </cell>
          <cell r="H18" t="str">
            <v>NON</v>
          </cell>
          <cell r="I18" t="str">
            <v>U15 F45</v>
          </cell>
          <cell r="J18" t="str">
            <v>U17 F45</v>
          </cell>
          <cell r="K18" t="str">
            <v>U20 F45</v>
          </cell>
          <cell r="L18" t="str">
            <v>SE F45</v>
          </cell>
        </row>
        <row r="19">
          <cell r="A19">
            <v>45.01</v>
          </cell>
          <cell r="B19" t="str">
            <v>NON</v>
          </cell>
          <cell r="C19" t="str">
            <v>U15 M49</v>
          </cell>
          <cell r="D19" t="str">
            <v>U17 M49</v>
          </cell>
          <cell r="E19" t="str">
            <v>U20 M55</v>
          </cell>
          <cell r="F19" t="str">
            <v>SE M55</v>
          </cell>
          <cell r="G19">
            <v>45.01</v>
          </cell>
          <cell r="H19" t="str">
            <v>NON</v>
          </cell>
          <cell r="I19" t="str">
            <v>U15 F49</v>
          </cell>
          <cell r="J19" t="str">
            <v>U17 F49</v>
          </cell>
          <cell r="K19" t="str">
            <v>U20 F49</v>
          </cell>
          <cell r="L19" t="str">
            <v>SE F49</v>
          </cell>
        </row>
        <row r="20">
          <cell r="A20">
            <v>49.01</v>
          </cell>
          <cell r="B20" t="str">
            <v>NON</v>
          </cell>
          <cell r="C20" t="str">
            <v>U15 M55</v>
          </cell>
          <cell r="D20" t="str">
            <v>U17 M55</v>
          </cell>
          <cell r="E20" t="str">
            <v>U20 M55</v>
          </cell>
          <cell r="F20" t="str">
            <v>SE M55</v>
          </cell>
          <cell r="G20">
            <v>49.01</v>
          </cell>
          <cell r="H20" t="str">
            <v>NON</v>
          </cell>
          <cell r="I20" t="str">
            <v>U15 F55</v>
          </cell>
          <cell r="J20" t="str">
            <v>U17 F55</v>
          </cell>
          <cell r="K20" t="str">
            <v>U20 F55</v>
          </cell>
          <cell r="L20" t="str">
            <v>SE F55</v>
          </cell>
        </row>
        <row r="21">
          <cell r="A21">
            <v>55.01</v>
          </cell>
          <cell r="B21" t="str">
            <v>NON</v>
          </cell>
          <cell r="C21" t="str">
            <v>U15 M61</v>
          </cell>
          <cell r="D21" t="str">
            <v>U17 M61</v>
          </cell>
          <cell r="E21" t="str">
            <v>U20 M61</v>
          </cell>
          <cell r="F21" t="str">
            <v>SE M61</v>
          </cell>
          <cell r="G21">
            <v>55.01</v>
          </cell>
          <cell r="H21" t="str">
            <v>NON</v>
          </cell>
          <cell r="I21" t="str">
            <v>U15 F59</v>
          </cell>
          <cell r="J21" t="str">
            <v>U17 F59</v>
          </cell>
          <cell r="K21" t="str">
            <v>U20 F59</v>
          </cell>
          <cell r="L21" t="str">
            <v>SE F59</v>
          </cell>
        </row>
        <row r="22">
          <cell r="A22">
            <v>61.01</v>
          </cell>
          <cell r="B22" t="str">
            <v>NON</v>
          </cell>
          <cell r="C22" t="str">
            <v>U15 M67</v>
          </cell>
          <cell r="D22" t="str">
            <v>U17 M67</v>
          </cell>
          <cell r="E22" t="str">
            <v>U20 M67</v>
          </cell>
          <cell r="F22" t="str">
            <v>SE M67</v>
          </cell>
          <cell r="G22">
            <v>59.01</v>
          </cell>
          <cell r="H22" t="str">
            <v>NON</v>
          </cell>
          <cell r="I22" t="str">
            <v>U15 F64</v>
          </cell>
          <cell r="J22" t="str">
            <v>U17 F64</v>
          </cell>
          <cell r="K22" t="str">
            <v>U20 F64</v>
          </cell>
          <cell r="L22" t="str">
            <v>SE F64</v>
          </cell>
        </row>
        <row r="23">
          <cell r="A23">
            <v>67.010000000000005</v>
          </cell>
          <cell r="B23" t="str">
            <v>NON</v>
          </cell>
          <cell r="C23" t="str">
            <v>U15 M73</v>
          </cell>
          <cell r="D23" t="str">
            <v>U17 M73</v>
          </cell>
          <cell r="E23" t="str">
            <v>U20 M73</v>
          </cell>
          <cell r="F23" t="str">
            <v>SE M73</v>
          </cell>
          <cell r="G23">
            <v>64.010000000000005</v>
          </cell>
          <cell r="H23" t="str">
            <v>NON</v>
          </cell>
          <cell r="I23" t="str">
            <v>U15 F71</v>
          </cell>
          <cell r="J23" t="str">
            <v>U17 F71</v>
          </cell>
          <cell r="K23" t="str">
            <v>U20 F71</v>
          </cell>
          <cell r="L23" t="str">
            <v>SE F71</v>
          </cell>
        </row>
        <row r="24">
          <cell r="A24">
            <v>73.010000000000005</v>
          </cell>
          <cell r="B24" t="str">
            <v>NON</v>
          </cell>
          <cell r="C24" t="str">
            <v>U15 M81</v>
          </cell>
          <cell r="D24" t="str">
            <v>U17 M81</v>
          </cell>
          <cell r="E24" t="str">
            <v>U20 M81</v>
          </cell>
          <cell r="F24" t="str">
            <v>SE M81</v>
          </cell>
          <cell r="G24">
            <v>71.010000000000005</v>
          </cell>
          <cell r="H24" t="str">
            <v>NON</v>
          </cell>
          <cell r="I24" t="str">
            <v>U15 F76</v>
          </cell>
          <cell r="J24" t="str">
            <v>U17 F76</v>
          </cell>
          <cell r="K24" t="str">
            <v>U20 F76</v>
          </cell>
          <cell r="L24" t="str">
            <v>SE F76</v>
          </cell>
        </row>
        <row r="25">
          <cell r="A25">
            <v>81.010000000000005</v>
          </cell>
          <cell r="B25" t="str">
            <v>NON</v>
          </cell>
          <cell r="C25" t="str">
            <v>U15 M89</v>
          </cell>
          <cell r="D25" t="str">
            <v>U17 M89</v>
          </cell>
          <cell r="E25" t="str">
            <v>U20 M89</v>
          </cell>
          <cell r="F25" t="str">
            <v>SE M89</v>
          </cell>
          <cell r="G25">
            <v>76.010000000000005</v>
          </cell>
          <cell r="H25" t="str">
            <v>NON</v>
          </cell>
          <cell r="I25" t="str">
            <v>U15 F81</v>
          </cell>
          <cell r="J25" t="str">
            <v>U17 F81</v>
          </cell>
          <cell r="K25" t="str">
            <v>U20 F81</v>
          </cell>
          <cell r="L25" t="str">
            <v>SE F81</v>
          </cell>
        </row>
        <row r="26">
          <cell r="A26">
            <v>89.01</v>
          </cell>
          <cell r="B26" t="str">
            <v>NON</v>
          </cell>
          <cell r="C26" t="str">
            <v>U15 M96</v>
          </cell>
          <cell r="D26" t="str">
            <v>U17 M96</v>
          </cell>
          <cell r="E26" t="str">
            <v>U20 M96</v>
          </cell>
          <cell r="F26" t="str">
            <v>SE M96</v>
          </cell>
          <cell r="G26">
            <v>81.010000000000005</v>
          </cell>
          <cell r="H26" t="str">
            <v>NON</v>
          </cell>
          <cell r="I26" t="str">
            <v>U15 F&gt;81</v>
          </cell>
          <cell r="J26" t="str">
            <v>U17 F&gt;81</v>
          </cell>
          <cell r="K26" t="str">
            <v>U20 F87</v>
          </cell>
          <cell r="L26" t="str">
            <v>SE F87</v>
          </cell>
        </row>
        <row r="27">
          <cell r="A27">
            <v>96.01</v>
          </cell>
          <cell r="B27" t="str">
            <v>NON</v>
          </cell>
          <cell r="C27" t="str">
            <v>U15 M102</v>
          </cell>
          <cell r="D27" t="str">
            <v>U17 M102</v>
          </cell>
          <cell r="E27" t="str">
            <v>U20 M102</v>
          </cell>
          <cell r="F27" t="str">
            <v>SE M102</v>
          </cell>
          <cell r="G27">
            <v>87.01</v>
          </cell>
          <cell r="H27" t="str">
            <v>NON</v>
          </cell>
          <cell r="I27" t="str">
            <v>U15 F&gt;81</v>
          </cell>
          <cell r="J27" t="str">
            <v>U17 F&gt;81</v>
          </cell>
          <cell r="K27" t="str">
            <v>U20 F&gt;87</v>
          </cell>
          <cell r="L27" t="str">
            <v>SE F&gt;87</v>
          </cell>
        </row>
        <row r="28">
          <cell r="A28">
            <v>102.01</v>
          </cell>
          <cell r="B28" t="str">
            <v>NON</v>
          </cell>
          <cell r="C28" t="str">
            <v>U15 M&gt;102</v>
          </cell>
          <cell r="D28" t="str">
            <v>U17 M&gt;102</v>
          </cell>
          <cell r="E28" t="str">
            <v>U20 M109</v>
          </cell>
          <cell r="F28" t="str">
            <v>SE M109</v>
          </cell>
        </row>
        <row r="29">
          <cell r="A29">
            <v>109.1</v>
          </cell>
          <cell r="B29" t="str">
            <v>NON</v>
          </cell>
          <cell r="C29" t="str">
            <v>U15 M&gt;102</v>
          </cell>
          <cell r="D29" t="str">
            <v>U17 M&gt;102</v>
          </cell>
          <cell r="E29" t="str">
            <v>U20 M&gt;109</v>
          </cell>
          <cell r="F29" t="str">
            <v>SE M&gt;109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dets juniors garcons"/>
      <sheetName val="cadette juniors filles "/>
      <sheetName val="Minimas"/>
    </sheetNames>
    <sheetDataSet>
      <sheetData sheetId="0" refreshError="1"/>
      <sheetData sheetId="1" refreshError="1"/>
      <sheetData sheetId="2">
        <row r="15">
          <cell r="B15" t="str">
            <v>MINIME</v>
          </cell>
          <cell r="C15" t="str">
            <v>CADET</v>
          </cell>
          <cell r="D15" t="str">
            <v>CADET</v>
          </cell>
          <cell r="E15" t="str">
            <v>JUNIOR</v>
          </cell>
          <cell r="F15" t="str">
            <v>SENIOR</v>
          </cell>
          <cell r="H15" t="str">
            <v>MINIME</v>
          </cell>
          <cell r="I15" t="str">
            <v>CADETTE</v>
          </cell>
          <cell r="J15" t="str">
            <v>CADETTE</v>
          </cell>
          <cell r="K15" t="str">
            <v>JUNIOR</v>
          </cell>
          <cell r="L15" t="str">
            <v>SENIOR</v>
          </cell>
        </row>
        <row r="16">
          <cell r="A16">
            <v>10</v>
          </cell>
          <cell r="B16" t="str">
            <v>NON</v>
          </cell>
          <cell r="C16" t="str">
            <v>U15 M49</v>
          </cell>
          <cell r="D16" t="str">
            <v>U17 M49</v>
          </cell>
          <cell r="E16" t="str">
            <v>U20 M55</v>
          </cell>
          <cell r="F16" t="str">
            <v>SE M55</v>
          </cell>
          <cell r="G16">
            <v>10</v>
          </cell>
          <cell r="H16" t="str">
            <v>NON</v>
          </cell>
          <cell r="I16" t="str">
            <v>U15 F40</v>
          </cell>
          <cell r="J16" t="str">
            <v>U17 F40</v>
          </cell>
          <cell r="K16" t="str">
            <v>U20 F45</v>
          </cell>
          <cell r="L16" t="str">
            <v>SE F45</v>
          </cell>
        </row>
        <row r="17">
          <cell r="A17">
            <v>35.01</v>
          </cell>
          <cell r="B17" t="str">
            <v>NON</v>
          </cell>
          <cell r="C17" t="str">
            <v>U15 M49</v>
          </cell>
          <cell r="D17" t="str">
            <v>U17 M49</v>
          </cell>
          <cell r="E17" t="str">
            <v>U20 M55</v>
          </cell>
          <cell r="F17" t="str">
            <v>SE M55</v>
          </cell>
          <cell r="G17">
            <v>35.01</v>
          </cell>
          <cell r="H17" t="str">
            <v>NON</v>
          </cell>
          <cell r="I17" t="str">
            <v>U15 F40</v>
          </cell>
          <cell r="J17" t="str">
            <v>U17 F40</v>
          </cell>
          <cell r="K17" t="str">
            <v>U20 F45</v>
          </cell>
          <cell r="L17" t="str">
            <v>SE F45</v>
          </cell>
        </row>
        <row r="18">
          <cell r="A18">
            <v>40.01</v>
          </cell>
          <cell r="B18" t="str">
            <v>NON</v>
          </cell>
          <cell r="C18" t="str">
            <v>U15 M49</v>
          </cell>
          <cell r="D18" t="str">
            <v>U17 M49</v>
          </cell>
          <cell r="E18" t="str">
            <v>U20 M55</v>
          </cell>
          <cell r="F18" t="str">
            <v>SE M55</v>
          </cell>
          <cell r="G18">
            <v>40.01</v>
          </cell>
          <cell r="H18" t="str">
            <v>NON</v>
          </cell>
          <cell r="I18" t="str">
            <v>U15 F45</v>
          </cell>
          <cell r="J18" t="str">
            <v>U17 F45</v>
          </cell>
          <cell r="K18" t="str">
            <v>U20 F45</v>
          </cell>
          <cell r="L18" t="str">
            <v>SE F45</v>
          </cell>
        </row>
        <row r="19">
          <cell r="A19">
            <v>45.01</v>
          </cell>
          <cell r="B19" t="str">
            <v>NON</v>
          </cell>
          <cell r="C19" t="str">
            <v>U15 M49</v>
          </cell>
          <cell r="D19" t="str">
            <v>U17 M49</v>
          </cell>
          <cell r="E19" t="str">
            <v>U20 M55</v>
          </cell>
          <cell r="F19" t="str">
            <v>SE M55</v>
          </cell>
          <cell r="G19">
            <v>45.01</v>
          </cell>
          <cell r="H19" t="str">
            <v>NON</v>
          </cell>
          <cell r="I19" t="str">
            <v>U15 F49</v>
          </cell>
          <cell r="J19" t="str">
            <v>U17 F49</v>
          </cell>
          <cell r="K19" t="str">
            <v>U20 F49</v>
          </cell>
          <cell r="L19" t="str">
            <v>SE F49</v>
          </cell>
        </row>
        <row r="20">
          <cell r="A20">
            <v>49.01</v>
          </cell>
          <cell r="B20" t="str">
            <v>NON</v>
          </cell>
          <cell r="C20" t="str">
            <v>U15 M55</v>
          </cell>
          <cell r="D20" t="str">
            <v>U17 M55</v>
          </cell>
          <cell r="E20" t="str">
            <v>U20 M55</v>
          </cell>
          <cell r="F20" t="str">
            <v>SE M55</v>
          </cell>
          <cell r="G20">
            <v>49.01</v>
          </cell>
          <cell r="H20" t="str">
            <v>NON</v>
          </cell>
          <cell r="I20" t="str">
            <v>U15 F55</v>
          </cell>
          <cell r="J20" t="str">
            <v>U17 F55</v>
          </cell>
          <cell r="K20" t="str">
            <v>U20 F55</v>
          </cell>
          <cell r="L20" t="str">
            <v>SE F55</v>
          </cell>
        </row>
        <row r="21">
          <cell r="A21">
            <v>55.01</v>
          </cell>
          <cell r="B21" t="str">
            <v>NON</v>
          </cell>
          <cell r="C21" t="str">
            <v>U15 M61</v>
          </cell>
          <cell r="D21" t="str">
            <v>U17 M61</v>
          </cell>
          <cell r="E21" t="str">
            <v>U20 M61</v>
          </cell>
          <cell r="F21" t="str">
            <v>SE M61</v>
          </cell>
          <cell r="G21">
            <v>55.01</v>
          </cell>
          <cell r="H21" t="str">
            <v>NON</v>
          </cell>
          <cell r="I21" t="str">
            <v>U15 F59</v>
          </cell>
          <cell r="J21" t="str">
            <v>U17 F59</v>
          </cell>
          <cell r="K21" t="str">
            <v>U20 F59</v>
          </cell>
          <cell r="L21" t="str">
            <v>SE F59</v>
          </cell>
        </row>
        <row r="22">
          <cell r="A22">
            <v>61.01</v>
          </cell>
          <cell r="B22" t="str">
            <v>NON</v>
          </cell>
          <cell r="C22" t="str">
            <v>U15 M67</v>
          </cell>
          <cell r="D22" t="str">
            <v>U17 M67</v>
          </cell>
          <cell r="E22" t="str">
            <v>U20 M67</v>
          </cell>
          <cell r="F22" t="str">
            <v>SE M67</v>
          </cell>
          <cell r="G22">
            <v>59.01</v>
          </cell>
          <cell r="H22" t="str">
            <v>NON</v>
          </cell>
          <cell r="I22" t="str">
            <v>U15 F64</v>
          </cell>
          <cell r="J22" t="str">
            <v>U17 F64</v>
          </cell>
          <cell r="K22" t="str">
            <v>U20 F64</v>
          </cell>
          <cell r="L22" t="str">
            <v>SE F64</v>
          </cell>
        </row>
        <row r="23">
          <cell r="A23">
            <v>67.010000000000005</v>
          </cell>
          <cell r="B23" t="str">
            <v>NON</v>
          </cell>
          <cell r="C23" t="str">
            <v>U15 M73</v>
          </cell>
          <cell r="D23" t="str">
            <v>U17 M73</v>
          </cell>
          <cell r="E23" t="str">
            <v>U20 M73</v>
          </cell>
          <cell r="F23" t="str">
            <v>SE M73</v>
          </cell>
          <cell r="G23">
            <v>64.010000000000005</v>
          </cell>
          <cell r="H23" t="str">
            <v>NON</v>
          </cell>
          <cell r="I23" t="str">
            <v>U15 F71</v>
          </cell>
          <cell r="J23" t="str">
            <v>U17 F71</v>
          </cell>
          <cell r="K23" t="str">
            <v>U20 F71</v>
          </cell>
          <cell r="L23" t="str">
            <v>SE F71</v>
          </cell>
        </row>
        <row r="24">
          <cell r="A24">
            <v>73.010000000000005</v>
          </cell>
          <cell r="B24" t="str">
            <v>NON</v>
          </cell>
          <cell r="C24" t="str">
            <v>U15 M81</v>
          </cell>
          <cell r="D24" t="str">
            <v>U17 M81</v>
          </cell>
          <cell r="E24" t="str">
            <v>U20 M81</v>
          </cell>
          <cell r="F24" t="str">
            <v>SE M81</v>
          </cell>
          <cell r="G24">
            <v>71.010000000000005</v>
          </cell>
          <cell r="H24" t="str">
            <v>NON</v>
          </cell>
          <cell r="I24" t="str">
            <v>U15 F76</v>
          </cell>
          <cell r="J24" t="str">
            <v>U17 F76</v>
          </cell>
          <cell r="K24" t="str">
            <v>U20 F76</v>
          </cell>
          <cell r="L24" t="str">
            <v>SE F76</v>
          </cell>
        </row>
        <row r="25">
          <cell r="A25">
            <v>81.010000000000005</v>
          </cell>
          <cell r="B25" t="str">
            <v>NON</v>
          </cell>
          <cell r="C25" t="str">
            <v>U15 M89</v>
          </cell>
          <cell r="D25" t="str">
            <v>U17 M89</v>
          </cell>
          <cell r="E25" t="str">
            <v>U20 M89</v>
          </cell>
          <cell r="F25" t="str">
            <v>SE M89</v>
          </cell>
          <cell r="G25">
            <v>76.010000000000005</v>
          </cell>
          <cell r="H25" t="str">
            <v>NON</v>
          </cell>
          <cell r="I25" t="str">
            <v>U15 F81</v>
          </cell>
          <cell r="J25" t="str">
            <v>U17 F81</v>
          </cell>
          <cell r="K25" t="str">
            <v>U20 F81</v>
          </cell>
          <cell r="L25" t="str">
            <v>SE F81</v>
          </cell>
        </row>
        <row r="26">
          <cell r="A26">
            <v>89.01</v>
          </cell>
          <cell r="B26" t="str">
            <v>NON</v>
          </cell>
          <cell r="C26" t="str">
            <v>U15 M96</v>
          </cell>
          <cell r="D26" t="str">
            <v>U17 M96</v>
          </cell>
          <cell r="E26" t="str">
            <v>U20 M96</v>
          </cell>
          <cell r="F26" t="str">
            <v>SE M96</v>
          </cell>
          <cell r="G26">
            <v>81.010000000000005</v>
          </cell>
          <cell r="H26" t="str">
            <v>NON</v>
          </cell>
          <cell r="I26" t="str">
            <v>U15 F&gt;81</v>
          </cell>
          <cell r="J26" t="str">
            <v>U17 F&gt;81</v>
          </cell>
          <cell r="K26" t="str">
            <v>U20 F87</v>
          </cell>
          <cell r="L26" t="str">
            <v>SE F87</v>
          </cell>
        </row>
        <row r="27">
          <cell r="A27">
            <v>96.01</v>
          </cell>
          <cell r="B27" t="str">
            <v>NON</v>
          </cell>
          <cell r="C27" t="str">
            <v>U15 M102</v>
          </cell>
          <cell r="D27" t="str">
            <v>U17 M102</v>
          </cell>
          <cell r="E27" t="str">
            <v>U20 M102</v>
          </cell>
          <cell r="F27" t="str">
            <v>SE M102</v>
          </cell>
          <cell r="G27">
            <v>87.01</v>
          </cell>
          <cell r="H27" t="str">
            <v>NON</v>
          </cell>
          <cell r="I27" t="str">
            <v>U15 F&gt;81</v>
          </cell>
          <cell r="J27" t="str">
            <v>U17 F&gt;81</v>
          </cell>
          <cell r="K27" t="str">
            <v>U20 F&gt;87</v>
          </cell>
          <cell r="L27" t="str">
            <v>SE F&gt;87</v>
          </cell>
        </row>
        <row r="28">
          <cell r="A28">
            <v>102.01</v>
          </cell>
          <cell r="B28" t="str">
            <v>NON</v>
          </cell>
          <cell r="C28" t="str">
            <v>U15 M&gt;102</v>
          </cell>
          <cell r="D28" t="str">
            <v>U17 M&gt;102</v>
          </cell>
          <cell r="E28" t="str">
            <v>U20 M109</v>
          </cell>
          <cell r="F28" t="str">
            <v>SE M109</v>
          </cell>
        </row>
        <row r="29">
          <cell r="A29">
            <v>109.1</v>
          </cell>
          <cell r="B29" t="str">
            <v>NON</v>
          </cell>
          <cell r="C29" t="str">
            <v>U15 M&gt;102</v>
          </cell>
          <cell r="D29" t="str">
            <v>U17 M&gt;102</v>
          </cell>
          <cell r="E29" t="str">
            <v>U20 M&gt;109</v>
          </cell>
          <cell r="F29" t="str">
            <v>SE M&gt;109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VIDUEL"/>
      <sheetName val="Minimas"/>
    </sheetNames>
    <sheetDataSet>
      <sheetData sheetId="0" refreshError="1"/>
      <sheetData sheetId="1">
        <row r="15">
          <cell r="B15" t="str">
            <v>MINIME</v>
          </cell>
          <cell r="C15" t="str">
            <v>CADET</v>
          </cell>
          <cell r="D15" t="str">
            <v>CADET</v>
          </cell>
          <cell r="E15" t="str">
            <v>JUNIOR</v>
          </cell>
          <cell r="F15" t="str">
            <v>SENIOR</v>
          </cell>
          <cell r="H15" t="str">
            <v>MINIME</v>
          </cell>
          <cell r="I15" t="str">
            <v>CADETTE</v>
          </cell>
          <cell r="J15" t="str">
            <v>CADETTE</v>
          </cell>
          <cell r="K15" t="str">
            <v>JUNIOR</v>
          </cell>
          <cell r="L15" t="str">
            <v>SENIOR</v>
          </cell>
        </row>
        <row r="16">
          <cell r="A16">
            <v>10</v>
          </cell>
          <cell r="B16" t="str">
            <v>NON</v>
          </cell>
          <cell r="C16" t="str">
            <v>U15 M49</v>
          </cell>
          <cell r="D16" t="str">
            <v>U17 M49</v>
          </cell>
          <cell r="E16" t="str">
            <v>U20 M55</v>
          </cell>
          <cell r="F16" t="str">
            <v>SE M55</v>
          </cell>
          <cell r="G16">
            <v>10</v>
          </cell>
          <cell r="H16" t="str">
            <v>NON</v>
          </cell>
          <cell r="I16" t="str">
            <v>U15 F40</v>
          </cell>
          <cell r="J16" t="str">
            <v>U17 F40</v>
          </cell>
          <cell r="K16" t="str">
            <v>U20 F45</v>
          </cell>
          <cell r="L16" t="str">
            <v>SE F45</v>
          </cell>
        </row>
        <row r="17">
          <cell r="A17">
            <v>35.01</v>
          </cell>
          <cell r="B17" t="str">
            <v>NON</v>
          </cell>
          <cell r="C17" t="str">
            <v>U15 M49</v>
          </cell>
          <cell r="D17" t="str">
            <v>U17 M49</v>
          </cell>
          <cell r="E17" t="str">
            <v>U20 M55</v>
          </cell>
          <cell r="F17" t="str">
            <v>SE M55</v>
          </cell>
          <cell r="G17">
            <v>35.01</v>
          </cell>
          <cell r="H17" t="str">
            <v>NON</v>
          </cell>
          <cell r="I17" t="str">
            <v>U15 F40</v>
          </cell>
          <cell r="J17" t="str">
            <v>U17 F40</v>
          </cell>
          <cell r="K17" t="str">
            <v>U20 F45</v>
          </cell>
          <cell r="L17" t="str">
            <v>SE F45</v>
          </cell>
        </row>
        <row r="18">
          <cell r="A18">
            <v>40.01</v>
          </cell>
          <cell r="B18" t="str">
            <v>NON</v>
          </cell>
          <cell r="C18" t="str">
            <v>U15 M49</v>
          </cell>
          <cell r="D18" t="str">
            <v>U17 M49</v>
          </cell>
          <cell r="E18" t="str">
            <v>U20 M55</v>
          </cell>
          <cell r="F18" t="str">
            <v>SE M55</v>
          </cell>
          <cell r="G18">
            <v>40.01</v>
          </cell>
          <cell r="H18" t="str">
            <v>NON</v>
          </cell>
          <cell r="I18" t="str">
            <v>U15 F45</v>
          </cell>
          <cell r="J18" t="str">
            <v>U17 F45</v>
          </cell>
          <cell r="K18" t="str">
            <v>U20 F45</v>
          </cell>
          <cell r="L18" t="str">
            <v>SE F45</v>
          </cell>
        </row>
        <row r="19">
          <cell r="A19">
            <v>45.01</v>
          </cell>
          <cell r="B19" t="str">
            <v>NON</v>
          </cell>
          <cell r="C19" t="str">
            <v>U15 M49</v>
          </cell>
          <cell r="D19" t="str">
            <v>U17 M49</v>
          </cell>
          <cell r="E19" t="str">
            <v>U20 M55</v>
          </cell>
          <cell r="F19" t="str">
            <v>SE M55</v>
          </cell>
          <cell r="G19">
            <v>45.01</v>
          </cell>
          <cell r="H19" t="str">
            <v>NON</v>
          </cell>
          <cell r="I19" t="str">
            <v>U15 F49</v>
          </cell>
          <cell r="J19" t="str">
            <v>U17 F49</v>
          </cell>
          <cell r="K19" t="str">
            <v>U20 F49</v>
          </cell>
          <cell r="L19" t="str">
            <v>SE F49</v>
          </cell>
        </row>
        <row r="20">
          <cell r="A20">
            <v>49.01</v>
          </cell>
          <cell r="B20" t="str">
            <v>NON</v>
          </cell>
          <cell r="C20" t="str">
            <v>U15 M55</v>
          </cell>
          <cell r="D20" t="str">
            <v>U17 M55</v>
          </cell>
          <cell r="E20" t="str">
            <v>U20 M55</v>
          </cell>
          <cell r="F20" t="str">
            <v>SE M55</v>
          </cell>
          <cell r="G20">
            <v>49.01</v>
          </cell>
          <cell r="H20" t="str">
            <v>NON</v>
          </cell>
          <cell r="I20" t="str">
            <v>U15 F55</v>
          </cell>
          <cell r="J20" t="str">
            <v>U17 F55</v>
          </cell>
          <cell r="K20" t="str">
            <v>U20 F55</v>
          </cell>
          <cell r="L20" t="str">
            <v>SE F55</v>
          </cell>
        </row>
        <row r="21">
          <cell r="A21">
            <v>55.01</v>
          </cell>
          <cell r="B21" t="str">
            <v>NON</v>
          </cell>
          <cell r="C21" t="str">
            <v>U15 M61</v>
          </cell>
          <cell r="D21" t="str">
            <v>U17 M61</v>
          </cell>
          <cell r="E21" t="str">
            <v>U20 M61</v>
          </cell>
          <cell r="F21" t="str">
            <v>SE M61</v>
          </cell>
          <cell r="G21">
            <v>55.01</v>
          </cell>
          <cell r="H21" t="str">
            <v>NON</v>
          </cell>
          <cell r="I21" t="str">
            <v>U15 F59</v>
          </cell>
          <cell r="J21" t="str">
            <v>U17 F59</v>
          </cell>
          <cell r="K21" t="str">
            <v>U20 F59</v>
          </cell>
          <cell r="L21" t="str">
            <v>SE F59</v>
          </cell>
        </row>
        <row r="22">
          <cell r="A22">
            <v>61.01</v>
          </cell>
          <cell r="B22" t="str">
            <v>NON</v>
          </cell>
          <cell r="C22" t="str">
            <v>U15 M67</v>
          </cell>
          <cell r="D22" t="str">
            <v>U17 M67</v>
          </cell>
          <cell r="E22" t="str">
            <v>U20 M67</v>
          </cell>
          <cell r="F22" t="str">
            <v>SE M67</v>
          </cell>
          <cell r="G22">
            <v>59.01</v>
          </cell>
          <cell r="H22" t="str">
            <v>NON</v>
          </cell>
          <cell r="I22" t="str">
            <v>U15 F64</v>
          </cell>
          <cell r="J22" t="str">
            <v>U17 F64</v>
          </cell>
          <cell r="K22" t="str">
            <v>U20 F64</v>
          </cell>
          <cell r="L22" t="str">
            <v>SE F64</v>
          </cell>
        </row>
        <row r="23">
          <cell r="A23">
            <v>67.010000000000005</v>
          </cell>
          <cell r="B23" t="str">
            <v>NON</v>
          </cell>
          <cell r="C23" t="str">
            <v>U15 M73</v>
          </cell>
          <cell r="D23" t="str">
            <v>U17 M73</v>
          </cell>
          <cell r="E23" t="str">
            <v>U20 M73</v>
          </cell>
          <cell r="F23" t="str">
            <v>SE M73</v>
          </cell>
          <cell r="G23">
            <v>64.010000000000005</v>
          </cell>
          <cell r="H23" t="str">
            <v>NON</v>
          </cell>
          <cell r="I23" t="str">
            <v>U15 F71</v>
          </cell>
          <cell r="J23" t="str">
            <v>U17 F71</v>
          </cell>
          <cell r="K23" t="str">
            <v>U20 F71</v>
          </cell>
          <cell r="L23" t="str">
            <v>SE F71</v>
          </cell>
        </row>
        <row r="24">
          <cell r="A24">
            <v>73.010000000000005</v>
          </cell>
          <cell r="B24" t="str">
            <v>NON</v>
          </cell>
          <cell r="C24" t="str">
            <v>U15 M81</v>
          </cell>
          <cell r="D24" t="str">
            <v>U17 M81</v>
          </cell>
          <cell r="E24" t="str">
            <v>U20 M81</v>
          </cell>
          <cell r="F24" t="str">
            <v>SE M81</v>
          </cell>
          <cell r="G24">
            <v>71.010000000000005</v>
          </cell>
          <cell r="H24" t="str">
            <v>NON</v>
          </cell>
          <cell r="I24" t="str">
            <v>U15 F76</v>
          </cell>
          <cell r="J24" t="str">
            <v>U17 F76</v>
          </cell>
          <cell r="K24" t="str">
            <v>U20 F76</v>
          </cell>
          <cell r="L24" t="str">
            <v>SE F76</v>
          </cell>
        </row>
        <row r="25">
          <cell r="A25">
            <v>81.010000000000005</v>
          </cell>
          <cell r="B25" t="str">
            <v>NON</v>
          </cell>
          <cell r="C25" t="str">
            <v>U15 M89</v>
          </cell>
          <cell r="D25" t="str">
            <v>U17 M89</v>
          </cell>
          <cell r="E25" t="str">
            <v>U20 M89</v>
          </cell>
          <cell r="F25" t="str">
            <v>SE M89</v>
          </cell>
          <cell r="G25">
            <v>76.010000000000005</v>
          </cell>
          <cell r="H25" t="str">
            <v>NON</v>
          </cell>
          <cell r="I25" t="str">
            <v>U15 F81</v>
          </cell>
          <cell r="J25" t="str">
            <v>U17 F81</v>
          </cell>
          <cell r="K25" t="str">
            <v>U20 F81</v>
          </cell>
          <cell r="L25" t="str">
            <v>SE F81</v>
          </cell>
        </row>
        <row r="26">
          <cell r="A26">
            <v>89.01</v>
          </cell>
          <cell r="B26" t="str">
            <v>NON</v>
          </cell>
          <cell r="C26" t="str">
            <v>U15 M96</v>
          </cell>
          <cell r="D26" t="str">
            <v>U17 M96</v>
          </cell>
          <cell r="E26" t="str">
            <v>U20 M96</v>
          </cell>
          <cell r="F26" t="str">
            <v>SE M96</v>
          </cell>
          <cell r="G26">
            <v>81.010000000000005</v>
          </cell>
          <cell r="H26" t="str">
            <v>NON</v>
          </cell>
          <cell r="I26" t="str">
            <v>U15 F&gt;81</v>
          </cell>
          <cell r="J26" t="str">
            <v>U17 F&gt;81</v>
          </cell>
          <cell r="K26" t="str">
            <v>U20 F87</v>
          </cell>
          <cell r="L26" t="str">
            <v>SE F87</v>
          </cell>
        </row>
        <row r="27">
          <cell r="A27">
            <v>96.01</v>
          </cell>
          <cell r="B27" t="str">
            <v>NON</v>
          </cell>
          <cell r="C27" t="str">
            <v>U15 M102</v>
          </cell>
          <cell r="D27" t="str">
            <v>U17 M102</v>
          </cell>
          <cell r="E27" t="str">
            <v>U20 M102</v>
          </cell>
          <cell r="F27" t="str">
            <v>SE M102</v>
          </cell>
          <cell r="G27">
            <v>87.01</v>
          </cell>
          <cell r="H27" t="str">
            <v>NON</v>
          </cell>
          <cell r="I27" t="str">
            <v>U15 F&gt;81</v>
          </cell>
          <cell r="J27" t="str">
            <v>U17 F&gt;81</v>
          </cell>
          <cell r="K27" t="str">
            <v>U20 F&gt;87</v>
          </cell>
          <cell r="L27" t="str">
            <v>SE F&gt;87</v>
          </cell>
        </row>
        <row r="28">
          <cell r="A28">
            <v>102.01</v>
          </cell>
          <cell r="B28" t="str">
            <v>NON</v>
          </cell>
          <cell r="C28" t="str">
            <v>U15 M&gt;102</v>
          </cell>
          <cell r="D28" t="str">
            <v>U17 M&gt;102</v>
          </cell>
          <cell r="E28" t="str">
            <v>U20 M109</v>
          </cell>
          <cell r="F28" t="str">
            <v>SE M109</v>
          </cell>
        </row>
        <row r="29">
          <cell r="A29">
            <v>109.1</v>
          </cell>
          <cell r="B29" t="str">
            <v>NON</v>
          </cell>
          <cell r="C29" t="str">
            <v>U15 M&gt;102</v>
          </cell>
          <cell r="D29" t="str">
            <v>U17 M&gt;102</v>
          </cell>
          <cell r="E29" t="str">
            <v>U20 M&gt;109</v>
          </cell>
          <cell r="F29" t="str">
            <v>SE M&gt;109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VIDUEL (6)"/>
      <sheetName val="-49 -55 -59 FEMININ"/>
      <sheetName val="-89 ET PLUS MASC"/>
      <sheetName val="-61 -73 -81 MASCULINS"/>
      <sheetName val="-64 FEMININ U20 MAS"/>
      <sheetName val="U17 U20 F U15 U17 M"/>
      <sheetName val="Minim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3">
          <cell r="C3" t="str">
            <v>U15 F40</v>
          </cell>
          <cell r="D3" t="str">
            <v>U15 F45</v>
          </cell>
          <cell r="E3" t="str">
            <v>U15 F49</v>
          </cell>
          <cell r="F3" t="str">
            <v>U15 F55</v>
          </cell>
          <cell r="G3" t="str">
            <v>U15 F59</v>
          </cell>
          <cell r="H3" t="str">
            <v>U15 F64</v>
          </cell>
          <cell r="I3" t="str">
            <v>U15 F71</v>
          </cell>
          <cell r="J3" t="str">
            <v>U15 F76</v>
          </cell>
          <cell r="K3" t="str">
            <v>U15 F81</v>
          </cell>
          <cell r="L3" t="str">
            <v>U15 F&gt;81</v>
          </cell>
          <cell r="M3" t="str">
            <v>U17 F40</v>
          </cell>
          <cell r="N3" t="str">
            <v>U17 F45</v>
          </cell>
          <cell r="O3" t="str">
            <v>U17 F49</v>
          </cell>
          <cell r="P3" t="str">
            <v>U17 F55</v>
          </cell>
          <cell r="Q3" t="str">
            <v>U17 F59</v>
          </cell>
          <cell r="R3" t="str">
            <v>U17 F64</v>
          </cell>
          <cell r="S3" t="str">
            <v>U17 F71</v>
          </cell>
          <cell r="T3" t="str">
            <v>U17 F76</v>
          </cell>
          <cell r="U3" t="str">
            <v>U17 F81</v>
          </cell>
          <cell r="V3" t="str">
            <v>U17 F&gt;81</v>
          </cell>
          <cell r="W3" t="str">
            <v>U20 F45</v>
          </cell>
          <cell r="X3" t="str">
            <v>U20 F49</v>
          </cell>
          <cell r="Y3" t="str">
            <v>U20 F55</v>
          </cell>
          <cell r="Z3" t="str">
            <v>U20 F59</v>
          </cell>
          <cell r="AA3" t="str">
            <v>U20 F64</v>
          </cell>
          <cell r="AB3" t="str">
            <v>U20 F71</v>
          </cell>
          <cell r="AC3" t="str">
            <v>U20 F76</v>
          </cell>
          <cell r="AD3" t="str">
            <v>U20 F81</v>
          </cell>
          <cell r="AE3" t="str">
            <v>U20 F87</v>
          </cell>
          <cell r="AF3" t="str">
            <v>U20 F&gt;87</v>
          </cell>
          <cell r="AG3" t="str">
            <v>SE F45</v>
          </cell>
          <cell r="AH3" t="str">
            <v>SE F49</v>
          </cell>
          <cell r="AI3" t="str">
            <v>SE F55</v>
          </cell>
          <cell r="AJ3" t="str">
            <v>SE F59</v>
          </cell>
          <cell r="AK3" t="str">
            <v>SE F64</v>
          </cell>
          <cell r="AL3" t="str">
            <v>SE F71</v>
          </cell>
          <cell r="AM3" t="str">
            <v>SE F76</v>
          </cell>
          <cell r="AN3" t="str">
            <v>SE F81</v>
          </cell>
          <cell r="AO3" t="str">
            <v>SE F87</v>
          </cell>
          <cell r="AP3" t="str">
            <v>SE F&gt;87</v>
          </cell>
          <cell r="AQ3" t="str">
            <v>U15 M49</v>
          </cell>
          <cell r="AR3" t="str">
            <v>U15 M55</v>
          </cell>
          <cell r="AS3" t="str">
            <v>U15 M61</v>
          </cell>
          <cell r="AT3" t="str">
            <v>U15 M67</v>
          </cell>
          <cell r="AU3" t="str">
            <v>U15 M73</v>
          </cell>
          <cell r="AV3" t="str">
            <v>U15 M81</v>
          </cell>
          <cell r="AW3" t="str">
            <v>U15 M89</v>
          </cell>
          <cell r="AX3" t="str">
            <v>U15 M96</v>
          </cell>
          <cell r="AY3" t="str">
            <v>U15 M102</v>
          </cell>
          <cell r="AZ3" t="str">
            <v>U15 M&gt;102</v>
          </cell>
          <cell r="BA3" t="str">
            <v>U17 M49</v>
          </cell>
          <cell r="BB3" t="str">
            <v>U17 M55</v>
          </cell>
          <cell r="BC3" t="str">
            <v>U17 M61</v>
          </cell>
          <cell r="BD3" t="str">
            <v>U17 M67</v>
          </cell>
          <cell r="BE3" t="str">
            <v>U17 M73</v>
          </cell>
          <cell r="BF3" t="str">
            <v>U17 M81</v>
          </cell>
          <cell r="BG3" t="str">
            <v>U17 M89</v>
          </cell>
          <cell r="BH3" t="str">
            <v>U17 M96</v>
          </cell>
          <cell r="BI3" t="str">
            <v>U17 M102</v>
          </cell>
          <cell r="BJ3" t="str">
            <v>U17 M&gt;102</v>
          </cell>
          <cell r="BK3" t="str">
            <v>U20 M55</v>
          </cell>
          <cell r="BL3" t="str">
            <v>U20 M61</v>
          </cell>
          <cell r="BM3" t="str">
            <v>U20 M67</v>
          </cell>
          <cell r="BN3" t="str">
            <v>U20 M73</v>
          </cell>
          <cell r="BO3" t="str">
            <v>U20 M81</v>
          </cell>
          <cell r="BP3" t="str">
            <v>U20 M89</v>
          </cell>
          <cell r="BQ3" t="str">
            <v>U20 M96</v>
          </cell>
          <cell r="BR3" t="str">
            <v>U20 M102</v>
          </cell>
          <cell r="BS3" t="str">
            <v>U20 M109</v>
          </cell>
          <cell r="BT3" t="str">
            <v>U20 M&gt;109</v>
          </cell>
          <cell r="BU3" t="str">
            <v>SE M55</v>
          </cell>
          <cell r="BV3" t="str">
            <v>SE M61</v>
          </cell>
          <cell r="BW3" t="str">
            <v>SE M67</v>
          </cell>
          <cell r="BX3" t="str">
            <v>SE M73</v>
          </cell>
          <cell r="BY3" t="str">
            <v>SE M81</v>
          </cell>
          <cell r="BZ3" t="str">
            <v>SE M89</v>
          </cell>
          <cell r="CA3" t="str">
            <v>SE M96</v>
          </cell>
          <cell r="CB3" t="str">
            <v>SE M102</v>
          </cell>
          <cell r="CC3" t="str">
            <v>SE M109</v>
          </cell>
          <cell r="CD3" t="str">
            <v>SE M&gt;109</v>
          </cell>
        </row>
        <row r="4">
          <cell r="C4">
            <v>20</v>
          </cell>
          <cell r="D4">
            <v>25</v>
          </cell>
          <cell r="E4">
            <v>30</v>
          </cell>
          <cell r="F4">
            <v>35</v>
          </cell>
          <cell r="G4">
            <v>40</v>
          </cell>
          <cell r="H4">
            <v>45</v>
          </cell>
          <cell r="I4">
            <v>50</v>
          </cell>
          <cell r="J4">
            <v>55</v>
          </cell>
          <cell r="K4">
            <v>57</v>
          </cell>
          <cell r="L4">
            <v>60</v>
          </cell>
          <cell r="M4">
            <v>30</v>
          </cell>
          <cell r="N4">
            <v>35</v>
          </cell>
          <cell r="O4">
            <v>40</v>
          </cell>
          <cell r="P4">
            <v>45</v>
          </cell>
          <cell r="Q4">
            <v>50</v>
          </cell>
          <cell r="R4">
            <v>55</v>
          </cell>
          <cell r="S4">
            <v>60</v>
          </cell>
          <cell r="T4">
            <v>65</v>
          </cell>
          <cell r="U4">
            <v>67</v>
          </cell>
          <cell r="V4">
            <v>70</v>
          </cell>
          <cell r="W4">
            <v>40</v>
          </cell>
          <cell r="X4">
            <v>45</v>
          </cell>
          <cell r="Y4">
            <v>50</v>
          </cell>
          <cell r="Z4">
            <v>55</v>
          </cell>
          <cell r="AA4">
            <v>60</v>
          </cell>
          <cell r="AB4">
            <v>65</v>
          </cell>
          <cell r="AC4">
            <v>70</v>
          </cell>
          <cell r="AD4">
            <v>75</v>
          </cell>
          <cell r="AE4">
            <v>77</v>
          </cell>
          <cell r="AF4">
            <v>80</v>
          </cell>
          <cell r="AG4">
            <v>50</v>
          </cell>
          <cell r="AH4">
            <v>55</v>
          </cell>
          <cell r="AI4">
            <v>60</v>
          </cell>
          <cell r="AJ4">
            <v>65</v>
          </cell>
          <cell r="AK4">
            <v>70</v>
          </cell>
          <cell r="AL4">
            <v>75</v>
          </cell>
          <cell r="AM4">
            <v>80</v>
          </cell>
          <cell r="AN4">
            <v>85</v>
          </cell>
          <cell r="AO4">
            <v>87</v>
          </cell>
          <cell r="AP4">
            <v>90</v>
          </cell>
          <cell r="AQ4">
            <v>40</v>
          </cell>
          <cell r="AR4">
            <v>55</v>
          </cell>
          <cell r="AS4">
            <v>65</v>
          </cell>
          <cell r="AT4">
            <v>75</v>
          </cell>
          <cell r="AU4">
            <v>80</v>
          </cell>
          <cell r="AV4">
            <v>85</v>
          </cell>
          <cell r="AW4">
            <v>90</v>
          </cell>
          <cell r="AX4">
            <v>95</v>
          </cell>
          <cell r="AY4">
            <v>100</v>
          </cell>
          <cell r="AZ4">
            <v>105</v>
          </cell>
          <cell r="BA4">
            <v>50</v>
          </cell>
          <cell r="BB4">
            <v>65</v>
          </cell>
          <cell r="BC4">
            <v>80</v>
          </cell>
          <cell r="BD4">
            <v>90</v>
          </cell>
          <cell r="BE4">
            <v>100</v>
          </cell>
          <cell r="BF4">
            <v>110</v>
          </cell>
          <cell r="BG4">
            <v>115</v>
          </cell>
          <cell r="BH4">
            <v>120</v>
          </cell>
          <cell r="BI4">
            <v>125</v>
          </cell>
          <cell r="BJ4">
            <v>130</v>
          </cell>
          <cell r="BK4">
            <v>80</v>
          </cell>
          <cell r="BL4">
            <v>95</v>
          </cell>
          <cell r="BM4">
            <v>105</v>
          </cell>
          <cell r="BN4">
            <v>120</v>
          </cell>
          <cell r="BO4">
            <v>130</v>
          </cell>
          <cell r="BP4">
            <v>135</v>
          </cell>
          <cell r="BQ4">
            <v>140</v>
          </cell>
          <cell r="BR4">
            <v>145</v>
          </cell>
          <cell r="BS4">
            <v>150</v>
          </cell>
          <cell r="BT4">
            <v>155</v>
          </cell>
          <cell r="BU4">
            <v>95</v>
          </cell>
          <cell r="BV4">
            <v>110</v>
          </cell>
          <cell r="BW4">
            <v>125</v>
          </cell>
          <cell r="BX4">
            <v>135</v>
          </cell>
          <cell r="BY4">
            <v>145</v>
          </cell>
          <cell r="BZ4">
            <v>150</v>
          </cell>
          <cell r="CA4">
            <v>155</v>
          </cell>
          <cell r="CB4">
            <v>160</v>
          </cell>
          <cell r="CC4">
            <v>165</v>
          </cell>
          <cell r="CD4">
            <v>170</v>
          </cell>
        </row>
        <row r="5">
          <cell r="C5">
            <v>25</v>
          </cell>
          <cell r="D5">
            <v>35</v>
          </cell>
          <cell r="E5">
            <v>40</v>
          </cell>
          <cell r="F5">
            <v>45</v>
          </cell>
          <cell r="G5">
            <v>50</v>
          </cell>
          <cell r="H5">
            <v>55</v>
          </cell>
          <cell r="I5">
            <v>60</v>
          </cell>
          <cell r="J5">
            <v>65</v>
          </cell>
          <cell r="K5">
            <v>67</v>
          </cell>
          <cell r="L5">
            <v>70</v>
          </cell>
          <cell r="M5">
            <v>35</v>
          </cell>
          <cell r="N5">
            <v>42</v>
          </cell>
          <cell r="O5">
            <v>50</v>
          </cell>
          <cell r="P5">
            <v>55</v>
          </cell>
          <cell r="Q5">
            <v>60</v>
          </cell>
          <cell r="R5">
            <v>65</v>
          </cell>
          <cell r="S5">
            <v>70</v>
          </cell>
          <cell r="T5">
            <v>75</v>
          </cell>
          <cell r="U5">
            <v>77</v>
          </cell>
          <cell r="V5">
            <v>80</v>
          </cell>
          <cell r="W5">
            <v>50</v>
          </cell>
          <cell r="X5">
            <v>55</v>
          </cell>
          <cell r="Y5">
            <v>62</v>
          </cell>
          <cell r="Z5">
            <v>70</v>
          </cell>
          <cell r="AA5">
            <v>75</v>
          </cell>
          <cell r="AB5">
            <v>80</v>
          </cell>
          <cell r="AC5">
            <v>85</v>
          </cell>
          <cell r="AD5">
            <v>90</v>
          </cell>
          <cell r="AE5">
            <v>92</v>
          </cell>
          <cell r="AF5">
            <v>95</v>
          </cell>
          <cell r="AG5">
            <v>60</v>
          </cell>
          <cell r="AH5">
            <v>67</v>
          </cell>
          <cell r="AI5">
            <v>75</v>
          </cell>
          <cell r="AJ5">
            <v>80</v>
          </cell>
          <cell r="AK5">
            <v>85</v>
          </cell>
          <cell r="AL5">
            <v>90</v>
          </cell>
          <cell r="AM5">
            <v>95</v>
          </cell>
          <cell r="AN5">
            <v>100</v>
          </cell>
          <cell r="AO5">
            <v>102</v>
          </cell>
          <cell r="AP5">
            <v>105</v>
          </cell>
          <cell r="AQ5">
            <v>55</v>
          </cell>
          <cell r="AR5">
            <v>70</v>
          </cell>
          <cell r="AS5">
            <v>80</v>
          </cell>
          <cell r="AT5">
            <v>95</v>
          </cell>
          <cell r="AU5">
            <v>100</v>
          </cell>
          <cell r="AV5">
            <v>105</v>
          </cell>
          <cell r="AW5">
            <v>110</v>
          </cell>
          <cell r="AX5">
            <v>115</v>
          </cell>
          <cell r="AY5">
            <v>120</v>
          </cell>
          <cell r="AZ5">
            <v>125</v>
          </cell>
          <cell r="BA5">
            <v>65</v>
          </cell>
          <cell r="BB5">
            <v>85</v>
          </cell>
          <cell r="BC5">
            <v>100</v>
          </cell>
          <cell r="BD5">
            <v>110</v>
          </cell>
          <cell r="BE5">
            <v>120</v>
          </cell>
          <cell r="BF5">
            <v>130</v>
          </cell>
          <cell r="BG5">
            <v>135</v>
          </cell>
          <cell r="BH5">
            <v>140</v>
          </cell>
          <cell r="BI5">
            <v>145</v>
          </cell>
          <cell r="BJ5">
            <v>150</v>
          </cell>
          <cell r="BK5">
            <v>100</v>
          </cell>
          <cell r="BL5">
            <v>115</v>
          </cell>
          <cell r="BM5">
            <v>125</v>
          </cell>
          <cell r="BN5">
            <v>140</v>
          </cell>
          <cell r="BO5">
            <v>150</v>
          </cell>
          <cell r="BP5">
            <v>160</v>
          </cell>
          <cell r="BQ5">
            <v>165</v>
          </cell>
          <cell r="BR5">
            <v>170</v>
          </cell>
          <cell r="BS5">
            <v>175</v>
          </cell>
          <cell r="BT5">
            <v>180</v>
          </cell>
          <cell r="BU5">
            <v>115</v>
          </cell>
          <cell r="BV5">
            <v>130</v>
          </cell>
          <cell r="BW5">
            <v>145</v>
          </cell>
          <cell r="BX5">
            <v>160</v>
          </cell>
          <cell r="BY5">
            <v>170</v>
          </cell>
          <cell r="BZ5">
            <v>175</v>
          </cell>
          <cell r="CA5">
            <v>180</v>
          </cell>
          <cell r="CB5">
            <v>185</v>
          </cell>
          <cell r="CC5">
            <v>190</v>
          </cell>
          <cell r="CD5">
            <v>195</v>
          </cell>
        </row>
        <row r="6">
          <cell r="C6">
            <v>35</v>
          </cell>
          <cell r="D6">
            <v>45</v>
          </cell>
          <cell r="E6">
            <v>50</v>
          </cell>
          <cell r="F6">
            <v>57</v>
          </cell>
          <cell r="G6">
            <v>62</v>
          </cell>
          <cell r="H6">
            <v>67</v>
          </cell>
          <cell r="I6">
            <v>72</v>
          </cell>
          <cell r="J6">
            <v>75</v>
          </cell>
          <cell r="K6">
            <v>77</v>
          </cell>
          <cell r="L6">
            <v>80</v>
          </cell>
          <cell r="M6">
            <v>45</v>
          </cell>
          <cell r="N6">
            <v>50</v>
          </cell>
          <cell r="O6">
            <v>57</v>
          </cell>
          <cell r="P6">
            <v>65</v>
          </cell>
          <cell r="Q6">
            <v>70</v>
          </cell>
          <cell r="R6">
            <v>75</v>
          </cell>
          <cell r="S6">
            <v>80</v>
          </cell>
          <cell r="T6">
            <v>85</v>
          </cell>
          <cell r="U6">
            <v>90</v>
          </cell>
          <cell r="V6">
            <v>95</v>
          </cell>
          <cell r="W6">
            <v>60</v>
          </cell>
          <cell r="X6">
            <v>65</v>
          </cell>
          <cell r="Y6">
            <v>75</v>
          </cell>
          <cell r="Z6">
            <v>82</v>
          </cell>
          <cell r="AA6">
            <v>90</v>
          </cell>
          <cell r="AB6">
            <v>95</v>
          </cell>
          <cell r="AC6">
            <v>100</v>
          </cell>
          <cell r="AD6">
            <v>105</v>
          </cell>
          <cell r="AE6">
            <v>107</v>
          </cell>
          <cell r="AF6">
            <v>110</v>
          </cell>
          <cell r="AG6">
            <v>70</v>
          </cell>
          <cell r="AH6">
            <v>80</v>
          </cell>
          <cell r="AI6">
            <v>87</v>
          </cell>
          <cell r="AJ6">
            <v>92</v>
          </cell>
          <cell r="AK6">
            <v>100</v>
          </cell>
          <cell r="AL6">
            <v>107</v>
          </cell>
          <cell r="AM6">
            <v>115</v>
          </cell>
          <cell r="AN6">
            <v>120</v>
          </cell>
          <cell r="AO6">
            <v>122</v>
          </cell>
          <cell r="AP6">
            <v>125</v>
          </cell>
          <cell r="AQ6">
            <v>70</v>
          </cell>
          <cell r="AR6">
            <v>85</v>
          </cell>
          <cell r="AS6">
            <v>100</v>
          </cell>
          <cell r="AT6">
            <v>110</v>
          </cell>
          <cell r="AU6">
            <v>120</v>
          </cell>
          <cell r="AV6">
            <v>130</v>
          </cell>
          <cell r="AW6">
            <v>135</v>
          </cell>
          <cell r="AX6">
            <v>140</v>
          </cell>
          <cell r="AY6">
            <v>145</v>
          </cell>
          <cell r="AZ6">
            <v>150</v>
          </cell>
          <cell r="BA6">
            <v>80</v>
          </cell>
          <cell r="BB6">
            <v>100</v>
          </cell>
          <cell r="BC6">
            <v>120</v>
          </cell>
          <cell r="BD6">
            <v>130</v>
          </cell>
          <cell r="BE6">
            <v>140</v>
          </cell>
          <cell r="BF6">
            <v>150</v>
          </cell>
          <cell r="BG6">
            <v>160</v>
          </cell>
          <cell r="BH6">
            <v>165</v>
          </cell>
          <cell r="BI6">
            <v>170</v>
          </cell>
          <cell r="BJ6">
            <v>175</v>
          </cell>
          <cell r="BK6">
            <v>115</v>
          </cell>
          <cell r="BL6">
            <v>130</v>
          </cell>
          <cell r="BM6">
            <v>150</v>
          </cell>
          <cell r="BN6">
            <v>160</v>
          </cell>
          <cell r="BO6">
            <v>170</v>
          </cell>
          <cell r="BP6">
            <v>180</v>
          </cell>
          <cell r="BQ6">
            <v>185</v>
          </cell>
          <cell r="BR6">
            <v>190</v>
          </cell>
          <cell r="BS6">
            <v>195</v>
          </cell>
          <cell r="BT6">
            <v>200</v>
          </cell>
          <cell r="BU6">
            <v>130</v>
          </cell>
          <cell r="BV6">
            <v>150</v>
          </cell>
          <cell r="BW6">
            <v>170</v>
          </cell>
          <cell r="BX6">
            <v>185</v>
          </cell>
          <cell r="BY6">
            <v>195</v>
          </cell>
          <cell r="BZ6">
            <v>200</v>
          </cell>
          <cell r="CA6">
            <v>205</v>
          </cell>
          <cell r="CB6">
            <v>210</v>
          </cell>
          <cell r="CC6">
            <v>215</v>
          </cell>
          <cell r="CD6">
            <v>220</v>
          </cell>
        </row>
        <row r="7">
          <cell r="C7">
            <v>45</v>
          </cell>
          <cell r="D7">
            <v>55</v>
          </cell>
          <cell r="E7">
            <v>60</v>
          </cell>
          <cell r="F7">
            <v>67</v>
          </cell>
          <cell r="G7">
            <v>72</v>
          </cell>
          <cell r="H7">
            <v>77</v>
          </cell>
          <cell r="I7">
            <v>82</v>
          </cell>
          <cell r="J7">
            <v>85</v>
          </cell>
          <cell r="K7">
            <v>87</v>
          </cell>
          <cell r="L7">
            <v>90</v>
          </cell>
          <cell r="M7">
            <v>55</v>
          </cell>
          <cell r="N7">
            <v>60</v>
          </cell>
          <cell r="O7">
            <v>67</v>
          </cell>
          <cell r="P7">
            <v>77</v>
          </cell>
          <cell r="Q7">
            <v>82</v>
          </cell>
          <cell r="R7">
            <v>87</v>
          </cell>
          <cell r="S7">
            <v>92</v>
          </cell>
          <cell r="T7">
            <v>97</v>
          </cell>
          <cell r="U7">
            <v>100</v>
          </cell>
          <cell r="V7">
            <v>105</v>
          </cell>
          <cell r="W7">
            <v>70</v>
          </cell>
          <cell r="X7">
            <v>77</v>
          </cell>
          <cell r="Y7">
            <v>87</v>
          </cell>
          <cell r="Z7">
            <v>95</v>
          </cell>
          <cell r="AA7">
            <v>105</v>
          </cell>
          <cell r="AB7">
            <v>110</v>
          </cell>
          <cell r="AC7">
            <v>115</v>
          </cell>
          <cell r="AD7">
            <v>120</v>
          </cell>
          <cell r="AE7">
            <v>122</v>
          </cell>
          <cell r="AF7">
            <v>125</v>
          </cell>
          <cell r="AG7">
            <v>82</v>
          </cell>
          <cell r="AH7">
            <v>92</v>
          </cell>
          <cell r="AI7">
            <v>102</v>
          </cell>
          <cell r="AJ7">
            <v>107</v>
          </cell>
          <cell r="AK7">
            <v>117</v>
          </cell>
          <cell r="AL7">
            <v>122</v>
          </cell>
          <cell r="AM7">
            <v>130</v>
          </cell>
          <cell r="AN7">
            <v>135</v>
          </cell>
          <cell r="AO7">
            <v>137</v>
          </cell>
          <cell r="AP7">
            <v>140</v>
          </cell>
          <cell r="AQ7">
            <v>85</v>
          </cell>
          <cell r="AR7">
            <v>100</v>
          </cell>
          <cell r="AS7">
            <v>115</v>
          </cell>
          <cell r="AT7">
            <v>130</v>
          </cell>
          <cell r="AU7">
            <v>140</v>
          </cell>
          <cell r="AV7">
            <v>150</v>
          </cell>
          <cell r="AW7">
            <v>155</v>
          </cell>
          <cell r="AX7">
            <v>160</v>
          </cell>
          <cell r="AY7">
            <v>165</v>
          </cell>
          <cell r="AZ7">
            <v>170</v>
          </cell>
          <cell r="BA7">
            <v>95</v>
          </cell>
          <cell r="BB7">
            <v>115</v>
          </cell>
          <cell r="BC7">
            <v>135</v>
          </cell>
          <cell r="BD7">
            <v>150</v>
          </cell>
          <cell r="BE7">
            <v>160</v>
          </cell>
          <cell r="BF7">
            <v>170</v>
          </cell>
          <cell r="BG7">
            <v>180</v>
          </cell>
          <cell r="BH7">
            <v>185</v>
          </cell>
          <cell r="BI7">
            <v>190</v>
          </cell>
          <cell r="BJ7">
            <v>195</v>
          </cell>
          <cell r="BK7">
            <v>130</v>
          </cell>
          <cell r="BL7">
            <v>150</v>
          </cell>
          <cell r="BM7">
            <v>170</v>
          </cell>
          <cell r="BN7">
            <v>180</v>
          </cell>
          <cell r="BO7">
            <v>190</v>
          </cell>
          <cell r="BP7">
            <v>200</v>
          </cell>
          <cell r="BQ7">
            <v>210</v>
          </cell>
          <cell r="BR7">
            <v>215</v>
          </cell>
          <cell r="BS7">
            <v>220</v>
          </cell>
          <cell r="BT7">
            <v>225</v>
          </cell>
          <cell r="BU7">
            <v>145</v>
          </cell>
          <cell r="BV7">
            <v>170</v>
          </cell>
          <cell r="BW7">
            <v>195</v>
          </cell>
          <cell r="BX7">
            <v>210</v>
          </cell>
          <cell r="BY7">
            <v>220</v>
          </cell>
          <cell r="BZ7">
            <v>230</v>
          </cell>
          <cell r="CA7">
            <v>235</v>
          </cell>
          <cell r="CB7">
            <v>240</v>
          </cell>
          <cell r="CC7">
            <v>245</v>
          </cell>
          <cell r="CD7">
            <v>250</v>
          </cell>
        </row>
        <row r="8">
          <cell r="C8">
            <v>55</v>
          </cell>
          <cell r="D8">
            <v>65</v>
          </cell>
          <cell r="E8">
            <v>72</v>
          </cell>
          <cell r="F8">
            <v>82</v>
          </cell>
          <cell r="G8">
            <v>87</v>
          </cell>
          <cell r="H8">
            <v>92</v>
          </cell>
          <cell r="I8">
            <v>97</v>
          </cell>
          <cell r="J8">
            <v>100</v>
          </cell>
          <cell r="K8">
            <v>102</v>
          </cell>
          <cell r="L8">
            <v>105</v>
          </cell>
          <cell r="M8">
            <v>68</v>
          </cell>
          <cell r="N8">
            <v>75</v>
          </cell>
          <cell r="O8">
            <v>82</v>
          </cell>
          <cell r="P8">
            <v>92</v>
          </cell>
          <cell r="Q8">
            <v>97</v>
          </cell>
          <cell r="R8">
            <v>102</v>
          </cell>
          <cell r="S8">
            <v>107</v>
          </cell>
          <cell r="T8">
            <v>110</v>
          </cell>
          <cell r="U8">
            <v>112</v>
          </cell>
          <cell r="V8">
            <v>115</v>
          </cell>
          <cell r="W8">
            <v>83</v>
          </cell>
          <cell r="X8">
            <v>90</v>
          </cell>
          <cell r="Y8">
            <v>103</v>
          </cell>
          <cell r="Z8">
            <v>110</v>
          </cell>
          <cell r="AA8">
            <v>118</v>
          </cell>
          <cell r="AB8">
            <v>123</v>
          </cell>
          <cell r="AC8">
            <v>127</v>
          </cell>
          <cell r="AD8">
            <v>132</v>
          </cell>
          <cell r="AE8">
            <v>135</v>
          </cell>
          <cell r="AF8">
            <v>140</v>
          </cell>
          <cell r="AG8">
            <v>95</v>
          </cell>
          <cell r="AH8">
            <v>107</v>
          </cell>
          <cell r="AI8">
            <v>123</v>
          </cell>
          <cell r="AJ8">
            <v>130</v>
          </cell>
          <cell r="AK8">
            <v>137</v>
          </cell>
          <cell r="AL8">
            <v>142</v>
          </cell>
          <cell r="AM8">
            <v>147</v>
          </cell>
          <cell r="AN8">
            <v>150</v>
          </cell>
          <cell r="AO8">
            <v>152</v>
          </cell>
          <cell r="AP8">
            <v>155</v>
          </cell>
          <cell r="AQ8">
            <v>100</v>
          </cell>
          <cell r="AR8">
            <v>115</v>
          </cell>
          <cell r="AS8">
            <v>130</v>
          </cell>
          <cell r="AT8">
            <v>150</v>
          </cell>
          <cell r="AU8">
            <v>160</v>
          </cell>
          <cell r="AV8">
            <v>170</v>
          </cell>
          <cell r="AW8">
            <v>175</v>
          </cell>
          <cell r="AX8">
            <v>180</v>
          </cell>
          <cell r="AY8">
            <v>185</v>
          </cell>
          <cell r="AZ8">
            <v>190</v>
          </cell>
          <cell r="BA8">
            <v>110</v>
          </cell>
          <cell r="BB8">
            <v>130</v>
          </cell>
          <cell r="BC8">
            <v>150</v>
          </cell>
          <cell r="BD8">
            <v>170</v>
          </cell>
          <cell r="BE8">
            <v>180</v>
          </cell>
          <cell r="BF8">
            <v>190</v>
          </cell>
          <cell r="BG8">
            <v>200</v>
          </cell>
          <cell r="BH8">
            <v>205</v>
          </cell>
          <cell r="BI8">
            <v>210</v>
          </cell>
          <cell r="BJ8">
            <v>215</v>
          </cell>
          <cell r="BK8">
            <v>145</v>
          </cell>
          <cell r="BL8">
            <v>170</v>
          </cell>
          <cell r="BM8">
            <v>190</v>
          </cell>
          <cell r="BN8">
            <v>200</v>
          </cell>
          <cell r="BO8">
            <v>215</v>
          </cell>
          <cell r="BP8">
            <v>225</v>
          </cell>
          <cell r="BQ8">
            <v>230</v>
          </cell>
          <cell r="BR8">
            <v>240</v>
          </cell>
          <cell r="BS8">
            <v>245</v>
          </cell>
          <cell r="BT8">
            <v>250</v>
          </cell>
          <cell r="BU8">
            <v>170</v>
          </cell>
          <cell r="BV8">
            <v>195</v>
          </cell>
          <cell r="BW8">
            <v>225</v>
          </cell>
          <cell r="BX8">
            <v>240</v>
          </cell>
          <cell r="BY8">
            <v>250</v>
          </cell>
          <cell r="BZ8">
            <v>260</v>
          </cell>
          <cell r="CA8">
            <v>265</v>
          </cell>
          <cell r="CB8">
            <v>270</v>
          </cell>
          <cell r="CC8">
            <v>275</v>
          </cell>
          <cell r="CD8">
            <v>280</v>
          </cell>
        </row>
        <row r="9">
          <cell r="C9">
            <v>68</v>
          </cell>
          <cell r="D9">
            <v>78</v>
          </cell>
          <cell r="E9">
            <v>85</v>
          </cell>
          <cell r="F9">
            <v>95</v>
          </cell>
          <cell r="G9">
            <v>100</v>
          </cell>
          <cell r="H9">
            <v>105</v>
          </cell>
          <cell r="I9">
            <v>110</v>
          </cell>
          <cell r="J9">
            <v>115</v>
          </cell>
          <cell r="K9">
            <v>117</v>
          </cell>
          <cell r="L9">
            <v>120</v>
          </cell>
          <cell r="M9">
            <v>80</v>
          </cell>
          <cell r="N9">
            <v>88</v>
          </cell>
          <cell r="O9">
            <v>95</v>
          </cell>
          <cell r="P9">
            <v>105</v>
          </cell>
          <cell r="Q9">
            <v>110</v>
          </cell>
          <cell r="R9">
            <v>115</v>
          </cell>
          <cell r="S9">
            <v>120</v>
          </cell>
          <cell r="T9">
            <v>125</v>
          </cell>
          <cell r="U9">
            <v>130</v>
          </cell>
          <cell r="V9">
            <v>135</v>
          </cell>
          <cell r="W9">
            <v>97</v>
          </cell>
          <cell r="X9">
            <v>105</v>
          </cell>
          <cell r="Y9">
            <v>118</v>
          </cell>
          <cell r="Z9">
            <v>125</v>
          </cell>
          <cell r="AA9">
            <v>135</v>
          </cell>
          <cell r="AB9">
            <v>142</v>
          </cell>
          <cell r="AC9">
            <v>147</v>
          </cell>
          <cell r="AD9">
            <v>152</v>
          </cell>
          <cell r="AE9">
            <v>155</v>
          </cell>
          <cell r="AF9">
            <v>160</v>
          </cell>
          <cell r="AG9">
            <v>110</v>
          </cell>
          <cell r="AH9">
            <v>122</v>
          </cell>
          <cell r="AI9">
            <v>138</v>
          </cell>
          <cell r="AJ9">
            <v>145</v>
          </cell>
          <cell r="AK9">
            <v>155</v>
          </cell>
          <cell r="AL9">
            <v>165</v>
          </cell>
          <cell r="AM9">
            <v>170</v>
          </cell>
          <cell r="AN9">
            <v>172</v>
          </cell>
          <cell r="AO9">
            <v>175</v>
          </cell>
          <cell r="AP9">
            <v>180</v>
          </cell>
          <cell r="AQ9">
            <v>115</v>
          </cell>
          <cell r="AR9">
            <v>130</v>
          </cell>
          <cell r="AS9">
            <v>150</v>
          </cell>
          <cell r="AT9">
            <v>170</v>
          </cell>
          <cell r="AU9">
            <v>180</v>
          </cell>
          <cell r="AV9">
            <v>190</v>
          </cell>
          <cell r="AW9">
            <v>200</v>
          </cell>
          <cell r="AX9">
            <v>205</v>
          </cell>
          <cell r="AY9">
            <v>210</v>
          </cell>
          <cell r="AZ9">
            <v>215</v>
          </cell>
          <cell r="BA9">
            <v>125</v>
          </cell>
          <cell r="BB9">
            <v>145</v>
          </cell>
          <cell r="BC9">
            <v>170</v>
          </cell>
          <cell r="BD9">
            <v>190</v>
          </cell>
          <cell r="BE9">
            <v>200</v>
          </cell>
          <cell r="BF9">
            <v>210</v>
          </cell>
          <cell r="BG9">
            <v>220</v>
          </cell>
          <cell r="BH9">
            <v>225</v>
          </cell>
          <cell r="BI9">
            <v>230</v>
          </cell>
          <cell r="BJ9">
            <v>235</v>
          </cell>
          <cell r="BK9">
            <v>170</v>
          </cell>
          <cell r="BL9">
            <v>190</v>
          </cell>
          <cell r="BM9">
            <v>218</v>
          </cell>
          <cell r="BN9">
            <v>230</v>
          </cell>
          <cell r="BO9">
            <v>245</v>
          </cell>
          <cell r="BP9">
            <v>255</v>
          </cell>
          <cell r="BQ9">
            <v>260</v>
          </cell>
          <cell r="BR9">
            <v>270</v>
          </cell>
          <cell r="BS9">
            <v>275</v>
          </cell>
          <cell r="BT9">
            <v>280</v>
          </cell>
          <cell r="BU9">
            <v>190</v>
          </cell>
          <cell r="BV9">
            <v>215</v>
          </cell>
          <cell r="BW9">
            <v>240</v>
          </cell>
          <cell r="BX9">
            <v>260</v>
          </cell>
          <cell r="BY9">
            <v>275</v>
          </cell>
          <cell r="BZ9">
            <v>287</v>
          </cell>
          <cell r="CA9">
            <v>295</v>
          </cell>
          <cell r="CB9">
            <v>302</v>
          </cell>
          <cell r="CC9">
            <v>310</v>
          </cell>
          <cell r="CD9">
            <v>315</v>
          </cell>
        </row>
        <row r="10">
          <cell r="C10">
            <v>80</v>
          </cell>
          <cell r="D10">
            <v>90</v>
          </cell>
          <cell r="E10">
            <v>100</v>
          </cell>
          <cell r="F10">
            <v>110</v>
          </cell>
          <cell r="G10">
            <v>115</v>
          </cell>
          <cell r="H10">
            <v>120</v>
          </cell>
          <cell r="I10">
            <v>125</v>
          </cell>
          <cell r="J10">
            <v>130</v>
          </cell>
          <cell r="K10">
            <v>132</v>
          </cell>
          <cell r="L10">
            <v>135</v>
          </cell>
          <cell r="M10">
            <v>90</v>
          </cell>
          <cell r="N10">
            <v>100</v>
          </cell>
          <cell r="O10">
            <v>110</v>
          </cell>
          <cell r="P10">
            <v>120</v>
          </cell>
          <cell r="Q10">
            <v>125</v>
          </cell>
          <cell r="R10">
            <v>130</v>
          </cell>
          <cell r="S10">
            <v>135</v>
          </cell>
          <cell r="T10">
            <v>140</v>
          </cell>
          <cell r="U10">
            <v>145</v>
          </cell>
          <cell r="V10">
            <v>150</v>
          </cell>
          <cell r="W10">
            <v>110</v>
          </cell>
          <cell r="X10">
            <v>120</v>
          </cell>
          <cell r="Y10">
            <v>138</v>
          </cell>
          <cell r="Z10">
            <v>145</v>
          </cell>
          <cell r="AA10">
            <v>155</v>
          </cell>
          <cell r="AB10">
            <v>162</v>
          </cell>
          <cell r="AC10">
            <v>167</v>
          </cell>
          <cell r="AD10">
            <v>172</v>
          </cell>
          <cell r="AE10">
            <v>175</v>
          </cell>
          <cell r="AF10">
            <v>180</v>
          </cell>
          <cell r="AG10">
            <v>125</v>
          </cell>
          <cell r="AH10">
            <v>140</v>
          </cell>
          <cell r="AI10">
            <v>155</v>
          </cell>
          <cell r="AJ10">
            <v>165</v>
          </cell>
          <cell r="AK10">
            <v>175</v>
          </cell>
          <cell r="AL10">
            <v>185</v>
          </cell>
          <cell r="AM10">
            <v>190</v>
          </cell>
          <cell r="AN10">
            <v>192</v>
          </cell>
          <cell r="AO10">
            <v>195</v>
          </cell>
          <cell r="AP10">
            <v>200</v>
          </cell>
          <cell r="AQ10">
            <v>130</v>
          </cell>
          <cell r="AR10">
            <v>150</v>
          </cell>
          <cell r="AS10">
            <v>170</v>
          </cell>
          <cell r="AT10">
            <v>190</v>
          </cell>
          <cell r="AU10">
            <v>200</v>
          </cell>
          <cell r="AV10">
            <v>210</v>
          </cell>
          <cell r="AW10">
            <v>220</v>
          </cell>
          <cell r="AX10">
            <v>225</v>
          </cell>
          <cell r="AY10">
            <v>230</v>
          </cell>
          <cell r="AZ10">
            <v>235</v>
          </cell>
          <cell r="BA10">
            <v>140</v>
          </cell>
          <cell r="BB10">
            <v>170</v>
          </cell>
          <cell r="BC10">
            <v>190</v>
          </cell>
          <cell r="BD10">
            <v>210</v>
          </cell>
          <cell r="BE10">
            <v>220</v>
          </cell>
          <cell r="BF10">
            <v>230</v>
          </cell>
          <cell r="BG10">
            <v>240</v>
          </cell>
          <cell r="BH10">
            <v>250</v>
          </cell>
          <cell r="BI10">
            <v>255</v>
          </cell>
          <cell r="BJ10">
            <v>260</v>
          </cell>
          <cell r="BK10">
            <v>190</v>
          </cell>
          <cell r="BL10">
            <v>210</v>
          </cell>
          <cell r="BM10">
            <v>240</v>
          </cell>
          <cell r="BN10">
            <v>250</v>
          </cell>
          <cell r="BO10">
            <v>270</v>
          </cell>
          <cell r="BP10">
            <v>285</v>
          </cell>
          <cell r="BQ10">
            <v>290</v>
          </cell>
          <cell r="BR10">
            <v>300</v>
          </cell>
          <cell r="BS10">
            <v>305</v>
          </cell>
          <cell r="BT10">
            <v>310</v>
          </cell>
          <cell r="BU10">
            <v>210</v>
          </cell>
          <cell r="BV10">
            <v>235</v>
          </cell>
          <cell r="BW10">
            <v>260</v>
          </cell>
          <cell r="BX10">
            <v>280</v>
          </cell>
          <cell r="BY10">
            <v>295</v>
          </cell>
          <cell r="BZ10">
            <v>310</v>
          </cell>
          <cell r="CA10">
            <v>320</v>
          </cell>
          <cell r="CB10">
            <v>330</v>
          </cell>
          <cell r="CC10">
            <v>335</v>
          </cell>
          <cell r="CD10">
            <v>340</v>
          </cell>
        </row>
        <row r="11">
          <cell r="C11">
            <v>90</v>
          </cell>
          <cell r="D11">
            <v>105</v>
          </cell>
          <cell r="E11">
            <v>115</v>
          </cell>
          <cell r="F11">
            <v>125</v>
          </cell>
          <cell r="G11">
            <v>130</v>
          </cell>
          <cell r="H11">
            <v>135</v>
          </cell>
          <cell r="I11">
            <v>140</v>
          </cell>
          <cell r="J11">
            <v>145</v>
          </cell>
          <cell r="K11">
            <v>147</v>
          </cell>
          <cell r="L11">
            <v>150</v>
          </cell>
          <cell r="M11">
            <v>105</v>
          </cell>
          <cell r="N11">
            <v>115</v>
          </cell>
          <cell r="O11">
            <v>125</v>
          </cell>
          <cell r="P11">
            <v>135</v>
          </cell>
          <cell r="Q11">
            <v>140</v>
          </cell>
          <cell r="R11">
            <v>145</v>
          </cell>
          <cell r="S11">
            <v>150</v>
          </cell>
          <cell r="T11">
            <v>160</v>
          </cell>
          <cell r="U11">
            <v>165</v>
          </cell>
          <cell r="V11">
            <v>170</v>
          </cell>
          <cell r="W11">
            <v>130</v>
          </cell>
          <cell r="X11">
            <v>140</v>
          </cell>
          <cell r="Y11">
            <v>160</v>
          </cell>
          <cell r="Z11">
            <v>165</v>
          </cell>
          <cell r="AA11">
            <v>175</v>
          </cell>
          <cell r="AB11">
            <v>182</v>
          </cell>
          <cell r="AC11">
            <v>187</v>
          </cell>
          <cell r="AD11">
            <v>192</v>
          </cell>
          <cell r="AE11">
            <v>195</v>
          </cell>
          <cell r="AF11">
            <v>200</v>
          </cell>
          <cell r="AG11">
            <v>145</v>
          </cell>
          <cell r="AH11">
            <v>160</v>
          </cell>
          <cell r="AI11">
            <v>175</v>
          </cell>
          <cell r="AJ11">
            <v>185</v>
          </cell>
          <cell r="AK11">
            <v>195</v>
          </cell>
          <cell r="AL11">
            <v>205</v>
          </cell>
          <cell r="AM11">
            <v>210</v>
          </cell>
          <cell r="AN11">
            <v>212</v>
          </cell>
          <cell r="AO11">
            <v>215</v>
          </cell>
          <cell r="AP11">
            <v>220</v>
          </cell>
          <cell r="AQ11">
            <v>145</v>
          </cell>
          <cell r="AR11">
            <v>170</v>
          </cell>
          <cell r="AS11">
            <v>190</v>
          </cell>
          <cell r="AT11">
            <v>210</v>
          </cell>
          <cell r="AU11">
            <v>220</v>
          </cell>
          <cell r="AV11">
            <v>230</v>
          </cell>
          <cell r="AW11">
            <v>240</v>
          </cell>
          <cell r="AX11">
            <v>245</v>
          </cell>
          <cell r="AY11">
            <v>250</v>
          </cell>
          <cell r="AZ11">
            <v>255</v>
          </cell>
          <cell r="BA11">
            <v>155</v>
          </cell>
          <cell r="BB11">
            <v>190</v>
          </cell>
          <cell r="BC11">
            <v>210</v>
          </cell>
          <cell r="BD11">
            <v>230</v>
          </cell>
          <cell r="BE11">
            <v>240</v>
          </cell>
          <cell r="BF11">
            <v>260</v>
          </cell>
          <cell r="BG11">
            <v>270</v>
          </cell>
          <cell r="BH11">
            <v>280</v>
          </cell>
          <cell r="BI11">
            <v>285</v>
          </cell>
          <cell r="BJ11">
            <v>290</v>
          </cell>
          <cell r="BK11">
            <v>210</v>
          </cell>
          <cell r="BL11">
            <v>230</v>
          </cell>
          <cell r="BM11">
            <v>260</v>
          </cell>
          <cell r="BN11">
            <v>275</v>
          </cell>
          <cell r="BO11">
            <v>295</v>
          </cell>
          <cell r="BP11">
            <v>310</v>
          </cell>
          <cell r="BQ11">
            <v>315</v>
          </cell>
          <cell r="BR11">
            <v>325</v>
          </cell>
          <cell r="BS11">
            <v>330</v>
          </cell>
          <cell r="BT11">
            <v>335</v>
          </cell>
          <cell r="BU11">
            <v>230</v>
          </cell>
          <cell r="BV11">
            <v>260</v>
          </cell>
          <cell r="BW11">
            <v>280</v>
          </cell>
          <cell r="BX11">
            <v>300</v>
          </cell>
          <cell r="BY11">
            <v>320</v>
          </cell>
          <cell r="BZ11">
            <v>330</v>
          </cell>
          <cell r="CA11">
            <v>340</v>
          </cell>
          <cell r="CB11">
            <v>350</v>
          </cell>
          <cell r="CC11">
            <v>360</v>
          </cell>
          <cell r="CD11">
            <v>365</v>
          </cell>
        </row>
        <row r="12">
          <cell r="C12">
            <v>175</v>
          </cell>
          <cell r="D12">
            <v>175</v>
          </cell>
          <cell r="E12">
            <v>175</v>
          </cell>
          <cell r="F12">
            <v>190</v>
          </cell>
          <cell r="G12">
            <v>200</v>
          </cell>
          <cell r="H12">
            <v>210</v>
          </cell>
          <cell r="I12">
            <v>225</v>
          </cell>
          <cell r="J12">
            <v>225</v>
          </cell>
          <cell r="K12">
            <v>230</v>
          </cell>
          <cell r="L12">
            <v>230</v>
          </cell>
          <cell r="M12">
            <v>175</v>
          </cell>
          <cell r="N12">
            <v>175</v>
          </cell>
          <cell r="O12">
            <v>175</v>
          </cell>
          <cell r="P12">
            <v>190</v>
          </cell>
          <cell r="Q12">
            <v>200</v>
          </cell>
          <cell r="R12">
            <v>210</v>
          </cell>
          <cell r="S12">
            <v>225</v>
          </cell>
          <cell r="T12">
            <v>225</v>
          </cell>
          <cell r="U12">
            <v>230</v>
          </cell>
          <cell r="V12">
            <v>230</v>
          </cell>
          <cell r="W12">
            <v>175</v>
          </cell>
          <cell r="X12">
            <v>175</v>
          </cell>
          <cell r="Y12">
            <v>190</v>
          </cell>
          <cell r="Z12">
            <v>200</v>
          </cell>
          <cell r="AA12">
            <v>210</v>
          </cell>
          <cell r="AB12">
            <v>225</v>
          </cell>
          <cell r="AC12">
            <v>225</v>
          </cell>
          <cell r="AD12">
            <v>230</v>
          </cell>
          <cell r="AE12">
            <v>230</v>
          </cell>
          <cell r="AF12">
            <v>235</v>
          </cell>
          <cell r="AG12">
            <v>175</v>
          </cell>
          <cell r="AH12">
            <v>175</v>
          </cell>
          <cell r="AI12">
            <v>190</v>
          </cell>
          <cell r="AJ12">
            <v>200</v>
          </cell>
          <cell r="AK12">
            <v>210</v>
          </cell>
          <cell r="AL12">
            <v>225</v>
          </cell>
          <cell r="AM12">
            <v>225</v>
          </cell>
          <cell r="AN12">
            <v>230</v>
          </cell>
          <cell r="AO12">
            <v>230</v>
          </cell>
          <cell r="AP12">
            <v>235</v>
          </cell>
          <cell r="AQ12">
            <v>275</v>
          </cell>
          <cell r="AR12">
            <v>275</v>
          </cell>
          <cell r="AS12">
            <v>275</v>
          </cell>
          <cell r="AT12">
            <v>295</v>
          </cell>
          <cell r="AU12">
            <v>315</v>
          </cell>
          <cell r="AV12">
            <v>335</v>
          </cell>
          <cell r="AW12">
            <v>360</v>
          </cell>
          <cell r="AX12">
            <v>360</v>
          </cell>
          <cell r="AY12">
            <v>380</v>
          </cell>
          <cell r="AZ12">
            <v>380</v>
          </cell>
          <cell r="BA12">
            <v>275</v>
          </cell>
          <cell r="BB12">
            <v>275</v>
          </cell>
          <cell r="BC12">
            <v>275</v>
          </cell>
          <cell r="BD12">
            <v>295</v>
          </cell>
          <cell r="BE12">
            <v>315</v>
          </cell>
          <cell r="BF12">
            <v>335</v>
          </cell>
          <cell r="BG12">
            <v>360</v>
          </cell>
          <cell r="BH12">
            <v>360</v>
          </cell>
          <cell r="BI12">
            <v>380</v>
          </cell>
          <cell r="BJ12">
            <v>380</v>
          </cell>
          <cell r="BK12">
            <v>275</v>
          </cell>
          <cell r="BL12">
            <v>275</v>
          </cell>
          <cell r="BM12">
            <v>295</v>
          </cell>
          <cell r="BN12">
            <v>315</v>
          </cell>
          <cell r="BO12">
            <v>335</v>
          </cell>
          <cell r="BP12">
            <v>360</v>
          </cell>
          <cell r="BQ12">
            <v>360</v>
          </cell>
          <cell r="BR12">
            <v>380</v>
          </cell>
          <cell r="BS12">
            <v>380</v>
          </cell>
          <cell r="BT12">
            <v>385</v>
          </cell>
          <cell r="BU12">
            <v>275</v>
          </cell>
          <cell r="BV12">
            <v>275</v>
          </cell>
          <cell r="BW12">
            <v>295</v>
          </cell>
          <cell r="BX12">
            <v>315</v>
          </cell>
          <cell r="BY12">
            <v>335</v>
          </cell>
          <cell r="BZ12">
            <v>360</v>
          </cell>
          <cell r="CA12">
            <v>360</v>
          </cell>
          <cell r="CB12">
            <v>380</v>
          </cell>
          <cell r="CC12">
            <v>380</v>
          </cell>
          <cell r="CD12">
            <v>385</v>
          </cell>
        </row>
        <row r="15">
          <cell r="B15" t="str">
            <v>MINIME</v>
          </cell>
          <cell r="C15" t="str">
            <v>CADET</v>
          </cell>
          <cell r="D15" t="str">
            <v>CADET</v>
          </cell>
          <cell r="E15" t="str">
            <v>JUNIOR</v>
          </cell>
          <cell r="F15" t="str">
            <v>SENIOR</v>
          </cell>
          <cell r="H15" t="str">
            <v>MINIME</v>
          </cell>
          <cell r="I15" t="str">
            <v>CADETTE</v>
          </cell>
          <cell r="J15" t="str">
            <v>CADETTE</v>
          </cell>
          <cell r="K15" t="str">
            <v>JUNIOR</v>
          </cell>
          <cell r="L15" t="str">
            <v>SENIOR</v>
          </cell>
        </row>
        <row r="16">
          <cell r="A16">
            <v>10</v>
          </cell>
          <cell r="B16" t="str">
            <v>NON</v>
          </cell>
          <cell r="C16" t="str">
            <v>U15 M49</v>
          </cell>
          <cell r="D16" t="str">
            <v>U17 M49</v>
          </cell>
          <cell r="E16" t="str">
            <v>U20 M55</v>
          </cell>
          <cell r="F16" t="str">
            <v>SE M55</v>
          </cell>
          <cell r="G16">
            <v>10</v>
          </cell>
          <cell r="H16" t="str">
            <v>NON</v>
          </cell>
          <cell r="I16" t="str">
            <v>U15 F40</v>
          </cell>
          <cell r="J16" t="str">
            <v>U17 F40</v>
          </cell>
          <cell r="K16" t="str">
            <v>U20 F45</v>
          </cell>
          <cell r="L16" t="str">
            <v>SE F45</v>
          </cell>
        </row>
        <row r="17">
          <cell r="A17">
            <v>35.01</v>
          </cell>
          <cell r="B17" t="str">
            <v>NON</v>
          </cell>
          <cell r="C17" t="str">
            <v>U15 M49</v>
          </cell>
          <cell r="D17" t="str">
            <v>U17 M49</v>
          </cell>
          <cell r="E17" t="str">
            <v>U20 M55</v>
          </cell>
          <cell r="F17" t="str">
            <v>SE M55</v>
          </cell>
          <cell r="G17">
            <v>35.01</v>
          </cell>
          <cell r="H17" t="str">
            <v>NON</v>
          </cell>
          <cell r="I17" t="str">
            <v>U15 F40</v>
          </cell>
          <cell r="J17" t="str">
            <v>U17 F40</v>
          </cell>
          <cell r="K17" t="str">
            <v>U20 F45</v>
          </cell>
          <cell r="L17" t="str">
            <v>SE F45</v>
          </cell>
        </row>
        <row r="18">
          <cell r="A18">
            <v>40.01</v>
          </cell>
          <cell r="B18" t="str">
            <v>NON</v>
          </cell>
          <cell r="C18" t="str">
            <v>U15 M49</v>
          </cell>
          <cell r="D18" t="str">
            <v>U17 M49</v>
          </cell>
          <cell r="E18" t="str">
            <v>U20 M55</v>
          </cell>
          <cell r="F18" t="str">
            <v>SE M55</v>
          </cell>
          <cell r="G18">
            <v>40.01</v>
          </cell>
          <cell r="H18" t="str">
            <v>NON</v>
          </cell>
          <cell r="I18" t="str">
            <v>U15 F45</v>
          </cell>
          <cell r="J18" t="str">
            <v>U17 F45</v>
          </cell>
          <cell r="K18" t="str">
            <v>U20 F45</v>
          </cell>
          <cell r="L18" t="str">
            <v>SE F45</v>
          </cell>
        </row>
        <row r="19">
          <cell r="A19">
            <v>45.01</v>
          </cell>
          <cell r="B19" t="str">
            <v>NON</v>
          </cell>
          <cell r="C19" t="str">
            <v>U15 M49</v>
          </cell>
          <cell r="D19" t="str">
            <v>U17 M49</v>
          </cell>
          <cell r="E19" t="str">
            <v>U20 M55</v>
          </cell>
          <cell r="F19" t="str">
            <v>SE M55</v>
          </cell>
          <cell r="G19">
            <v>45.01</v>
          </cell>
          <cell r="H19" t="str">
            <v>NON</v>
          </cell>
          <cell r="I19" t="str">
            <v>U15 F49</v>
          </cell>
          <cell r="J19" t="str">
            <v>U17 F49</v>
          </cell>
          <cell r="K19" t="str">
            <v>U20 F49</v>
          </cell>
          <cell r="L19" t="str">
            <v>SE F49</v>
          </cell>
        </row>
        <row r="20">
          <cell r="A20">
            <v>49.01</v>
          </cell>
          <cell r="B20" t="str">
            <v>NON</v>
          </cell>
          <cell r="C20" t="str">
            <v>U15 M55</v>
          </cell>
          <cell r="D20" t="str">
            <v>U17 M55</v>
          </cell>
          <cell r="E20" t="str">
            <v>U20 M55</v>
          </cell>
          <cell r="F20" t="str">
            <v>SE M55</v>
          </cell>
          <cell r="G20">
            <v>49.01</v>
          </cell>
          <cell r="H20" t="str">
            <v>NON</v>
          </cell>
          <cell r="I20" t="str">
            <v>U15 F55</v>
          </cell>
          <cell r="J20" t="str">
            <v>U17 F55</v>
          </cell>
          <cell r="K20" t="str">
            <v>U20 F55</v>
          </cell>
          <cell r="L20" t="str">
            <v>SE F55</v>
          </cell>
        </row>
        <row r="21">
          <cell r="A21">
            <v>55.01</v>
          </cell>
          <cell r="B21" t="str">
            <v>NON</v>
          </cell>
          <cell r="C21" t="str">
            <v>U15 M61</v>
          </cell>
          <cell r="D21" t="str">
            <v>U17 M61</v>
          </cell>
          <cell r="E21" t="str">
            <v>U20 M61</v>
          </cell>
          <cell r="F21" t="str">
            <v>SE M61</v>
          </cell>
          <cell r="G21">
            <v>55.01</v>
          </cell>
          <cell r="H21" t="str">
            <v>NON</v>
          </cell>
          <cell r="I21" t="str">
            <v>U15 F59</v>
          </cell>
          <cell r="J21" t="str">
            <v>U17 F59</v>
          </cell>
          <cell r="K21" t="str">
            <v>U20 F59</v>
          </cell>
          <cell r="L21" t="str">
            <v>SE F59</v>
          </cell>
        </row>
        <row r="22">
          <cell r="A22">
            <v>61.01</v>
          </cell>
          <cell r="B22" t="str">
            <v>NON</v>
          </cell>
          <cell r="C22" t="str">
            <v>U15 M67</v>
          </cell>
          <cell r="D22" t="str">
            <v>U17 M67</v>
          </cell>
          <cell r="E22" t="str">
            <v>U20 M67</v>
          </cell>
          <cell r="F22" t="str">
            <v>SE M67</v>
          </cell>
          <cell r="G22">
            <v>59.01</v>
          </cell>
          <cell r="H22" t="str">
            <v>NON</v>
          </cell>
          <cell r="I22" t="str">
            <v>U15 F64</v>
          </cell>
          <cell r="J22" t="str">
            <v>U17 F64</v>
          </cell>
          <cell r="K22" t="str">
            <v>U20 F64</v>
          </cell>
          <cell r="L22" t="str">
            <v>SE F64</v>
          </cell>
        </row>
        <row r="23">
          <cell r="A23">
            <v>67.010000000000005</v>
          </cell>
          <cell r="B23" t="str">
            <v>NON</v>
          </cell>
          <cell r="C23" t="str">
            <v>U15 M73</v>
          </cell>
          <cell r="D23" t="str">
            <v>U17 M73</v>
          </cell>
          <cell r="E23" t="str">
            <v>U20 M73</v>
          </cell>
          <cell r="F23" t="str">
            <v>SE M73</v>
          </cell>
          <cell r="G23">
            <v>64.010000000000005</v>
          </cell>
          <cell r="H23" t="str">
            <v>NON</v>
          </cell>
          <cell r="I23" t="str">
            <v>U15 F71</v>
          </cell>
          <cell r="J23" t="str">
            <v>U17 F71</v>
          </cell>
          <cell r="K23" t="str">
            <v>U20 F71</v>
          </cell>
          <cell r="L23" t="str">
            <v>SE F71</v>
          </cell>
        </row>
        <row r="24">
          <cell r="A24">
            <v>73.010000000000005</v>
          </cell>
          <cell r="B24" t="str">
            <v>NON</v>
          </cell>
          <cell r="C24" t="str">
            <v>U15 M81</v>
          </cell>
          <cell r="D24" t="str">
            <v>U17 M81</v>
          </cell>
          <cell r="E24" t="str">
            <v>U20 M81</v>
          </cell>
          <cell r="F24" t="str">
            <v>SE M81</v>
          </cell>
          <cell r="G24">
            <v>71.010000000000005</v>
          </cell>
          <cell r="H24" t="str">
            <v>NON</v>
          </cell>
          <cell r="I24" t="str">
            <v>U15 F76</v>
          </cell>
          <cell r="J24" t="str">
            <v>U17 F76</v>
          </cell>
          <cell r="K24" t="str">
            <v>U20 F76</v>
          </cell>
          <cell r="L24" t="str">
            <v>SE F76</v>
          </cell>
        </row>
        <row r="25">
          <cell r="A25">
            <v>81.010000000000005</v>
          </cell>
          <cell r="B25" t="str">
            <v>NON</v>
          </cell>
          <cell r="C25" t="str">
            <v>U15 M89</v>
          </cell>
          <cell r="D25" t="str">
            <v>U17 M89</v>
          </cell>
          <cell r="E25" t="str">
            <v>U20 M89</v>
          </cell>
          <cell r="F25" t="str">
            <v>SE M89</v>
          </cell>
          <cell r="G25">
            <v>76.010000000000005</v>
          </cell>
          <cell r="H25" t="str">
            <v>NON</v>
          </cell>
          <cell r="I25" t="str">
            <v>U15 F81</v>
          </cell>
          <cell r="J25" t="str">
            <v>U17 F81</v>
          </cell>
          <cell r="K25" t="str">
            <v>U20 F81</v>
          </cell>
          <cell r="L25" t="str">
            <v>SE F81</v>
          </cell>
        </row>
        <row r="26">
          <cell r="A26">
            <v>89.01</v>
          </cell>
          <cell r="B26" t="str">
            <v>NON</v>
          </cell>
          <cell r="C26" t="str">
            <v>U15 M96</v>
          </cell>
          <cell r="D26" t="str">
            <v>U17 M96</v>
          </cell>
          <cell r="E26" t="str">
            <v>U20 M96</v>
          </cell>
          <cell r="F26" t="str">
            <v>SE M96</v>
          </cell>
          <cell r="G26">
            <v>81.010000000000005</v>
          </cell>
          <cell r="H26" t="str">
            <v>NON</v>
          </cell>
          <cell r="I26" t="str">
            <v>U15 F&gt;81</v>
          </cell>
          <cell r="J26" t="str">
            <v>U17 F&gt;81</v>
          </cell>
          <cell r="K26" t="str">
            <v>U20 F87</v>
          </cell>
          <cell r="L26" t="str">
            <v>SE F87</v>
          </cell>
        </row>
        <row r="27">
          <cell r="A27">
            <v>96.01</v>
          </cell>
          <cell r="B27" t="str">
            <v>NON</v>
          </cell>
          <cell r="C27" t="str">
            <v>U15 M102</v>
          </cell>
          <cell r="D27" t="str">
            <v>U17 M102</v>
          </cell>
          <cell r="E27" t="str">
            <v>U20 M102</v>
          </cell>
          <cell r="F27" t="str">
            <v>SE M102</v>
          </cell>
          <cell r="G27">
            <v>87.01</v>
          </cell>
          <cell r="H27" t="str">
            <v>NON</v>
          </cell>
          <cell r="I27" t="str">
            <v>U15 F&gt;81</v>
          </cell>
          <cell r="J27" t="str">
            <v>U17 F&gt;81</v>
          </cell>
          <cell r="K27" t="str">
            <v>U20 F&gt;87</v>
          </cell>
          <cell r="L27" t="str">
            <v>SE F&gt;87</v>
          </cell>
        </row>
        <row r="28">
          <cell r="A28">
            <v>102.01</v>
          </cell>
          <cell r="B28" t="str">
            <v>NON</v>
          </cell>
          <cell r="C28" t="str">
            <v>U15 M&gt;102</v>
          </cell>
          <cell r="D28" t="str">
            <v>U17 M&gt;102</v>
          </cell>
          <cell r="E28" t="str">
            <v>U20 M109</v>
          </cell>
          <cell r="F28" t="str">
            <v>SE M109</v>
          </cell>
        </row>
        <row r="29">
          <cell r="A29">
            <v>109.1</v>
          </cell>
          <cell r="B29" t="str">
            <v>NON</v>
          </cell>
          <cell r="C29" t="str">
            <v>U15 M&gt;102</v>
          </cell>
          <cell r="D29" t="str">
            <v>U17 M&gt;102</v>
          </cell>
          <cell r="E29" t="str">
            <v>U20 M&gt;109</v>
          </cell>
          <cell r="F29" t="str">
            <v>SE M&gt;109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VIDUEL"/>
      <sheetName val="Minimas"/>
    </sheetNames>
    <sheetDataSet>
      <sheetData sheetId="0"/>
      <sheetData sheetId="1">
        <row r="3">
          <cell r="C3" t="str">
            <v>U15 F40</v>
          </cell>
          <cell r="D3" t="str">
            <v>U15 F45</v>
          </cell>
          <cell r="E3" t="str">
            <v>U15 F49</v>
          </cell>
          <cell r="F3" t="str">
            <v>U15 F55</v>
          </cell>
          <cell r="G3" t="str">
            <v>U15 F59</v>
          </cell>
          <cell r="H3" t="str">
            <v>U15 F64</v>
          </cell>
          <cell r="I3" t="str">
            <v>U15 F71</v>
          </cell>
          <cell r="J3" t="str">
            <v>U15 F76</v>
          </cell>
          <cell r="K3" t="str">
            <v>U15 F81</v>
          </cell>
          <cell r="L3" t="str">
            <v>U15 F&gt;81</v>
          </cell>
          <cell r="M3" t="str">
            <v>U17 F40</v>
          </cell>
          <cell r="N3" t="str">
            <v>U17 F45</v>
          </cell>
          <cell r="O3" t="str">
            <v>U17 F49</v>
          </cell>
          <cell r="P3" t="str">
            <v>U17 F55</v>
          </cell>
          <cell r="Q3" t="str">
            <v>U17 F59</v>
          </cell>
          <cell r="R3" t="str">
            <v>U17 F64</v>
          </cell>
          <cell r="S3" t="str">
            <v>U17 F71</v>
          </cell>
          <cell r="T3" t="str">
            <v>U17 F76</v>
          </cell>
          <cell r="U3" t="str">
            <v>U17 F81</v>
          </cell>
          <cell r="V3" t="str">
            <v>U17 F&gt;81</v>
          </cell>
          <cell r="W3" t="str">
            <v>U20 F45</v>
          </cell>
          <cell r="X3" t="str">
            <v>U20 F49</v>
          </cell>
          <cell r="Y3" t="str">
            <v>U20 F55</v>
          </cell>
          <cell r="Z3" t="str">
            <v>U20 F59</v>
          </cell>
          <cell r="AA3" t="str">
            <v>U20 F64</v>
          </cell>
          <cell r="AB3" t="str">
            <v>U20 F71</v>
          </cell>
          <cell r="AC3" t="str">
            <v>U20 F76</v>
          </cell>
          <cell r="AD3" t="str">
            <v>U20 F81</v>
          </cell>
          <cell r="AE3" t="str">
            <v>U20 F87</v>
          </cell>
          <cell r="AF3" t="str">
            <v>U20 F&gt;87</v>
          </cell>
          <cell r="AG3" t="str">
            <v>SE F45</v>
          </cell>
          <cell r="AH3" t="str">
            <v>SE F49</v>
          </cell>
          <cell r="AI3" t="str">
            <v>SE F55</v>
          </cell>
          <cell r="AJ3" t="str">
            <v>SE F59</v>
          </cell>
          <cell r="AK3" t="str">
            <v>SE F64</v>
          </cell>
          <cell r="AL3" t="str">
            <v>SE F71</v>
          </cell>
          <cell r="AM3" t="str">
            <v>SE F76</v>
          </cell>
          <cell r="AN3" t="str">
            <v>SE F81</v>
          </cell>
          <cell r="AO3" t="str">
            <v>SE F87</v>
          </cell>
          <cell r="AP3" t="str">
            <v>SE F&gt;87</v>
          </cell>
          <cell r="AQ3" t="str">
            <v>U15 M49</v>
          </cell>
          <cell r="AR3" t="str">
            <v>U15 M55</v>
          </cell>
          <cell r="AS3" t="str">
            <v>U15 M61</v>
          </cell>
          <cell r="AT3" t="str">
            <v>U15 M67</v>
          </cell>
          <cell r="AU3" t="str">
            <v>U15 M73</v>
          </cell>
          <cell r="AV3" t="str">
            <v>U15 M81</v>
          </cell>
          <cell r="AW3" t="str">
            <v>U15 M89</v>
          </cell>
          <cell r="AX3" t="str">
            <v>U15 M96</v>
          </cell>
          <cell r="AY3" t="str">
            <v>U15 M102</v>
          </cell>
          <cell r="AZ3" t="str">
            <v>U15 M&gt;102</v>
          </cell>
          <cell r="BA3" t="str">
            <v>U17 M49</v>
          </cell>
          <cell r="BB3" t="str">
            <v>U17 M55</v>
          </cell>
          <cell r="BC3" t="str">
            <v>U17 M61</v>
          </cell>
          <cell r="BD3" t="str">
            <v>U17 M67</v>
          </cell>
          <cell r="BE3" t="str">
            <v>U17 M73</v>
          </cell>
          <cell r="BF3" t="str">
            <v>U17 M81</v>
          </cell>
          <cell r="BG3" t="str">
            <v>U17 M89</v>
          </cell>
          <cell r="BH3" t="str">
            <v>U17 M96</v>
          </cell>
          <cell r="BI3" t="str">
            <v>U17 M102</v>
          </cell>
          <cell r="BJ3" t="str">
            <v>U17 M&gt;102</v>
          </cell>
          <cell r="BK3" t="str">
            <v>U20 M55</v>
          </cell>
          <cell r="BL3" t="str">
            <v>U20 M61</v>
          </cell>
          <cell r="BM3" t="str">
            <v>U20 M67</v>
          </cell>
          <cell r="BN3" t="str">
            <v>U20 M73</v>
          </cell>
          <cell r="BO3" t="str">
            <v>U20 M81</v>
          </cell>
          <cell r="BP3" t="str">
            <v>U20 M89</v>
          </cell>
          <cell r="BQ3" t="str">
            <v>U20 M96</v>
          </cell>
          <cell r="BR3" t="str">
            <v>U20 M102</v>
          </cell>
          <cell r="BS3" t="str">
            <v>U20 M109</v>
          </cell>
          <cell r="BT3" t="str">
            <v>U20 M&gt;109</v>
          </cell>
          <cell r="BU3" t="str">
            <v>SE M55</v>
          </cell>
          <cell r="BV3" t="str">
            <v>SE M61</v>
          </cell>
          <cell r="BW3" t="str">
            <v>SE M67</v>
          </cell>
          <cell r="BX3" t="str">
            <v>SE M73</v>
          </cell>
          <cell r="BY3" t="str">
            <v>SE M81</v>
          </cell>
          <cell r="BZ3" t="str">
            <v>SE M89</v>
          </cell>
          <cell r="CA3" t="str">
            <v>SE M96</v>
          </cell>
          <cell r="CB3" t="str">
            <v>SE M102</v>
          </cell>
          <cell r="CC3" t="str">
            <v>SE M109</v>
          </cell>
          <cell r="CD3" t="str">
            <v>SE M&gt;109</v>
          </cell>
        </row>
        <row r="4">
          <cell r="C4">
            <v>20</v>
          </cell>
          <cell r="D4">
            <v>25</v>
          </cell>
          <cell r="E4">
            <v>30</v>
          </cell>
          <cell r="F4">
            <v>35</v>
          </cell>
          <cell r="G4">
            <v>40</v>
          </cell>
          <cell r="H4">
            <v>45</v>
          </cell>
          <cell r="I4">
            <v>50</v>
          </cell>
          <cell r="J4">
            <v>55</v>
          </cell>
          <cell r="K4">
            <v>57</v>
          </cell>
          <cell r="L4">
            <v>60</v>
          </cell>
          <cell r="M4">
            <v>30</v>
          </cell>
          <cell r="N4">
            <v>35</v>
          </cell>
          <cell r="O4">
            <v>40</v>
          </cell>
          <cell r="P4">
            <v>45</v>
          </cell>
          <cell r="Q4">
            <v>50</v>
          </cell>
          <cell r="R4">
            <v>55</v>
          </cell>
          <cell r="S4">
            <v>60</v>
          </cell>
          <cell r="T4">
            <v>65</v>
          </cell>
          <cell r="U4">
            <v>67</v>
          </cell>
          <cell r="V4">
            <v>70</v>
          </cell>
          <cell r="W4">
            <v>40</v>
          </cell>
          <cell r="X4">
            <v>45</v>
          </cell>
          <cell r="Y4">
            <v>50</v>
          </cell>
          <cell r="Z4">
            <v>55</v>
          </cell>
          <cell r="AA4">
            <v>60</v>
          </cell>
          <cell r="AB4">
            <v>65</v>
          </cell>
          <cell r="AC4">
            <v>70</v>
          </cell>
          <cell r="AD4">
            <v>75</v>
          </cell>
          <cell r="AE4">
            <v>77</v>
          </cell>
          <cell r="AF4">
            <v>80</v>
          </cell>
          <cell r="AG4">
            <v>50</v>
          </cell>
          <cell r="AH4">
            <v>55</v>
          </cell>
          <cell r="AI4">
            <v>60</v>
          </cell>
          <cell r="AJ4">
            <v>65</v>
          </cell>
          <cell r="AK4">
            <v>70</v>
          </cell>
          <cell r="AL4">
            <v>75</v>
          </cell>
          <cell r="AM4">
            <v>80</v>
          </cell>
          <cell r="AN4">
            <v>85</v>
          </cell>
          <cell r="AO4">
            <v>87</v>
          </cell>
          <cell r="AP4">
            <v>90</v>
          </cell>
          <cell r="AQ4">
            <v>40</v>
          </cell>
          <cell r="AR4">
            <v>55</v>
          </cell>
          <cell r="AS4">
            <v>65</v>
          </cell>
          <cell r="AT4">
            <v>75</v>
          </cell>
          <cell r="AU4">
            <v>80</v>
          </cell>
          <cell r="AV4">
            <v>85</v>
          </cell>
          <cell r="AW4">
            <v>90</v>
          </cell>
          <cell r="AX4">
            <v>95</v>
          </cell>
          <cell r="AY4">
            <v>100</v>
          </cell>
          <cell r="AZ4">
            <v>105</v>
          </cell>
          <cell r="BA4">
            <v>50</v>
          </cell>
          <cell r="BB4">
            <v>65</v>
          </cell>
          <cell r="BC4">
            <v>80</v>
          </cell>
          <cell r="BD4">
            <v>90</v>
          </cell>
          <cell r="BE4">
            <v>100</v>
          </cell>
          <cell r="BF4">
            <v>110</v>
          </cell>
          <cell r="BG4">
            <v>115</v>
          </cell>
          <cell r="BH4">
            <v>120</v>
          </cell>
          <cell r="BI4">
            <v>125</v>
          </cell>
          <cell r="BJ4">
            <v>130</v>
          </cell>
          <cell r="BK4">
            <v>80</v>
          </cell>
          <cell r="BL4">
            <v>95</v>
          </cell>
          <cell r="BM4">
            <v>105</v>
          </cell>
          <cell r="BN4">
            <v>120</v>
          </cell>
          <cell r="BO4">
            <v>130</v>
          </cell>
          <cell r="BP4">
            <v>135</v>
          </cell>
          <cell r="BQ4">
            <v>140</v>
          </cell>
          <cell r="BR4">
            <v>145</v>
          </cell>
          <cell r="BS4">
            <v>150</v>
          </cell>
          <cell r="BT4">
            <v>155</v>
          </cell>
          <cell r="BU4">
            <v>95</v>
          </cell>
          <cell r="BV4">
            <v>110</v>
          </cell>
          <cell r="BW4">
            <v>125</v>
          </cell>
          <cell r="BX4">
            <v>135</v>
          </cell>
          <cell r="BY4">
            <v>145</v>
          </cell>
          <cell r="BZ4">
            <v>150</v>
          </cell>
          <cell r="CA4">
            <v>155</v>
          </cell>
          <cell r="CB4">
            <v>160</v>
          </cell>
          <cell r="CC4">
            <v>165</v>
          </cell>
          <cell r="CD4">
            <v>170</v>
          </cell>
        </row>
        <row r="5">
          <cell r="C5">
            <v>25</v>
          </cell>
          <cell r="D5">
            <v>35</v>
          </cell>
          <cell r="E5">
            <v>40</v>
          </cell>
          <cell r="F5">
            <v>45</v>
          </cell>
          <cell r="G5">
            <v>50</v>
          </cell>
          <cell r="H5">
            <v>55</v>
          </cell>
          <cell r="I5">
            <v>60</v>
          </cell>
          <cell r="J5">
            <v>65</v>
          </cell>
          <cell r="K5">
            <v>67</v>
          </cell>
          <cell r="L5">
            <v>70</v>
          </cell>
          <cell r="M5">
            <v>35</v>
          </cell>
          <cell r="N5">
            <v>42</v>
          </cell>
          <cell r="O5">
            <v>50</v>
          </cell>
          <cell r="P5">
            <v>55</v>
          </cell>
          <cell r="Q5">
            <v>60</v>
          </cell>
          <cell r="R5">
            <v>65</v>
          </cell>
          <cell r="S5">
            <v>70</v>
          </cell>
          <cell r="T5">
            <v>75</v>
          </cell>
          <cell r="U5">
            <v>77</v>
          </cell>
          <cell r="V5">
            <v>80</v>
          </cell>
          <cell r="W5">
            <v>50</v>
          </cell>
          <cell r="X5">
            <v>55</v>
          </cell>
          <cell r="Y5">
            <v>62</v>
          </cell>
          <cell r="Z5">
            <v>70</v>
          </cell>
          <cell r="AA5">
            <v>75</v>
          </cell>
          <cell r="AB5">
            <v>80</v>
          </cell>
          <cell r="AC5">
            <v>85</v>
          </cell>
          <cell r="AD5">
            <v>90</v>
          </cell>
          <cell r="AE5">
            <v>92</v>
          </cell>
          <cell r="AF5">
            <v>95</v>
          </cell>
          <cell r="AG5">
            <v>60</v>
          </cell>
          <cell r="AH5">
            <v>67</v>
          </cell>
          <cell r="AI5">
            <v>75</v>
          </cell>
          <cell r="AJ5">
            <v>80</v>
          </cell>
          <cell r="AK5">
            <v>85</v>
          </cell>
          <cell r="AL5">
            <v>90</v>
          </cell>
          <cell r="AM5">
            <v>95</v>
          </cell>
          <cell r="AN5">
            <v>100</v>
          </cell>
          <cell r="AO5">
            <v>102</v>
          </cell>
          <cell r="AP5">
            <v>105</v>
          </cell>
          <cell r="AQ5">
            <v>55</v>
          </cell>
          <cell r="AR5">
            <v>70</v>
          </cell>
          <cell r="AS5">
            <v>80</v>
          </cell>
          <cell r="AT5">
            <v>95</v>
          </cell>
          <cell r="AU5">
            <v>100</v>
          </cell>
          <cell r="AV5">
            <v>105</v>
          </cell>
          <cell r="AW5">
            <v>110</v>
          </cell>
          <cell r="AX5">
            <v>115</v>
          </cell>
          <cell r="AY5">
            <v>120</v>
          </cell>
          <cell r="AZ5">
            <v>125</v>
          </cell>
          <cell r="BA5">
            <v>65</v>
          </cell>
          <cell r="BB5">
            <v>85</v>
          </cell>
          <cell r="BC5">
            <v>100</v>
          </cell>
          <cell r="BD5">
            <v>110</v>
          </cell>
          <cell r="BE5">
            <v>120</v>
          </cell>
          <cell r="BF5">
            <v>130</v>
          </cell>
          <cell r="BG5">
            <v>135</v>
          </cell>
          <cell r="BH5">
            <v>140</v>
          </cell>
          <cell r="BI5">
            <v>145</v>
          </cell>
          <cell r="BJ5">
            <v>150</v>
          </cell>
          <cell r="BK5">
            <v>100</v>
          </cell>
          <cell r="BL5">
            <v>115</v>
          </cell>
          <cell r="BM5">
            <v>125</v>
          </cell>
          <cell r="BN5">
            <v>140</v>
          </cell>
          <cell r="BO5">
            <v>150</v>
          </cell>
          <cell r="BP5">
            <v>160</v>
          </cell>
          <cell r="BQ5">
            <v>165</v>
          </cell>
          <cell r="BR5">
            <v>170</v>
          </cell>
          <cell r="BS5">
            <v>175</v>
          </cell>
          <cell r="BT5">
            <v>180</v>
          </cell>
          <cell r="BU5">
            <v>115</v>
          </cell>
          <cell r="BV5">
            <v>130</v>
          </cell>
          <cell r="BW5">
            <v>145</v>
          </cell>
          <cell r="BX5">
            <v>160</v>
          </cell>
          <cell r="BY5">
            <v>170</v>
          </cell>
          <cell r="BZ5">
            <v>175</v>
          </cell>
          <cell r="CA5">
            <v>180</v>
          </cell>
          <cell r="CB5">
            <v>185</v>
          </cell>
          <cell r="CC5">
            <v>190</v>
          </cell>
          <cell r="CD5">
            <v>195</v>
          </cell>
        </row>
        <row r="6">
          <cell r="C6">
            <v>35</v>
          </cell>
          <cell r="D6">
            <v>45</v>
          </cell>
          <cell r="E6">
            <v>50</v>
          </cell>
          <cell r="F6">
            <v>57</v>
          </cell>
          <cell r="G6">
            <v>62</v>
          </cell>
          <cell r="H6">
            <v>67</v>
          </cell>
          <cell r="I6">
            <v>72</v>
          </cell>
          <cell r="J6">
            <v>75</v>
          </cell>
          <cell r="K6">
            <v>77</v>
          </cell>
          <cell r="L6">
            <v>80</v>
          </cell>
          <cell r="M6">
            <v>45</v>
          </cell>
          <cell r="N6">
            <v>50</v>
          </cell>
          <cell r="O6">
            <v>57</v>
          </cell>
          <cell r="P6">
            <v>65</v>
          </cell>
          <cell r="Q6">
            <v>70</v>
          </cell>
          <cell r="R6">
            <v>75</v>
          </cell>
          <cell r="S6">
            <v>80</v>
          </cell>
          <cell r="T6">
            <v>85</v>
          </cell>
          <cell r="U6">
            <v>90</v>
          </cell>
          <cell r="V6">
            <v>95</v>
          </cell>
          <cell r="W6">
            <v>60</v>
          </cell>
          <cell r="X6">
            <v>65</v>
          </cell>
          <cell r="Y6">
            <v>75</v>
          </cell>
          <cell r="Z6">
            <v>82</v>
          </cell>
          <cell r="AA6">
            <v>90</v>
          </cell>
          <cell r="AB6">
            <v>95</v>
          </cell>
          <cell r="AC6">
            <v>100</v>
          </cell>
          <cell r="AD6">
            <v>105</v>
          </cell>
          <cell r="AE6">
            <v>107</v>
          </cell>
          <cell r="AF6">
            <v>110</v>
          </cell>
          <cell r="AG6">
            <v>70</v>
          </cell>
          <cell r="AH6">
            <v>80</v>
          </cell>
          <cell r="AI6">
            <v>87</v>
          </cell>
          <cell r="AJ6">
            <v>92</v>
          </cell>
          <cell r="AK6">
            <v>100</v>
          </cell>
          <cell r="AL6">
            <v>107</v>
          </cell>
          <cell r="AM6">
            <v>115</v>
          </cell>
          <cell r="AN6">
            <v>120</v>
          </cell>
          <cell r="AO6">
            <v>122</v>
          </cell>
          <cell r="AP6">
            <v>125</v>
          </cell>
          <cell r="AQ6">
            <v>70</v>
          </cell>
          <cell r="AR6">
            <v>85</v>
          </cell>
          <cell r="AS6">
            <v>100</v>
          </cell>
          <cell r="AT6">
            <v>110</v>
          </cell>
          <cell r="AU6">
            <v>120</v>
          </cell>
          <cell r="AV6">
            <v>130</v>
          </cell>
          <cell r="AW6">
            <v>135</v>
          </cell>
          <cell r="AX6">
            <v>140</v>
          </cell>
          <cell r="AY6">
            <v>145</v>
          </cell>
          <cell r="AZ6">
            <v>150</v>
          </cell>
          <cell r="BA6">
            <v>80</v>
          </cell>
          <cell r="BB6">
            <v>100</v>
          </cell>
          <cell r="BC6">
            <v>120</v>
          </cell>
          <cell r="BD6">
            <v>130</v>
          </cell>
          <cell r="BE6">
            <v>140</v>
          </cell>
          <cell r="BF6">
            <v>150</v>
          </cell>
          <cell r="BG6">
            <v>160</v>
          </cell>
          <cell r="BH6">
            <v>165</v>
          </cell>
          <cell r="BI6">
            <v>170</v>
          </cell>
          <cell r="BJ6">
            <v>175</v>
          </cell>
          <cell r="BK6">
            <v>115</v>
          </cell>
          <cell r="BL6">
            <v>130</v>
          </cell>
          <cell r="BM6">
            <v>150</v>
          </cell>
          <cell r="BN6">
            <v>160</v>
          </cell>
          <cell r="BO6">
            <v>170</v>
          </cell>
          <cell r="BP6">
            <v>180</v>
          </cell>
          <cell r="BQ6">
            <v>185</v>
          </cell>
          <cell r="BR6">
            <v>190</v>
          </cell>
          <cell r="BS6">
            <v>195</v>
          </cell>
          <cell r="BT6">
            <v>200</v>
          </cell>
          <cell r="BU6">
            <v>130</v>
          </cell>
          <cell r="BV6">
            <v>150</v>
          </cell>
          <cell r="BW6">
            <v>170</v>
          </cell>
          <cell r="BX6">
            <v>185</v>
          </cell>
          <cell r="BY6">
            <v>195</v>
          </cell>
          <cell r="BZ6">
            <v>200</v>
          </cell>
          <cell r="CA6">
            <v>205</v>
          </cell>
          <cell r="CB6">
            <v>210</v>
          </cell>
          <cell r="CC6">
            <v>215</v>
          </cell>
          <cell r="CD6">
            <v>220</v>
          </cell>
        </row>
        <row r="7">
          <cell r="C7">
            <v>45</v>
          </cell>
          <cell r="D7">
            <v>55</v>
          </cell>
          <cell r="E7">
            <v>60</v>
          </cell>
          <cell r="F7">
            <v>67</v>
          </cell>
          <cell r="G7">
            <v>72</v>
          </cell>
          <cell r="H7">
            <v>77</v>
          </cell>
          <cell r="I7">
            <v>82</v>
          </cell>
          <cell r="J7">
            <v>85</v>
          </cell>
          <cell r="K7">
            <v>87</v>
          </cell>
          <cell r="L7">
            <v>90</v>
          </cell>
          <cell r="M7">
            <v>55</v>
          </cell>
          <cell r="N7">
            <v>60</v>
          </cell>
          <cell r="O7">
            <v>67</v>
          </cell>
          <cell r="P7">
            <v>77</v>
          </cell>
          <cell r="Q7">
            <v>82</v>
          </cell>
          <cell r="R7">
            <v>87</v>
          </cell>
          <cell r="S7">
            <v>92</v>
          </cell>
          <cell r="T7">
            <v>97</v>
          </cell>
          <cell r="U7">
            <v>100</v>
          </cell>
          <cell r="V7">
            <v>105</v>
          </cell>
          <cell r="W7">
            <v>70</v>
          </cell>
          <cell r="X7">
            <v>77</v>
          </cell>
          <cell r="Y7">
            <v>87</v>
          </cell>
          <cell r="Z7">
            <v>95</v>
          </cell>
          <cell r="AA7">
            <v>105</v>
          </cell>
          <cell r="AB7">
            <v>110</v>
          </cell>
          <cell r="AC7">
            <v>115</v>
          </cell>
          <cell r="AD7">
            <v>120</v>
          </cell>
          <cell r="AE7">
            <v>122</v>
          </cell>
          <cell r="AF7">
            <v>125</v>
          </cell>
          <cell r="AG7">
            <v>82</v>
          </cell>
          <cell r="AH7">
            <v>92</v>
          </cell>
          <cell r="AI7">
            <v>102</v>
          </cell>
          <cell r="AJ7">
            <v>107</v>
          </cell>
          <cell r="AK7">
            <v>117</v>
          </cell>
          <cell r="AL7">
            <v>122</v>
          </cell>
          <cell r="AM7">
            <v>130</v>
          </cell>
          <cell r="AN7">
            <v>135</v>
          </cell>
          <cell r="AO7">
            <v>137</v>
          </cell>
          <cell r="AP7">
            <v>140</v>
          </cell>
          <cell r="AQ7">
            <v>85</v>
          </cell>
          <cell r="AR7">
            <v>100</v>
          </cell>
          <cell r="AS7">
            <v>115</v>
          </cell>
          <cell r="AT7">
            <v>130</v>
          </cell>
          <cell r="AU7">
            <v>140</v>
          </cell>
          <cell r="AV7">
            <v>150</v>
          </cell>
          <cell r="AW7">
            <v>155</v>
          </cell>
          <cell r="AX7">
            <v>160</v>
          </cell>
          <cell r="AY7">
            <v>165</v>
          </cell>
          <cell r="AZ7">
            <v>170</v>
          </cell>
          <cell r="BA7">
            <v>95</v>
          </cell>
          <cell r="BB7">
            <v>115</v>
          </cell>
          <cell r="BC7">
            <v>135</v>
          </cell>
          <cell r="BD7">
            <v>150</v>
          </cell>
          <cell r="BE7">
            <v>160</v>
          </cell>
          <cell r="BF7">
            <v>170</v>
          </cell>
          <cell r="BG7">
            <v>180</v>
          </cell>
          <cell r="BH7">
            <v>185</v>
          </cell>
          <cell r="BI7">
            <v>190</v>
          </cell>
          <cell r="BJ7">
            <v>195</v>
          </cell>
          <cell r="BK7">
            <v>130</v>
          </cell>
          <cell r="BL7">
            <v>150</v>
          </cell>
          <cell r="BM7">
            <v>170</v>
          </cell>
          <cell r="BN7">
            <v>180</v>
          </cell>
          <cell r="BO7">
            <v>190</v>
          </cell>
          <cell r="BP7">
            <v>200</v>
          </cell>
          <cell r="BQ7">
            <v>210</v>
          </cell>
          <cell r="BR7">
            <v>215</v>
          </cell>
          <cell r="BS7">
            <v>220</v>
          </cell>
          <cell r="BT7">
            <v>225</v>
          </cell>
          <cell r="BU7">
            <v>145</v>
          </cell>
          <cell r="BV7">
            <v>170</v>
          </cell>
          <cell r="BW7">
            <v>195</v>
          </cell>
          <cell r="BX7">
            <v>210</v>
          </cell>
          <cell r="BY7">
            <v>220</v>
          </cell>
          <cell r="BZ7">
            <v>230</v>
          </cell>
          <cell r="CA7">
            <v>235</v>
          </cell>
          <cell r="CB7">
            <v>240</v>
          </cell>
          <cell r="CC7">
            <v>245</v>
          </cell>
          <cell r="CD7">
            <v>250</v>
          </cell>
        </row>
        <row r="8">
          <cell r="C8">
            <v>55</v>
          </cell>
          <cell r="D8">
            <v>65</v>
          </cell>
          <cell r="E8">
            <v>72</v>
          </cell>
          <cell r="F8">
            <v>82</v>
          </cell>
          <cell r="G8">
            <v>87</v>
          </cell>
          <cell r="H8">
            <v>92</v>
          </cell>
          <cell r="I8">
            <v>97</v>
          </cell>
          <cell r="J8">
            <v>100</v>
          </cell>
          <cell r="K8">
            <v>102</v>
          </cell>
          <cell r="L8">
            <v>105</v>
          </cell>
          <cell r="M8">
            <v>68</v>
          </cell>
          <cell r="N8">
            <v>75</v>
          </cell>
          <cell r="O8">
            <v>82</v>
          </cell>
          <cell r="P8">
            <v>92</v>
          </cell>
          <cell r="Q8">
            <v>97</v>
          </cell>
          <cell r="R8">
            <v>102</v>
          </cell>
          <cell r="S8">
            <v>107</v>
          </cell>
          <cell r="T8">
            <v>110</v>
          </cell>
          <cell r="U8">
            <v>112</v>
          </cell>
          <cell r="V8">
            <v>115</v>
          </cell>
          <cell r="W8">
            <v>83</v>
          </cell>
          <cell r="X8">
            <v>90</v>
          </cell>
          <cell r="Y8">
            <v>103</v>
          </cell>
          <cell r="Z8">
            <v>110</v>
          </cell>
          <cell r="AA8">
            <v>118</v>
          </cell>
          <cell r="AB8">
            <v>123</v>
          </cell>
          <cell r="AC8">
            <v>127</v>
          </cell>
          <cell r="AD8">
            <v>132</v>
          </cell>
          <cell r="AE8">
            <v>135</v>
          </cell>
          <cell r="AF8">
            <v>140</v>
          </cell>
          <cell r="AG8">
            <v>95</v>
          </cell>
          <cell r="AH8">
            <v>107</v>
          </cell>
          <cell r="AI8">
            <v>123</v>
          </cell>
          <cell r="AJ8">
            <v>130</v>
          </cell>
          <cell r="AK8">
            <v>137</v>
          </cell>
          <cell r="AL8">
            <v>142</v>
          </cell>
          <cell r="AM8">
            <v>147</v>
          </cell>
          <cell r="AN8">
            <v>150</v>
          </cell>
          <cell r="AO8">
            <v>152</v>
          </cell>
          <cell r="AP8">
            <v>155</v>
          </cell>
          <cell r="AQ8">
            <v>100</v>
          </cell>
          <cell r="AR8">
            <v>115</v>
          </cell>
          <cell r="AS8">
            <v>130</v>
          </cell>
          <cell r="AT8">
            <v>150</v>
          </cell>
          <cell r="AU8">
            <v>160</v>
          </cell>
          <cell r="AV8">
            <v>170</v>
          </cell>
          <cell r="AW8">
            <v>175</v>
          </cell>
          <cell r="AX8">
            <v>180</v>
          </cell>
          <cell r="AY8">
            <v>185</v>
          </cell>
          <cell r="AZ8">
            <v>190</v>
          </cell>
          <cell r="BA8">
            <v>110</v>
          </cell>
          <cell r="BB8">
            <v>130</v>
          </cell>
          <cell r="BC8">
            <v>150</v>
          </cell>
          <cell r="BD8">
            <v>170</v>
          </cell>
          <cell r="BE8">
            <v>180</v>
          </cell>
          <cell r="BF8">
            <v>190</v>
          </cell>
          <cell r="BG8">
            <v>200</v>
          </cell>
          <cell r="BH8">
            <v>205</v>
          </cell>
          <cell r="BI8">
            <v>210</v>
          </cell>
          <cell r="BJ8">
            <v>215</v>
          </cell>
          <cell r="BK8">
            <v>145</v>
          </cell>
          <cell r="BL8">
            <v>170</v>
          </cell>
          <cell r="BM8">
            <v>190</v>
          </cell>
          <cell r="BN8">
            <v>200</v>
          </cell>
          <cell r="BO8">
            <v>215</v>
          </cell>
          <cell r="BP8">
            <v>225</v>
          </cell>
          <cell r="BQ8">
            <v>230</v>
          </cell>
          <cell r="BR8">
            <v>240</v>
          </cell>
          <cell r="BS8">
            <v>245</v>
          </cell>
          <cell r="BT8">
            <v>250</v>
          </cell>
          <cell r="BU8">
            <v>170</v>
          </cell>
          <cell r="BV8">
            <v>195</v>
          </cell>
          <cell r="BW8">
            <v>225</v>
          </cell>
          <cell r="BX8">
            <v>240</v>
          </cell>
          <cell r="BY8">
            <v>250</v>
          </cell>
          <cell r="BZ8">
            <v>260</v>
          </cell>
          <cell r="CA8">
            <v>265</v>
          </cell>
          <cell r="CB8">
            <v>270</v>
          </cell>
          <cell r="CC8">
            <v>275</v>
          </cell>
          <cell r="CD8">
            <v>280</v>
          </cell>
        </row>
        <row r="9">
          <cell r="C9">
            <v>68</v>
          </cell>
          <cell r="D9">
            <v>78</v>
          </cell>
          <cell r="E9">
            <v>85</v>
          </cell>
          <cell r="F9">
            <v>95</v>
          </cell>
          <cell r="G9">
            <v>100</v>
          </cell>
          <cell r="H9">
            <v>105</v>
          </cell>
          <cell r="I9">
            <v>110</v>
          </cell>
          <cell r="J9">
            <v>115</v>
          </cell>
          <cell r="K9">
            <v>117</v>
          </cell>
          <cell r="L9">
            <v>120</v>
          </cell>
          <cell r="M9">
            <v>80</v>
          </cell>
          <cell r="N9">
            <v>88</v>
          </cell>
          <cell r="O9">
            <v>95</v>
          </cell>
          <cell r="P9">
            <v>105</v>
          </cell>
          <cell r="Q9">
            <v>110</v>
          </cell>
          <cell r="R9">
            <v>115</v>
          </cell>
          <cell r="S9">
            <v>120</v>
          </cell>
          <cell r="T9">
            <v>125</v>
          </cell>
          <cell r="U9">
            <v>130</v>
          </cell>
          <cell r="V9">
            <v>135</v>
          </cell>
          <cell r="W9">
            <v>97</v>
          </cell>
          <cell r="X9">
            <v>105</v>
          </cell>
          <cell r="Y9">
            <v>118</v>
          </cell>
          <cell r="Z9">
            <v>125</v>
          </cell>
          <cell r="AA9">
            <v>135</v>
          </cell>
          <cell r="AB9">
            <v>142</v>
          </cell>
          <cell r="AC9">
            <v>147</v>
          </cell>
          <cell r="AD9">
            <v>152</v>
          </cell>
          <cell r="AE9">
            <v>155</v>
          </cell>
          <cell r="AF9">
            <v>160</v>
          </cell>
          <cell r="AG9">
            <v>110</v>
          </cell>
          <cell r="AH9">
            <v>122</v>
          </cell>
          <cell r="AI9">
            <v>138</v>
          </cell>
          <cell r="AJ9">
            <v>145</v>
          </cell>
          <cell r="AK9">
            <v>155</v>
          </cell>
          <cell r="AL9">
            <v>165</v>
          </cell>
          <cell r="AM9">
            <v>170</v>
          </cell>
          <cell r="AN9">
            <v>172</v>
          </cell>
          <cell r="AO9">
            <v>175</v>
          </cell>
          <cell r="AP9">
            <v>180</v>
          </cell>
          <cell r="AQ9">
            <v>115</v>
          </cell>
          <cell r="AR9">
            <v>130</v>
          </cell>
          <cell r="AS9">
            <v>150</v>
          </cell>
          <cell r="AT9">
            <v>170</v>
          </cell>
          <cell r="AU9">
            <v>180</v>
          </cell>
          <cell r="AV9">
            <v>190</v>
          </cell>
          <cell r="AW9">
            <v>200</v>
          </cell>
          <cell r="AX9">
            <v>205</v>
          </cell>
          <cell r="AY9">
            <v>210</v>
          </cell>
          <cell r="AZ9">
            <v>215</v>
          </cell>
          <cell r="BA9">
            <v>125</v>
          </cell>
          <cell r="BB9">
            <v>145</v>
          </cell>
          <cell r="BC9">
            <v>170</v>
          </cell>
          <cell r="BD9">
            <v>190</v>
          </cell>
          <cell r="BE9">
            <v>200</v>
          </cell>
          <cell r="BF9">
            <v>210</v>
          </cell>
          <cell r="BG9">
            <v>220</v>
          </cell>
          <cell r="BH9">
            <v>225</v>
          </cell>
          <cell r="BI9">
            <v>230</v>
          </cell>
          <cell r="BJ9">
            <v>235</v>
          </cell>
          <cell r="BK9">
            <v>170</v>
          </cell>
          <cell r="BL9">
            <v>190</v>
          </cell>
          <cell r="BM9">
            <v>218</v>
          </cell>
          <cell r="BN9">
            <v>230</v>
          </cell>
          <cell r="BO9">
            <v>245</v>
          </cell>
          <cell r="BP9">
            <v>255</v>
          </cell>
          <cell r="BQ9">
            <v>260</v>
          </cell>
          <cell r="BR9">
            <v>270</v>
          </cell>
          <cell r="BS9">
            <v>275</v>
          </cell>
          <cell r="BT9">
            <v>280</v>
          </cell>
          <cell r="BU9">
            <v>190</v>
          </cell>
          <cell r="BV9">
            <v>215</v>
          </cell>
          <cell r="BW9">
            <v>240</v>
          </cell>
          <cell r="BX9">
            <v>260</v>
          </cell>
          <cell r="BY9">
            <v>275</v>
          </cell>
          <cell r="BZ9">
            <v>287</v>
          </cell>
          <cell r="CA9">
            <v>295</v>
          </cell>
          <cell r="CB9">
            <v>302</v>
          </cell>
          <cell r="CC9">
            <v>310</v>
          </cell>
          <cell r="CD9">
            <v>315</v>
          </cell>
        </row>
        <row r="10">
          <cell r="C10">
            <v>80</v>
          </cell>
          <cell r="D10">
            <v>90</v>
          </cell>
          <cell r="E10">
            <v>100</v>
          </cell>
          <cell r="F10">
            <v>110</v>
          </cell>
          <cell r="G10">
            <v>115</v>
          </cell>
          <cell r="H10">
            <v>120</v>
          </cell>
          <cell r="I10">
            <v>125</v>
          </cell>
          <cell r="J10">
            <v>130</v>
          </cell>
          <cell r="K10">
            <v>132</v>
          </cell>
          <cell r="L10">
            <v>135</v>
          </cell>
          <cell r="M10">
            <v>90</v>
          </cell>
          <cell r="N10">
            <v>100</v>
          </cell>
          <cell r="O10">
            <v>110</v>
          </cell>
          <cell r="P10">
            <v>120</v>
          </cell>
          <cell r="Q10">
            <v>125</v>
          </cell>
          <cell r="R10">
            <v>130</v>
          </cell>
          <cell r="S10">
            <v>135</v>
          </cell>
          <cell r="T10">
            <v>140</v>
          </cell>
          <cell r="U10">
            <v>145</v>
          </cell>
          <cell r="V10">
            <v>150</v>
          </cell>
          <cell r="W10">
            <v>110</v>
          </cell>
          <cell r="X10">
            <v>120</v>
          </cell>
          <cell r="Y10">
            <v>138</v>
          </cell>
          <cell r="Z10">
            <v>145</v>
          </cell>
          <cell r="AA10">
            <v>155</v>
          </cell>
          <cell r="AB10">
            <v>162</v>
          </cell>
          <cell r="AC10">
            <v>167</v>
          </cell>
          <cell r="AD10">
            <v>172</v>
          </cell>
          <cell r="AE10">
            <v>175</v>
          </cell>
          <cell r="AF10">
            <v>180</v>
          </cell>
          <cell r="AG10">
            <v>125</v>
          </cell>
          <cell r="AH10">
            <v>140</v>
          </cell>
          <cell r="AI10">
            <v>155</v>
          </cell>
          <cell r="AJ10">
            <v>165</v>
          </cell>
          <cell r="AK10">
            <v>175</v>
          </cell>
          <cell r="AL10">
            <v>185</v>
          </cell>
          <cell r="AM10">
            <v>190</v>
          </cell>
          <cell r="AN10">
            <v>192</v>
          </cell>
          <cell r="AO10">
            <v>195</v>
          </cell>
          <cell r="AP10">
            <v>200</v>
          </cell>
          <cell r="AQ10">
            <v>130</v>
          </cell>
          <cell r="AR10">
            <v>150</v>
          </cell>
          <cell r="AS10">
            <v>170</v>
          </cell>
          <cell r="AT10">
            <v>190</v>
          </cell>
          <cell r="AU10">
            <v>200</v>
          </cell>
          <cell r="AV10">
            <v>210</v>
          </cell>
          <cell r="AW10">
            <v>220</v>
          </cell>
          <cell r="AX10">
            <v>225</v>
          </cell>
          <cell r="AY10">
            <v>230</v>
          </cell>
          <cell r="AZ10">
            <v>235</v>
          </cell>
          <cell r="BA10">
            <v>140</v>
          </cell>
          <cell r="BB10">
            <v>170</v>
          </cell>
          <cell r="BC10">
            <v>190</v>
          </cell>
          <cell r="BD10">
            <v>210</v>
          </cell>
          <cell r="BE10">
            <v>220</v>
          </cell>
          <cell r="BF10">
            <v>230</v>
          </cell>
          <cell r="BG10">
            <v>240</v>
          </cell>
          <cell r="BH10">
            <v>250</v>
          </cell>
          <cell r="BI10">
            <v>255</v>
          </cell>
          <cell r="BJ10">
            <v>260</v>
          </cell>
          <cell r="BK10">
            <v>190</v>
          </cell>
          <cell r="BL10">
            <v>210</v>
          </cell>
          <cell r="BM10">
            <v>240</v>
          </cell>
          <cell r="BN10">
            <v>250</v>
          </cell>
          <cell r="BO10">
            <v>270</v>
          </cell>
          <cell r="BP10">
            <v>285</v>
          </cell>
          <cell r="BQ10">
            <v>290</v>
          </cell>
          <cell r="BR10">
            <v>300</v>
          </cell>
          <cell r="BS10">
            <v>305</v>
          </cell>
          <cell r="BT10">
            <v>310</v>
          </cell>
          <cell r="BU10">
            <v>210</v>
          </cell>
          <cell r="BV10">
            <v>235</v>
          </cell>
          <cell r="BW10">
            <v>260</v>
          </cell>
          <cell r="BX10">
            <v>280</v>
          </cell>
          <cell r="BY10">
            <v>295</v>
          </cell>
          <cell r="BZ10">
            <v>310</v>
          </cell>
          <cell r="CA10">
            <v>320</v>
          </cell>
          <cell r="CB10">
            <v>330</v>
          </cell>
          <cell r="CC10">
            <v>335</v>
          </cell>
          <cell r="CD10">
            <v>340</v>
          </cell>
        </row>
        <row r="11">
          <cell r="C11">
            <v>90</v>
          </cell>
          <cell r="D11">
            <v>105</v>
          </cell>
          <cell r="E11">
            <v>115</v>
          </cell>
          <cell r="F11">
            <v>125</v>
          </cell>
          <cell r="G11">
            <v>130</v>
          </cell>
          <cell r="H11">
            <v>135</v>
          </cell>
          <cell r="I11">
            <v>140</v>
          </cell>
          <cell r="J11">
            <v>145</v>
          </cell>
          <cell r="K11">
            <v>147</v>
          </cell>
          <cell r="L11">
            <v>150</v>
          </cell>
          <cell r="M11">
            <v>105</v>
          </cell>
          <cell r="N11">
            <v>115</v>
          </cell>
          <cell r="O11">
            <v>125</v>
          </cell>
          <cell r="P11">
            <v>135</v>
          </cell>
          <cell r="Q11">
            <v>140</v>
          </cell>
          <cell r="R11">
            <v>145</v>
          </cell>
          <cell r="S11">
            <v>150</v>
          </cell>
          <cell r="T11">
            <v>160</v>
          </cell>
          <cell r="U11">
            <v>165</v>
          </cell>
          <cell r="V11">
            <v>170</v>
          </cell>
          <cell r="W11">
            <v>130</v>
          </cell>
          <cell r="X11">
            <v>140</v>
          </cell>
          <cell r="Y11">
            <v>160</v>
          </cell>
          <cell r="Z11">
            <v>165</v>
          </cell>
          <cell r="AA11">
            <v>175</v>
          </cell>
          <cell r="AB11">
            <v>182</v>
          </cell>
          <cell r="AC11">
            <v>187</v>
          </cell>
          <cell r="AD11">
            <v>192</v>
          </cell>
          <cell r="AE11">
            <v>195</v>
          </cell>
          <cell r="AF11">
            <v>200</v>
          </cell>
          <cell r="AG11">
            <v>145</v>
          </cell>
          <cell r="AH11">
            <v>160</v>
          </cell>
          <cell r="AI11">
            <v>175</v>
          </cell>
          <cell r="AJ11">
            <v>185</v>
          </cell>
          <cell r="AK11">
            <v>195</v>
          </cell>
          <cell r="AL11">
            <v>205</v>
          </cell>
          <cell r="AM11">
            <v>210</v>
          </cell>
          <cell r="AN11">
            <v>212</v>
          </cell>
          <cell r="AO11">
            <v>215</v>
          </cell>
          <cell r="AP11">
            <v>220</v>
          </cell>
          <cell r="AQ11">
            <v>145</v>
          </cell>
          <cell r="AR11">
            <v>170</v>
          </cell>
          <cell r="AS11">
            <v>190</v>
          </cell>
          <cell r="AT11">
            <v>210</v>
          </cell>
          <cell r="AU11">
            <v>220</v>
          </cell>
          <cell r="AV11">
            <v>230</v>
          </cell>
          <cell r="AW11">
            <v>240</v>
          </cell>
          <cell r="AX11">
            <v>245</v>
          </cell>
          <cell r="AY11">
            <v>250</v>
          </cell>
          <cell r="AZ11">
            <v>255</v>
          </cell>
          <cell r="BA11">
            <v>155</v>
          </cell>
          <cell r="BB11">
            <v>190</v>
          </cell>
          <cell r="BC11">
            <v>210</v>
          </cell>
          <cell r="BD11">
            <v>230</v>
          </cell>
          <cell r="BE11">
            <v>240</v>
          </cell>
          <cell r="BF11">
            <v>260</v>
          </cell>
          <cell r="BG11">
            <v>270</v>
          </cell>
          <cell r="BH11">
            <v>280</v>
          </cell>
          <cell r="BI11">
            <v>285</v>
          </cell>
          <cell r="BJ11">
            <v>290</v>
          </cell>
          <cell r="BK11">
            <v>210</v>
          </cell>
          <cell r="BL11">
            <v>230</v>
          </cell>
          <cell r="BM11">
            <v>260</v>
          </cell>
          <cell r="BN11">
            <v>275</v>
          </cell>
          <cell r="BO11">
            <v>295</v>
          </cell>
          <cell r="BP11">
            <v>310</v>
          </cell>
          <cell r="BQ11">
            <v>315</v>
          </cell>
          <cell r="BR11">
            <v>325</v>
          </cell>
          <cell r="BS11">
            <v>330</v>
          </cell>
          <cell r="BT11">
            <v>335</v>
          </cell>
          <cell r="BU11">
            <v>230</v>
          </cell>
          <cell r="BV11">
            <v>260</v>
          </cell>
          <cell r="BW11">
            <v>280</v>
          </cell>
          <cell r="BX11">
            <v>300</v>
          </cell>
          <cell r="BY11">
            <v>320</v>
          </cell>
          <cell r="BZ11">
            <v>330</v>
          </cell>
          <cell r="CA11">
            <v>340</v>
          </cell>
          <cell r="CB11">
            <v>350</v>
          </cell>
          <cell r="CC11">
            <v>360</v>
          </cell>
          <cell r="CD11">
            <v>365</v>
          </cell>
        </row>
        <row r="12">
          <cell r="C12">
            <v>175</v>
          </cell>
          <cell r="D12">
            <v>175</v>
          </cell>
          <cell r="E12">
            <v>175</v>
          </cell>
          <cell r="F12">
            <v>190</v>
          </cell>
          <cell r="G12">
            <v>200</v>
          </cell>
          <cell r="H12">
            <v>210</v>
          </cell>
          <cell r="I12">
            <v>225</v>
          </cell>
          <cell r="J12">
            <v>225</v>
          </cell>
          <cell r="K12">
            <v>230</v>
          </cell>
          <cell r="L12">
            <v>230</v>
          </cell>
          <cell r="M12">
            <v>175</v>
          </cell>
          <cell r="N12">
            <v>175</v>
          </cell>
          <cell r="O12">
            <v>175</v>
          </cell>
          <cell r="P12">
            <v>190</v>
          </cell>
          <cell r="Q12">
            <v>200</v>
          </cell>
          <cell r="R12">
            <v>210</v>
          </cell>
          <cell r="S12">
            <v>225</v>
          </cell>
          <cell r="T12">
            <v>225</v>
          </cell>
          <cell r="U12">
            <v>230</v>
          </cell>
          <cell r="V12">
            <v>230</v>
          </cell>
          <cell r="W12">
            <v>175</v>
          </cell>
          <cell r="X12">
            <v>175</v>
          </cell>
          <cell r="Y12">
            <v>190</v>
          </cell>
          <cell r="Z12">
            <v>200</v>
          </cell>
          <cell r="AA12">
            <v>210</v>
          </cell>
          <cell r="AB12">
            <v>225</v>
          </cell>
          <cell r="AC12">
            <v>225</v>
          </cell>
          <cell r="AD12">
            <v>230</v>
          </cell>
          <cell r="AE12">
            <v>230</v>
          </cell>
          <cell r="AF12">
            <v>235</v>
          </cell>
          <cell r="AG12">
            <v>175</v>
          </cell>
          <cell r="AH12">
            <v>175</v>
          </cell>
          <cell r="AI12">
            <v>190</v>
          </cell>
          <cell r="AJ12">
            <v>200</v>
          </cell>
          <cell r="AK12">
            <v>210</v>
          </cell>
          <cell r="AL12">
            <v>225</v>
          </cell>
          <cell r="AM12">
            <v>225</v>
          </cell>
          <cell r="AN12">
            <v>230</v>
          </cell>
          <cell r="AO12">
            <v>230</v>
          </cell>
          <cell r="AP12">
            <v>235</v>
          </cell>
          <cell r="AQ12">
            <v>275</v>
          </cell>
          <cell r="AR12">
            <v>275</v>
          </cell>
          <cell r="AS12">
            <v>275</v>
          </cell>
          <cell r="AT12">
            <v>295</v>
          </cell>
          <cell r="AU12">
            <v>315</v>
          </cell>
          <cell r="AV12">
            <v>335</v>
          </cell>
          <cell r="AW12">
            <v>360</v>
          </cell>
          <cell r="AX12">
            <v>360</v>
          </cell>
          <cell r="AY12">
            <v>380</v>
          </cell>
          <cell r="AZ12">
            <v>380</v>
          </cell>
          <cell r="BA12">
            <v>275</v>
          </cell>
          <cell r="BB12">
            <v>275</v>
          </cell>
          <cell r="BC12">
            <v>275</v>
          </cell>
          <cell r="BD12">
            <v>295</v>
          </cell>
          <cell r="BE12">
            <v>315</v>
          </cell>
          <cell r="BF12">
            <v>335</v>
          </cell>
          <cell r="BG12">
            <v>360</v>
          </cell>
          <cell r="BH12">
            <v>360</v>
          </cell>
          <cell r="BI12">
            <v>380</v>
          </cell>
          <cell r="BJ12">
            <v>380</v>
          </cell>
          <cell r="BK12">
            <v>275</v>
          </cell>
          <cell r="BL12">
            <v>275</v>
          </cell>
          <cell r="BM12">
            <v>295</v>
          </cell>
          <cell r="BN12">
            <v>315</v>
          </cell>
          <cell r="BO12">
            <v>335</v>
          </cell>
          <cell r="BP12">
            <v>360</v>
          </cell>
          <cell r="BQ12">
            <v>360</v>
          </cell>
          <cell r="BR12">
            <v>380</v>
          </cell>
          <cell r="BS12">
            <v>380</v>
          </cell>
          <cell r="BT12">
            <v>385</v>
          </cell>
          <cell r="BU12">
            <v>275</v>
          </cell>
          <cell r="BV12">
            <v>275</v>
          </cell>
          <cell r="BW12">
            <v>295</v>
          </cell>
          <cell r="BX12">
            <v>315</v>
          </cell>
          <cell r="BY12">
            <v>335</v>
          </cell>
          <cell r="BZ12">
            <v>360</v>
          </cell>
          <cell r="CA12">
            <v>360</v>
          </cell>
          <cell r="CB12">
            <v>380</v>
          </cell>
          <cell r="CC12">
            <v>380</v>
          </cell>
          <cell r="CD12">
            <v>385</v>
          </cell>
        </row>
        <row r="15">
          <cell r="B15" t="str">
            <v>MINIME</v>
          </cell>
          <cell r="C15" t="str">
            <v>CADET</v>
          </cell>
          <cell r="D15" t="str">
            <v>CADET</v>
          </cell>
          <cell r="E15" t="str">
            <v>JUNIOR</v>
          </cell>
          <cell r="F15" t="str">
            <v>SENIOR</v>
          </cell>
          <cell r="H15" t="str">
            <v>MINIME</v>
          </cell>
          <cell r="I15" t="str">
            <v>CADETTE</v>
          </cell>
          <cell r="J15" t="str">
            <v>CADETTE</v>
          </cell>
          <cell r="K15" t="str">
            <v>JUNIOR</v>
          </cell>
          <cell r="L15" t="str">
            <v>SENIOR</v>
          </cell>
        </row>
        <row r="16">
          <cell r="A16">
            <v>10</v>
          </cell>
          <cell r="B16" t="str">
            <v>NON</v>
          </cell>
          <cell r="C16" t="str">
            <v>U15 M49</v>
          </cell>
          <cell r="D16" t="str">
            <v>U17 M49</v>
          </cell>
          <cell r="E16" t="str">
            <v>U20 M55</v>
          </cell>
          <cell r="F16" t="str">
            <v>SE M55</v>
          </cell>
          <cell r="G16">
            <v>10</v>
          </cell>
          <cell r="H16" t="str">
            <v>NON</v>
          </cell>
          <cell r="I16" t="str">
            <v>U15 F40</v>
          </cell>
          <cell r="J16" t="str">
            <v>U17 F40</v>
          </cell>
          <cell r="K16" t="str">
            <v>U20 F45</v>
          </cell>
          <cell r="L16" t="str">
            <v>SE F45</v>
          </cell>
        </row>
        <row r="17">
          <cell r="A17">
            <v>35.01</v>
          </cell>
          <cell r="B17" t="str">
            <v>NON</v>
          </cell>
          <cell r="C17" t="str">
            <v>U15 M49</v>
          </cell>
          <cell r="D17" t="str">
            <v>U17 M49</v>
          </cell>
          <cell r="E17" t="str">
            <v>U20 M55</v>
          </cell>
          <cell r="F17" t="str">
            <v>SE M55</v>
          </cell>
          <cell r="G17">
            <v>35.01</v>
          </cell>
          <cell r="H17" t="str">
            <v>NON</v>
          </cell>
          <cell r="I17" t="str">
            <v>U15 F40</v>
          </cell>
          <cell r="J17" t="str">
            <v>U17 F40</v>
          </cell>
          <cell r="K17" t="str">
            <v>U20 F45</v>
          </cell>
          <cell r="L17" t="str">
            <v>SE F45</v>
          </cell>
        </row>
        <row r="18">
          <cell r="A18">
            <v>40.01</v>
          </cell>
          <cell r="B18" t="str">
            <v>NON</v>
          </cell>
          <cell r="C18" t="str">
            <v>U15 M49</v>
          </cell>
          <cell r="D18" t="str">
            <v>U17 M49</v>
          </cell>
          <cell r="E18" t="str">
            <v>U20 M55</v>
          </cell>
          <cell r="F18" t="str">
            <v>SE M55</v>
          </cell>
          <cell r="G18">
            <v>40.01</v>
          </cell>
          <cell r="H18" t="str">
            <v>NON</v>
          </cell>
          <cell r="I18" t="str">
            <v>U15 F45</v>
          </cell>
          <cell r="J18" t="str">
            <v>U17 F45</v>
          </cell>
          <cell r="K18" t="str">
            <v>U20 F45</v>
          </cell>
          <cell r="L18" t="str">
            <v>SE F45</v>
          </cell>
        </row>
        <row r="19">
          <cell r="A19">
            <v>45.01</v>
          </cell>
          <cell r="B19" t="str">
            <v>NON</v>
          </cell>
          <cell r="C19" t="str">
            <v>U15 M49</v>
          </cell>
          <cell r="D19" t="str">
            <v>U17 M49</v>
          </cell>
          <cell r="E19" t="str">
            <v>U20 M55</v>
          </cell>
          <cell r="F19" t="str">
            <v>SE M55</v>
          </cell>
          <cell r="G19">
            <v>45.01</v>
          </cell>
          <cell r="H19" t="str">
            <v>NON</v>
          </cell>
          <cell r="I19" t="str">
            <v>U15 F49</v>
          </cell>
          <cell r="J19" t="str">
            <v>U17 F49</v>
          </cell>
          <cell r="K19" t="str">
            <v>U20 F49</v>
          </cell>
          <cell r="L19" t="str">
            <v>SE F49</v>
          </cell>
        </row>
        <row r="20">
          <cell r="A20">
            <v>49.01</v>
          </cell>
          <cell r="B20" t="str">
            <v>NON</v>
          </cell>
          <cell r="C20" t="str">
            <v>U15 M55</v>
          </cell>
          <cell r="D20" t="str">
            <v>U17 M55</v>
          </cell>
          <cell r="E20" t="str">
            <v>U20 M55</v>
          </cell>
          <cell r="F20" t="str">
            <v>SE M55</v>
          </cell>
          <cell r="G20">
            <v>49.01</v>
          </cell>
          <cell r="H20" t="str">
            <v>NON</v>
          </cell>
          <cell r="I20" t="str">
            <v>U15 F55</v>
          </cell>
          <cell r="J20" t="str">
            <v>U17 F55</v>
          </cell>
          <cell r="K20" t="str">
            <v>U20 F55</v>
          </cell>
          <cell r="L20" t="str">
            <v>SE F55</v>
          </cell>
        </row>
        <row r="21">
          <cell r="A21">
            <v>55.01</v>
          </cell>
          <cell r="B21" t="str">
            <v>NON</v>
          </cell>
          <cell r="C21" t="str">
            <v>U15 M61</v>
          </cell>
          <cell r="D21" t="str">
            <v>U17 M61</v>
          </cell>
          <cell r="E21" t="str">
            <v>U20 M61</v>
          </cell>
          <cell r="F21" t="str">
            <v>SE M61</v>
          </cell>
          <cell r="G21">
            <v>55.01</v>
          </cell>
          <cell r="H21" t="str">
            <v>NON</v>
          </cell>
          <cell r="I21" t="str">
            <v>U15 F59</v>
          </cell>
          <cell r="J21" t="str">
            <v>U17 F59</v>
          </cell>
          <cell r="K21" t="str">
            <v>U20 F59</v>
          </cell>
          <cell r="L21" t="str">
            <v>SE F59</v>
          </cell>
        </row>
        <row r="22">
          <cell r="A22">
            <v>61.01</v>
          </cell>
          <cell r="B22" t="str">
            <v>NON</v>
          </cell>
          <cell r="C22" t="str">
            <v>U15 M67</v>
          </cell>
          <cell r="D22" t="str">
            <v>U17 M67</v>
          </cell>
          <cell r="E22" t="str">
            <v>U20 M67</v>
          </cell>
          <cell r="F22" t="str">
            <v>SE M67</v>
          </cell>
          <cell r="G22">
            <v>59.01</v>
          </cell>
          <cell r="H22" t="str">
            <v>NON</v>
          </cell>
          <cell r="I22" t="str">
            <v>U15 F64</v>
          </cell>
          <cell r="J22" t="str">
            <v>U17 F64</v>
          </cell>
          <cell r="K22" t="str">
            <v>U20 F64</v>
          </cell>
          <cell r="L22" t="str">
            <v>SE F64</v>
          </cell>
        </row>
        <row r="23">
          <cell r="A23">
            <v>67.010000000000005</v>
          </cell>
          <cell r="B23" t="str">
            <v>NON</v>
          </cell>
          <cell r="C23" t="str">
            <v>U15 M73</v>
          </cell>
          <cell r="D23" t="str">
            <v>U17 M73</v>
          </cell>
          <cell r="E23" t="str">
            <v>U20 M73</v>
          </cell>
          <cell r="F23" t="str">
            <v>SE M73</v>
          </cell>
          <cell r="G23">
            <v>64.010000000000005</v>
          </cell>
          <cell r="H23" t="str">
            <v>NON</v>
          </cell>
          <cell r="I23" t="str">
            <v>U15 F71</v>
          </cell>
          <cell r="J23" t="str">
            <v>U17 F71</v>
          </cell>
          <cell r="K23" t="str">
            <v>U20 F71</v>
          </cell>
          <cell r="L23" t="str">
            <v>SE F71</v>
          </cell>
        </row>
        <row r="24">
          <cell r="A24">
            <v>73.010000000000005</v>
          </cell>
          <cell r="B24" t="str">
            <v>NON</v>
          </cell>
          <cell r="C24" t="str">
            <v>U15 M81</v>
          </cell>
          <cell r="D24" t="str">
            <v>U17 M81</v>
          </cell>
          <cell r="E24" t="str">
            <v>U20 M81</v>
          </cell>
          <cell r="F24" t="str">
            <v>SE M81</v>
          </cell>
          <cell r="G24">
            <v>71.010000000000005</v>
          </cell>
          <cell r="H24" t="str">
            <v>NON</v>
          </cell>
          <cell r="I24" t="str">
            <v>U15 F76</v>
          </cell>
          <cell r="J24" t="str">
            <v>U17 F76</v>
          </cell>
          <cell r="K24" t="str">
            <v>U20 F76</v>
          </cell>
          <cell r="L24" t="str">
            <v>SE F76</v>
          </cell>
        </row>
        <row r="25">
          <cell r="A25">
            <v>81.010000000000005</v>
          </cell>
          <cell r="B25" t="str">
            <v>NON</v>
          </cell>
          <cell r="C25" t="str">
            <v>U15 M89</v>
          </cell>
          <cell r="D25" t="str">
            <v>U17 M89</v>
          </cell>
          <cell r="E25" t="str">
            <v>U20 M89</v>
          </cell>
          <cell r="F25" t="str">
            <v>SE M89</v>
          </cell>
          <cell r="G25">
            <v>76.010000000000005</v>
          </cell>
          <cell r="H25" t="str">
            <v>NON</v>
          </cell>
          <cell r="I25" t="str">
            <v>U15 F81</v>
          </cell>
          <cell r="J25" t="str">
            <v>U17 F81</v>
          </cell>
          <cell r="K25" t="str">
            <v>U20 F81</v>
          </cell>
          <cell r="L25" t="str">
            <v>SE F81</v>
          </cell>
        </row>
        <row r="26">
          <cell r="A26">
            <v>89.01</v>
          </cell>
          <cell r="B26" t="str">
            <v>NON</v>
          </cell>
          <cell r="C26" t="str">
            <v>U15 M96</v>
          </cell>
          <cell r="D26" t="str">
            <v>U17 M96</v>
          </cell>
          <cell r="E26" t="str">
            <v>U20 M96</v>
          </cell>
          <cell r="F26" t="str">
            <v>SE M96</v>
          </cell>
          <cell r="G26">
            <v>81.010000000000005</v>
          </cell>
          <cell r="H26" t="str">
            <v>NON</v>
          </cell>
          <cell r="I26" t="str">
            <v>U15 F&gt;81</v>
          </cell>
          <cell r="J26" t="str">
            <v>U17 F&gt;81</v>
          </cell>
          <cell r="K26" t="str">
            <v>U20 F87</v>
          </cell>
          <cell r="L26" t="str">
            <v>SE F87</v>
          </cell>
        </row>
        <row r="27">
          <cell r="A27">
            <v>96.01</v>
          </cell>
          <cell r="B27" t="str">
            <v>NON</v>
          </cell>
          <cell r="C27" t="str">
            <v>U15 M102</v>
          </cell>
          <cell r="D27" t="str">
            <v>U17 M102</v>
          </cell>
          <cell r="E27" t="str">
            <v>U20 M102</v>
          </cell>
          <cell r="F27" t="str">
            <v>SE M102</v>
          </cell>
          <cell r="G27">
            <v>87.01</v>
          </cell>
          <cell r="H27" t="str">
            <v>NON</v>
          </cell>
          <cell r="I27" t="str">
            <v>U15 F&gt;81</v>
          </cell>
          <cell r="J27" t="str">
            <v>U17 F&gt;81</v>
          </cell>
          <cell r="K27" t="str">
            <v>U20 F&gt;87</v>
          </cell>
          <cell r="L27" t="str">
            <v>SE F&gt;87</v>
          </cell>
        </row>
        <row r="28">
          <cell r="A28">
            <v>102.01</v>
          </cell>
          <cell r="B28" t="str">
            <v>NON</v>
          </cell>
          <cell r="C28" t="str">
            <v>U15 M&gt;102</v>
          </cell>
          <cell r="D28" t="str">
            <v>U17 M&gt;102</v>
          </cell>
          <cell r="E28" t="str">
            <v>U20 M109</v>
          </cell>
          <cell r="F28" t="str">
            <v>SE M109</v>
          </cell>
          <cell r="H28"/>
          <cell r="I28"/>
          <cell r="J28"/>
          <cell r="K28"/>
          <cell r="L28"/>
        </row>
        <row r="29">
          <cell r="A29">
            <v>109.1</v>
          </cell>
          <cell r="B29" t="str">
            <v>NON</v>
          </cell>
          <cell r="C29" t="str">
            <v>U15 M&gt;102</v>
          </cell>
          <cell r="D29" t="str">
            <v>U17 M&gt;102</v>
          </cell>
          <cell r="E29" t="str">
            <v>U20 M&gt;109</v>
          </cell>
          <cell r="F29" t="str">
            <v>SE M&gt;109</v>
          </cell>
          <cell r="H29"/>
          <cell r="I29"/>
          <cell r="J29"/>
          <cell r="K29"/>
          <cell r="L29"/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FF00FF"/>
    <pageSetUpPr fitToPage="1"/>
  </sheetPr>
  <dimension ref="A1:FW1156"/>
  <sheetViews>
    <sheetView topLeftCell="A70" zoomScale="55" zoomScaleNormal="55" workbookViewId="0">
      <selection activeCell="AA109" sqref="AA109:AP109"/>
    </sheetView>
  </sheetViews>
  <sheetFormatPr baseColWidth="10" defaultColWidth="11.453125" defaultRowHeight="14" x14ac:dyDescent="0.25"/>
  <cols>
    <col min="1" max="1" width="1.7265625" style="1" customWidth="1"/>
    <col min="2" max="2" width="8.26953125" style="92" bestFit="1" customWidth="1"/>
    <col min="3" max="3" width="9.7265625" style="5" customWidth="1"/>
    <col min="4" max="5" width="6.7265625" style="1" customWidth="1"/>
    <col min="6" max="6" width="32.7265625" style="1" customWidth="1"/>
    <col min="7" max="7" width="20.7265625" style="1" customWidth="1"/>
    <col min="8" max="8" width="9" style="1" bestFit="1" customWidth="1"/>
    <col min="9" max="9" width="40.7265625" style="3" customWidth="1"/>
    <col min="10" max="10" width="8.453125" style="2" bestFit="1" customWidth="1"/>
    <col min="11" max="11" width="9.81640625" style="1" bestFit="1" customWidth="1"/>
    <col min="12" max="14" width="9.26953125" style="1" customWidth="1"/>
    <col min="15" max="15" width="9.26953125" style="3" customWidth="1"/>
    <col min="16" max="18" width="9.26953125" style="1" customWidth="1"/>
    <col min="19" max="20" width="9.26953125" style="3" customWidth="1"/>
    <col min="21" max="21" width="11.7265625" style="4" customWidth="1"/>
    <col min="22" max="22" width="12" style="1" bestFit="1" customWidth="1"/>
    <col min="23" max="23" width="13" style="1" customWidth="1"/>
    <col min="24" max="24" width="11.7265625" style="270" customWidth="1"/>
    <col min="25" max="25" width="55.26953125" style="271" customWidth="1"/>
    <col min="26" max="26" width="20.1796875" style="271" customWidth="1"/>
    <col min="27" max="27" width="12.453125" style="34" customWidth="1"/>
    <col min="28" max="36" width="13.453125" style="34" bestFit="1" customWidth="1"/>
    <col min="37" max="37" width="9.1796875" style="34" bestFit="1" customWidth="1"/>
    <col min="38" max="38" width="14.81640625" style="34" customWidth="1"/>
    <col min="39" max="39" width="9.1796875" style="34" bestFit="1" customWidth="1"/>
    <col min="40" max="40" width="7.26953125" style="34" bestFit="1" customWidth="1"/>
    <col min="41" max="41" width="6.54296875" style="34" customWidth="1"/>
    <col min="42" max="42" width="11.453125" style="34" customWidth="1"/>
    <col min="43" max="124" width="11.453125" style="34"/>
    <col min="125" max="16384" width="11.453125" style="1"/>
  </cols>
  <sheetData>
    <row r="1" spans="1:179" ht="5.15" customHeight="1" thickBot="1" x14ac:dyDescent="0.3"/>
    <row r="2" spans="1:179" s="9" customFormat="1" ht="30" customHeight="1" x14ac:dyDescent="0.25">
      <c r="B2" s="93"/>
      <c r="C2" s="268"/>
      <c r="D2" s="899" t="s">
        <v>500</v>
      </c>
      <c r="E2" s="900"/>
      <c r="F2" s="900"/>
      <c r="G2" s="900"/>
      <c r="H2" s="900"/>
      <c r="I2" s="900"/>
      <c r="J2" s="900"/>
      <c r="K2" s="900"/>
      <c r="L2" s="40"/>
      <c r="M2" s="41"/>
      <c r="N2" s="906" t="s">
        <v>125</v>
      </c>
      <c r="O2" s="906"/>
      <c r="P2" s="906"/>
      <c r="Q2" s="906"/>
      <c r="R2" s="906"/>
      <c r="S2" s="906"/>
      <c r="T2" s="41"/>
      <c r="U2" s="41"/>
      <c r="V2" s="900" t="s">
        <v>14</v>
      </c>
      <c r="W2" s="901"/>
      <c r="X2" s="272"/>
      <c r="Y2" s="273"/>
      <c r="Z2" s="273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  <c r="DN2" s="35"/>
      <c r="DO2" s="35"/>
      <c r="DP2" s="35"/>
      <c r="DQ2" s="35"/>
      <c r="DR2" s="35"/>
      <c r="DS2" s="35"/>
      <c r="DT2" s="35"/>
    </row>
    <row r="3" spans="1:179" s="9" customFormat="1" ht="30" customHeight="1" thickBot="1" x14ac:dyDescent="0.3">
      <c r="B3" s="93"/>
      <c r="C3" s="268"/>
      <c r="D3" s="902" t="s">
        <v>530</v>
      </c>
      <c r="E3" s="903"/>
      <c r="F3" s="903"/>
      <c r="G3" s="903"/>
      <c r="H3" s="903"/>
      <c r="I3" s="903"/>
      <c r="J3" s="903"/>
      <c r="K3" s="903"/>
      <c r="L3" s="42"/>
      <c r="M3" s="42"/>
      <c r="N3" s="907"/>
      <c r="O3" s="907"/>
      <c r="P3" s="907"/>
      <c r="Q3" s="907"/>
      <c r="R3" s="907"/>
      <c r="S3" s="907"/>
      <c r="T3" s="42"/>
      <c r="U3" s="42"/>
      <c r="V3" s="904">
        <v>43647</v>
      </c>
      <c r="W3" s="905"/>
      <c r="X3" s="272"/>
      <c r="Y3" s="273"/>
      <c r="Z3" s="273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</row>
    <row r="4" spans="1:179" s="8" customFormat="1" ht="10" customHeight="1" thickBot="1" x14ac:dyDescent="0.3">
      <c r="A4" s="7"/>
      <c r="B4" s="94"/>
      <c r="C4" s="13"/>
      <c r="D4" s="14"/>
      <c r="E4" s="14"/>
      <c r="F4" s="15"/>
      <c r="G4" s="16"/>
      <c r="H4" s="17"/>
      <c r="I4" s="18"/>
      <c r="J4" s="19"/>
      <c r="K4" s="20"/>
      <c r="L4" s="21"/>
      <c r="M4" s="21"/>
      <c r="N4" s="21"/>
      <c r="O4" s="22"/>
      <c r="P4" s="21"/>
      <c r="Q4" s="21"/>
      <c r="R4" s="21"/>
      <c r="S4" s="22"/>
      <c r="T4" s="22"/>
      <c r="U4" s="23"/>
      <c r="V4" s="15"/>
      <c r="W4" s="15"/>
      <c r="X4" s="255"/>
      <c r="Y4" s="259"/>
      <c r="Z4" s="259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</row>
    <row r="5" spans="1:179" s="12" customFormat="1" ht="18" customHeight="1" thickBot="1" x14ac:dyDescent="0.3">
      <c r="A5" s="11"/>
      <c r="B5" s="95" t="s">
        <v>8</v>
      </c>
      <c r="C5" s="269" t="s">
        <v>9</v>
      </c>
      <c r="D5" s="43" t="s">
        <v>6</v>
      </c>
      <c r="E5" s="43" t="s">
        <v>39</v>
      </c>
      <c r="F5" s="898" t="s">
        <v>0</v>
      </c>
      <c r="G5" s="898"/>
      <c r="H5" s="43" t="s">
        <v>11</v>
      </c>
      <c r="I5" s="446" t="s">
        <v>10</v>
      </c>
      <c r="J5" s="44" t="s">
        <v>5</v>
      </c>
      <c r="K5" s="45" t="s">
        <v>1</v>
      </c>
      <c r="L5" s="46">
        <v>1</v>
      </c>
      <c r="M5" s="47">
        <v>2</v>
      </c>
      <c r="N5" s="47">
        <v>3</v>
      </c>
      <c r="O5" s="50" t="s">
        <v>12</v>
      </c>
      <c r="P5" s="46">
        <v>1</v>
      </c>
      <c r="Q5" s="47">
        <v>2</v>
      </c>
      <c r="R5" s="47">
        <v>3</v>
      </c>
      <c r="S5" s="50" t="s">
        <v>13</v>
      </c>
      <c r="T5" s="55" t="s">
        <v>2</v>
      </c>
      <c r="U5" s="56" t="s">
        <v>3</v>
      </c>
      <c r="V5" s="56" t="s">
        <v>7</v>
      </c>
      <c r="W5" s="57" t="s">
        <v>4</v>
      </c>
      <c r="X5" s="274" t="s">
        <v>14</v>
      </c>
      <c r="Y5" s="275" t="s">
        <v>501</v>
      </c>
      <c r="Z5" s="276" t="s">
        <v>502</v>
      </c>
      <c r="AA5" s="37"/>
      <c r="AB5" s="233" t="s">
        <v>43</v>
      </c>
      <c r="AC5" s="233" t="s">
        <v>42</v>
      </c>
      <c r="AD5" s="233" t="s">
        <v>32</v>
      </c>
      <c r="AE5" s="233" t="s">
        <v>33</v>
      </c>
      <c r="AF5" s="233" t="s">
        <v>34</v>
      </c>
      <c r="AG5" s="233" t="s">
        <v>35</v>
      </c>
      <c r="AH5" s="233" t="s">
        <v>36</v>
      </c>
      <c r="AI5" s="233" t="s">
        <v>37</v>
      </c>
      <c r="AJ5" s="233" t="s">
        <v>38</v>
      </c>
      <c r="AK5" s="234"/>
      <c r="AL5" s="235"/>
      <c r="AM5" s="235"/>
      <c r="AN5" s="235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</row>
    <row r="6" spans="1:179" s="8" customFormat="1" ht="5.15" customHeight="1" thickBot="1" x14ac:dyDescent="0.3">
      <c r="A6" s="7"/>
      <c r="B6" s="96"/>
      <c r="C6" s="61"/>
      <c r="D6" s="62"/>
      <c r="E6" s="62"/>
      <c r="F6" s="63"/>
      <c r="G6" s="64"/>
      <c r="H6" s="65"/>
      <c r="I6" s="66"/>
      <c r="J6" s="67"/>
      <c r="K6" s="68"/>
      <c r="L6" s="69"/>
      <c r="M6" s="69"/>
      <c r="N6" s="69"/>
      <c r="O6" s="70"/>
      <c r="P6" s="69"/>
      <c r="Q6" s="69"/>
      <c r="R6" s="69"/>
      <c r="S6" s="70"/>
      <c r="T6" s="70"/>
      <c r="U6" s="71"/>
      <c r="V6" s="71"/>
      <c r="W6" s="71"/>
      <c r="X6" s="256"/>
      <c r="Y6" s="260"/>
      <c r="Z6" s="260"/>
      <c r="AA6" s="236"/>
      <c r="AB6" s="233" t="s">
        <v>30</v>
      </c>
      <c r="AC6" s="233" t="s">
        <v>31</v>
      </c>
      <c r="AD6" s="233" t="s">
        <v>32</v>
      </c>
      <c r="AE6" s="233" t="s">
        <v>33</v>
      </c>
      <c r="AF6" s="233" t="s">
        <v>34</v>
      </c>
      <c r="AG6" s="233" t="s">
        <v>35</v>
      </c>
      <c r="AH6" s="233" t="s">
        <v>36</v>
      </c>
      <c r="AI6" s="233" t="s">
        <v>37</v>
      </c>
      <c r="AJ6" s="233" t="s">
        <v>38</v>
      </c>
      <c r="AK6" s="233"/>
      <c r="AL6" s="236"/>
      <c r="AM6" s="236"/>
      <c r="AN6" s="2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</row>
    <row r="7" spans="1:179" s="5" customFormat="1" ht="30" customHeight="1" x14ac:dyDescent="0.25">
      <c r="B7" s="518" t="s">
        <v>543</v>
      </c>
      <c r="C7" s="620" t="s">
        <v>226</v>
      </c>
      <c r="D7" s="621"/>
      <c r="E7" s="622" t="s">
        <v>44</v>
      </c>
      <c r="F7" s="623" t="s">
        <v>697</v>
      </c>
      <c r="G7" s="624" t="s">
        <v>227</v>
      </c>
      <c r="H7" s="625">
        <v>2006</v>
      </c>
      <c r="I7" s="626" t="s">
        <v>214</v>
      </c>
      <c r="J7" s="627" t="s">
        <v>44</v>
      </c>
      <c r="K7" s="628">
        <v>46</v>
      </c>
      <c r="L7" s="629">
        <v>20</v>
      </c>
      <c r="M7" s="629">
        <v>22</v>
      </c>
      <c r="N7" s="629">
        <v>-24</v>
      </c>
      <c r="O7" s="501">
        <f>IF(AA7&lt;=0,0,AA7)</f>
        <v>42</v>
      </c>
      <c r="P7" s="629">
        <v>22</v>
      </c>
      <c r="Q7" s="629">
        <v>24</v>
      </c>
      <c r="R7" s="629">
        <v>26</v>
      </c>
      <c r="S7" s="501">
        <f>IF(AB7&lt;=0,0,AB7)</f>
        <v>50</v>
      </c>
      <c r="T7" s="502">
        <f>IF(E7="","",IF(OR(O7=0,S7=0),0,O7+S7))</f>
        <v>92</v>
      </c>
      <c r="U7" s="340" t="s">
        <v>698</v>
      </c>
      <c r="V7" s="48" t="str">
        <f>IF(H7=0," ",IF(E7="H",IF(AND(H7&gt;2005,H7&lt;2009),VLOOKUP(K7,[1]Minimas!$A$15:$C$29,3),IF(AND(H7&gt;2008,H7&lt;2011),VLOOKUP(K7,[1]Minimas!$A$15:$C$29,2),"ERREUR")),IF(AND(H7&gt;2005,H7&lt;2009),VLOOKUP(K7,[1]Minimas!$H$15:J$29,3),IF(AND(H7&gt;2008,H7&lt;2011),VLOOKUP(K7,[1]Minimas!$H$15:$J$29,2),"ERREUR"))))</f>
        <v>U13 F49</v>
      </c>
      <c r="W7" s="188">
        <f>IF(E7=" "," ",IF(E7="H",10^(0.75194503*LOG(K7/175.508)^2)*T7,IF(E7="F",10^(0.783497476* LOG(K7/153.655)^2)*T7,"")))</f>
        <v>150.91906342399102</v>
      </c>
      <c r="X7" s="630">
        <v>43492</v>
      </c>
      <c r="Y7" s="183" t="s">
        <v>525</v>
      </c>
      <c r="Z7" s="895"/>
      <c r="AA7" s="896">
        <f>IF(L7=0," ",MAXA(L7+M7,M7+N7,L7+N7))</f>
        <v>42</v>
      </c>
      <c r="AB7" s="462">
        <f>IF(P7=0," ",MAXA(P7+Q7,Q7+R7,P7+R7))</f>
        <v>50</v>
      </c>
      <c r="AC7" s="232"/>
      <c r="AD7" s="232"/>
      <c r="AE7" s="232"/>
      <c r="AF7" s="232"/>
      <c r="AG7" s="232"/>
      <c r="AH7" s="232"/>
      <c r="AI7" s="232"/>
      <c r="AJ7" s="232"/>
      <c r="AK7" s="232"/>
      <c r="AL7" s="232"/>
      <c r="AM7" s="232"/>
      <c r="AN7" s="232"/>
      <c r="AO7" s="232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484"/>
      <c r="DF7" s="484"/>
      <c r="DG7" s="484"/>
      <c r="DH7" s="484"/>
      <c r="DI7" s="484"/>
      <c r="DJ7" s="484"/>
      <c r="DK7" s="484"/>
      <c r="DL7" s="484"/>
      <c r="DM7" s="484"/>
      <c r="DN7" s="484"/>
      <c r="DO7" s="484"/>
      <c r="DP7" s="484"/>
      <c r="DQ7" s="484"/>
      <c r="DR7" s="484"/>
      <c r="DS7" s="484"/>
      <c r="DT7" s="484"/>
      <c r="DU7" s="484"/>
    </row>
    <row r="8" spans="1:179" s="5" customFormat="1" ht="30" customHeight="1" x14ac:dyDescent="0.25">
      <c r="B8" s="520" t="s">
        <v>543</v>
      </c>
      <c r="C8" s="166">
        <v>421582</v>
      </c>
      <c r="D8" s="171"/>
      <c r="E8" s="476" t="s">
        <v>44</v>
      </c>
      <c r="F8" s="143" t="s">
        <v>228</v>
      </c>
      <c r="G8" s="144" t="s">
        <v>229</v>
      </c>
      <c r="H8" s="145">
        <v>2007</v>
      </c>
      <c r="I8" s="172" t="s">
        <v>219</v>
      </c>
      <c r="J8" s="146" t="s">
        <v>44</v>
      </c>
      <c r="K8" s="200">
        <v>55</v>
      </c>
      <c r="L8" s="118">
        <v>22</v>
      </c>
      <c r="M8" s="118">
        <v>24</v>
      </c>
      <c r="N8" s="118">
        <v>26</v>
      </c>
      <c r="O8" s="490">
        <f>IF(Z8&lt;=0,0,Z8)</f>
        <v>50</v>
      </c>
      <c r="P8" s="118">
        <v>30</v>
      </c>
      <c r="Q8" s="118">
        <v>32</v>
      </c>
      <c r="R8" s="118">
        <v>33</v>
      </c>
      <c r="S8" s="490">
        <f>IF(AA8&lt;=0,0,AA8)</f>
        <v>65</v>
      </c>
      <c r="T8" s="489">
        <f>IF(E8="","",IF(OR(O8=0,S8=0),0,O8+S8))</f>
        <v>115</v>
      </c>
      <c r="U8" s="340" t="s">
        <v>698</v>
      </c>
      <c r="V8" s="48" t="str">
        <f>IF(H8=0," ",IF(E8="H",IF(AND(H8&gt;2005,H8&lt;2009),VLOOKUP(K8,[1]Minimas!$A$15:$C$29,3),IF(AND(H8&gt;2008,H8&lt;2011),VLOOKUP(K8,[1]Minimas!$A$15:$C$29,2),"ERREUR")),IF(AND(H8&gt;2005,H8&lt;2009),VLOOKUP(K8,[1]Minimas!$H$15:J$29,3),IF(AND(H8&gt;2008,H8&lt;2011),VLOOKUP(K8,[1]Minimas!$H$15:$J$29,2),"ERREUR"))))</f>
        <v>U13 F55</v>
      </c>
      <c r="W8" s="49">
        <f>IF(E8=" "," ",IF(E8="H",10^(0.75194503*LOG(K8/175.508)^2)*T8,IF(E8="F",10^(0.783497476* LOG(K8/153.655)^2)*T8,"")))</f>
        <v>164.6935723575904</v>
      </c>
      <c r="X8" s="616">
        <v>43492</v>
      </c>
      <c r="Y8" s="261" t="s">
        <v>525</v>
      </c>
      <c r="Z8" s="617">
        <f>IF(L8=0," ",MAXA(L8+M8,M8+N8,L8+N8))</f>
        <v>50</v>
      </c>
      <c r="AA8" s="462">
        <f>IF(P8=0," ",MAXA(P8+Q8,Q8+R8,P8+R8))</f>
        <v>65</v>
      </c>
      <c r="AB8" s="232"/>
      <c r="AC8" s="232"/>
      <c r="AD8" s="232"/>
      <c r="AE8" s="232"/>
      <c r="AF8" s="232"/>
      <c r="AG8" s="232"/>
      <c r="AH8" s="232"/>
      <c r="AI8" s="232"/>
      <c r="AJ8" s="232"/>
      <c r="AK8" s="232"/>
      <c r="AL8" s="232"/>
      <c r="AM8" s="232"/>
      <c r="AN8" s="232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484"/>
      <c r="DE8" s="484"/>
      <c r="DF8" s="484"/>
      <c r="DG8" s="484"/>
      <c r="DH8" s="484"/>
      <c r="DI8" s="484"/>
      <c r="DJ8" s="484"/>
      <c r="DK8" s="484"/>
      <c r="DL8" s="484"/>
      <c r="DM8" s="484"/>
      <c r="DN8" s="484"/>
      <c r="DO8" s="484"/>
      <c r="DP8" s="484"/>
      <c r="DQ8" s="484"/>
      <c r="DR8" s="484"/>
      <c r="DS8" s="484"/>
      <c r="DT8" s="484"/>
    </row>
    <row r="9" spans="1:179" s="5" customFormat="1" ht="30" customHeight="1" x14ac:dyDescent="0.25">
      <c r="B9" s="138" t="s">
        <v>543</v>
      </c>
      <c r="C9" s="116">
        <v>410840</v>
      </c>
      <c r="D9" s="119"/>
      <c r="E9" s="175" t="s">
        <v>44</v>
      </c>
      <c r="F9" s="105" t="s">
        <v>169</v>
      </c>
      <c r="G9" s="106" t="s">
        <v>891</v>
      </c>
      <c r="H9" s="107">
        <v>2004</v>
      </c>
      <c r="I9" s="121" t="s">
        <v>170</v>
      </c>
      <c r="J9" s="146" t="s">
        <v>44</v>
      </c>
      <c r="K9" s="108">
        <v>55.9</v>
      </c>
      <c r="L9" s="109">
        <v>25</v>
      </c>
      <c r="M9" s="109">
        <v>30</v>
      </c>
      <c r="N9" s="130">
        <v>-33</v>
      </c>
      <c r="O9" s="490">
        <f t="shared" ref="O9:O30" si="0">IF(E9="","",IF(MAXA(L9:N9)&lt;=0,0,MAXA(L9:N9)))</f>
        <v>30</v>
      </c>
      <c r="P9" s="109">
        <v>35</v>
      </c>
      <c r="Q9" s="109">
        <v>40</v>
      </c>
      <c r="R9" s="109">
        <v>43</v>
      </c>
      <c r="S9" s="490">
        <f t="shared" ref="S9:S39" si="1">IF(E9="","",IF(MAXA(P9:R9)&lt;=0,0,MAXA(P9:R9)))</f>
        <v>43</v>
      </c>
      <c r="T9" s="489">
        <f>IF(E9="","",IF(OR(O9=0,S9=0),0,O9+S9))</f>
        <v>73</v>
      </c>
      <c r="U9" s="48" t="str">
        <f t="shared" ref="U9:U39" si="2">+CONCATENATE(AM9," ",AN9)</f>
        <v>IRG + 1</v>
      </c>
      <c r="V9" s="48" t="str">
        <f>IF(E9=0," ",IF(E9="H",IF(H9&lt;1999,VLOOKUP(K9,Minimas!$A$15:$F$29,6),IF(AND(H9&gt;1998,H9&lt;2002),VLOOKUP(K9,Minimas!$A$15:$F$29,5),IF(AND(H9&gt;2001,H9&lt;2004),VLOOKUP(K9,Minimas!$A$15:$F$29,4),IF(AND(H9&gt;2003,H9&lt;2006),VLOOKUP(K9,Minimas!$A$15:$F$29,3),VLOOKUP(K9,Minimas!$A$15:$F$29,2))))),IF(H9&lt;1999,VLOOKUP(K9,Minimas!$G$15:$L$29,6),IF(AND(H9&gt;1998,H9&lt;2002),VLOOKUP(K9,Minimas!$G$15:$L$29,5),IF(AND(H9&gt;2001,H9&lt;2004),VLOOKUP(K9,Minimas!$G$15:$L$29,4),IF(AND(H9&gt;2003,H9&lt;2006),VLOOKUP(K9,Minimas!$G$15:$L$29,3),VLOOKUP(K9,Minimas!$G$15:$L$29,2)))))))</f>
        <v>U15 F59</v>
      </c>
      <c r="W9" s="49">
        <f t="shared" ref="W9:W39" si="3">IF(E9=" "," ",IF(E9="H",10^(0.75194503*LOG(K9/175.508)^2)*T9,IF(E9="F",10^(0.783497476* LOG(K9/153.655)^2)*T9,"")))</f>
        <v>103.3741813073013</v>
      </c>
      <c r="X9" s="185">
        <v>43401</v>
      </c>
      <c r="Y9" s="278" t="s">
        <v>507</v>
      </c>
      <c r="Z9" s="277"/>
      <c r="AA9" s="232"/>
      <c r="AB9" s="230">
        <f>T9-HLOOKUP(V9,Minimas!$C$3:$CD$12,2,FALSE)</f>
        <v>33</v>
      </c>
      <c r="AC9" s="230">
        <f>T9-HLOOKUP(V9,Minimas!$C$3:$CD$12,3,FALSE)</f>
        <v>23</v>
      </c>
      <c r="AD9" s="230">
        <f>T9-HLOOKUP(V9,Minimas!$C$3:$CD$12,4,FALSE)</f>
        <v>11</v>
      </c>
      <c r="AE9" s="230">
        <f>T9-HLOOKUP(V9,Minimas!$C$3:$CD$12,5,FALSE)</f>
        <v>1</v>
      </c>
      <c r="AF9" s="230">
        <f>T9-HLOOKUP(V9,Minimas!$C$3:$CD$12,6,FALSE)</f>
        <v>-14</v>
      </c>
      <c r="AG9" s="230">
        <f>T9-HLOOKUP(V9,Minimas!$C$3:$CD$12,7,FALSE)</f>
        <v>-27</v>
      </c>
      <c r="AH9" s="230">
        <f>T9-HLOOKUP(V9,Minimas!$C$3:$CD$12,8,FALSE)</f>
        <v>-42</v>
      </c>
      <c r="AI9" s="230">
        <f>T9-HLOOKUP(V9,Minimas!$C$3:$CD$12,9,FALSE)</f>
        <v>-57</v>
      </c>
      <c r="AJ9" s="230">
        <f>T9-HLOOKUP(V9,Minimas!$C$3:$CD$12,10,FALSE)</f>
        <v>-127</v>
      </c>
      <c r="AK9" s="231" t="str">
        <f>IF(E9=0," ",IF(AJ9&gt;=0,$AJ$5,IF(AI9&gt;=0,$AI$5,IF(AH9&gt;=0,$AH$5,IF(AG9&gt;=0,$AG$5,IF(AF9&gt;=0,$AF$5,IF(AE9&gt;=0,$AE$5,IF(AD9&gt;=0,$AD$5,IF(AC9&gt;=0,$AC$5,$AB$5)))))))))</f>
        <v>IRG +</v>
      </c>
      <c r="AL9" s="232"/>
      <c r="AM9" s="232" t="str">
        <f t="shared" ref="AM9:AM39" si="4">IF(AK9="","",AK9)</f>
        <v>IRG +</v>
      </c>
      <c r="AN9" s="232">
        <f>IF(E9=0," ",IF(AJ9&gt;=0,AJ9,IF(AI9&gt;=0,AI9,IF(AH9&gt;=0,AH9,IF(AG9&gt;=0,AG9,IF(AF9&gt;=0,AF9,IF(AE9&gt;=0,AE9,IF(AD9&gt;=0,AD9,IF(AC9&gt;=0,AC9,AB9)))))))))</f>
        <v>1</v>
      </c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</row>
    <row r="10" spans="1:179" s="5" customFormat="1" ht="30" customHeight="1" x14ac:dyDescent="0.25">
      <c r="A10" s="1"/>
      <c r="B10" s="521" t="s">
        <v>543</v>
      </c>
      <c r="C10" s="516">
        <v>423149</v>
      </c>
      <c r="D10" s="167"/>
      <c r="E10" s="476" t="s">
        <v>44</v>
      </c>
      <c r="F10" s="143" t="s">
        <v>212</v>
      </c>
      <c r="G10" s="144" t="s">
        <v>213</v>
      </c>
      <c r="H10" s="145">
        <v>2005</v>
      </c>
      <c r="I10" s="172" t="s">
        <v>214</v>
      </c>
      <c r="J10" s="146" t="s">
        <v>44</v>
      </c>
      <c r="K10" s="200">
        <v>81</v>
      </c>
      <c r="L10" s="118">
        <v>42</v>
      </c>
      <c r="M10" s="118">
        <v>46</v>
      </c>
      <c r="N10" s="118">
        <v>48</v>
      </c>
      <c r="O10" s="358">
        <f t="shared" si="0"/>
        <v>48</v>
      </c>
      <c r="P10" s="118">
        <v>54</v>
      </c>
      <c r="Q10" s="118">
        <v>58</v>
      </c>
      <c r="R10" s="118">
        <v>62</v>
      </c>
      <c r="S10" s="358">
        <f t="shared" si="1"/>
        <v>62</v>
      </c>
      <c r="T10" s="359">
        <f>IF(E10="","",O10+S10)</f>
        <v>110</v>
      </c>
      <c r="U10" s="360" t="str">
        <f t="shared" si="2"/>
        <v>FED + 8</v>
      </c>
      <c r="V10" s="360" t="str">
        <f>IF(E10=0," ",IF(E10="H",IF(H10&lt;1999,VLOOKUP(K10,[2]Minimas!$A$15:$F$29,6),IF(AND(H10&gt;1998,H10&lt;2002),VLOOKUP(K10,[2]Minimas!$A$15:$F$29,5),IF(AND(H10&gt;2001,H10&lt;2004),VLOOKUP(K10,[2]Minimas!$A$15:$F$29,4),IF(AND(H10&gt;2003,H10&lt;2006),VLOOKUP(K10,[2]Minimas!$A$15:$F$29,3),VLOOKUP(K10,[2]Minimas!$A$15:$F$29,2))))),IF(H10&lt;1999,VLOOKUP(K10,[2]Minimas!$G$15:$L$29,6),IF(AND(H10&gt;1998,H10&lt;2002),VLOOKUP(K10,[2]Minimas!$G$15:$L$29,5),IF(AND(H10&gt;2001,H10&lt;2004),VLOOKUP(K10,[2]Minimas!$G$15:$L$29,4),IF(AND(H10&gt;2003,H10&lt;2006),VLOOKUP(K10,[2]Minimas!$G$15:$L$29,3),VLOOKUP(K10,[2]Minimas!$G$15:$L$29,2)))))))</f>
        <v>U15 F81</v>
      </c>
      <c r="W10" s="361">
        <f t="shared" si="3"/>
        <v>126.46529911810504</v>
      </c>
      <c r="X10" s="616">
        <v>43540</v>
      </c>
      <c r="Y10" s="261" t="s">
        <v>714</v>
      </c>
      <c r="Z10" s="619" t="s">
        <v>511</v>
      </c>
      <c r="AA10" s="463"/>
      <c r="AB10" s="230">
        <f>T10-HLOOKUP(V10,Minimas!$C$3:$CD$12,2,FALSE)</f>
        <v>53</v>
      </c>
      <c r="AC10" s="230">
        <f>T10-HLOOKUP(V10,Minimas!$C$3:$CD$12,3,FALSE)</f>
        <v>43</v>
      </c>
      <c r="AD10" s="230">
        <f>T10-HLOOKUP(V10,Minimas!$C$3:$CD$12,4,FALSE)</f>
        <v>33</v>
      </c>
      <c r="AE10" s="230">
        <f>T10-HLOOKUP(V10,Minimas!$C$3:$CD$12,5,FALSE)</f>
        <v>23</v>
      </c>
      <c r="AF10" s="230">
        <f>T10-HLOOKUP(V10,Minimas!$C$3:$CD$12,6,FALSE)</f>
        <v>8</v>
      </c>
      <c r="AG10" s="230">
        <f>T10-HLOOKUP(V10,Minimas!$C$3:$CD$12,7,FALSE)</f>
        <v>-7</v>
      </c>
      <c r="AH10" s="230">
        <f>T10-HLOOKUP(V10,Minimas!$C$3:$CD$12,8,FALSE)</f>
        <v>-22</v>
      </c>
      <c r="AI10" s="230">
        <f>T10-HLOOKUP(V10,Minimas!$C$3:$CD$12,9,FALSE)</f>
        <v>-37</v>
      </c>
      <c r="AJ10" s="230">
        <f>T10-HLOOKUP(V10,Minimas!$C$3:$CD$12,10,FALSE)</f>
        <v>-120</v>
      </c>
      <c r="AK10" s="231" t="str">
        <f>IF(E10=0," ",IF(AJ10&gt;=0,MASCULINS!$AJ$5,IF(AI10&gt;=0,MASCULINS!$AI$5,IF(AH10&gt;=0,MASCULINS!$AH$5,IF(AG10&gt;=0,MASCULINS!$AG$5,IF(AF10&gt;=0,MASCULINS!$AF$5,IF(AE10&gt;=0,MASCULINS!$AE$5,IF(AD10&gt;=0,MASCULINS!$AD$5,IF(AC10&gt;=0,MASCULINS!$AC$5,MASCULINS!$AB$5)))))))))</f>
        <v>FED +</v>
      </c>
      <c r="AL10" s="232"/>
      <c r="AM10" s="232" t="str">
        <f t="shared" si="4"/>
        <v>FED +</v>
      </c>
      <c r="AN10" s="232">
        <f>IF(E10=0," ",IF(AJ10&gt;=0,AJ10,IF(AI10&gt;=0,AI10,IF(AH10&gt;=0,AH10,IF(AG10&gt;=0,AG10,IF(AF10&gt;=0,AF10,IF(AE10&gt;=0,AE10,IF(AD10&gt;=0,AD10,IF(AC10&gt;=0,AC10,AB10)))))))))</f>
        <v>8</v>
      </c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</row>
    <row r="11" spans="1:179" s="5" customFormat="1" ht="30" customHeight="1" x14ac:dyDescent="0.25">
      <c r="B11" s="514" t="s">
        <v>543</v>
      </c>
      <c r="C11" s="516">
        <v>423149</v>
      </c>
      <c r="D11" s="540"/>
      <c r="E11" s="168" t="s">
        <v>44</v>
      </c>
      <c r="F11" s="143" t="s">
        <v>212</v>
      </c>
      <c r="G11" s="144" t="s">
        <v>213</v>
      </c>
      <c r="H11" s="145">
        <v>2005</v>
      </c>
      <c r="I11" s="564" t="s">
        <v>214</v>
      </c>
      <c r="J11" s="155" t="s">
        <v>44</v>
      </c>
      <c r="K11" s="200">
        <v>82</v>
      </c>
      <c r="L11" s="118">
        <v>45</v>
      </c>
      <c r="M11" s="118">
        <v>-49</v>
      </c>
      <c r="N11" s="118">
        <v>-49</v>
      </c>
      <c r="O11" s="358">
        <f t="shared" si="0"/>
        <v>45</v>
      </c>
      <c r="P11" s="118">
        <v>58</v>
      </c>
      <c r="Q11" s="118">
        <v>63</v>
      </c>
      <c r="R11" s="118">
        <v>-65</v>
      </c>
      <c r="S11" s="358">
        <f t="shared" si="1"/>
        <v>63</v>
      </c>
      <c r="T11" s="359">
        <f t="shared" ref="T11:T16" si="5">IF(E11="","",IF(OR(O11=0,S11=0),0,O11+S11))</f>
        <v>108</v>
      </c>
      <c r="U11" s="360" t="str">
        <f t="shared" si="2"/>
        <v>FED + 3</v>
      </c>
      <c r="V11" s="360" t="str">
        <f>IF(E11=0," ",IF(E11="H",IF(H11&lt;1999,VLOOKUP(K11,[3]Minimas!$A$15:$F$29,6),IF(AND(H11&gt;1998,H11&lt;2002),VLOOKUP(K11,[3]Minimas!$A$15:$F$29,5),IF(AND(H11&gt;2001,H11&lt;2004),VLOOKUP(K11,[3]Minimas!$A$15:$F$29,4),IF(AND(H11&gt;2003,H11&lt;2006),VLOOKUP(K11,[3]Minimas!$A$15:$F$29,3),VLOOKUP(K11,[3]Minimas!$A$15:$F$29,2))))),IF(H11&lt;1999,VLOOKUP(K11,[3]Minimas!$G$15:$L$29,6),IF(AND(H11&gt;1998,H11&lt;2002),VLOOKUP(K11,[3]Minimas!$G$15:$L$29,5),IF(AND(H11&gt;2001,H11&lt;2004),VLOOKUP(K11,[3]Minimas!$G$15:$L$29,4),IF(AND(H11&gt;2003,H11&lt;2006),VLOOKUP(K11,[3]Minimas!$G$15:$L$29,3),VLOOKUP(K11,[3]Minimas!$G$15:$L$29,2)))))))</f>
        <v>U15 F&gt;81</v>
      </c>
      <c r="W11" s="361">
        <f t="shared" si="3"/>
        <v>123.51019530864821</v>
      </c>
      <c r="X11" s="257">
        <v>43610</v>
      </c>
      <c r="Y11" s="261" t="s">
        <v>892</v>
      </c>
      <c r="Z11" s="261" t="s">
        <v>829</v>
      </c>
      <c r="AA11" s="232"/>
      <c r="AB11" s="230">
        <f>T11-HLOOKUP(V11,[3]Minimas!$C$3:$CD$12,2,FALSE)</f>
        <v>48</v>
      </c>
      <c r="AC11" s="230">
        <f>T11-HLOOKUP(V11,[3]Minimas!$C$3:$CD$12,3,FALSE)</f>
        <v>38</v>
      </c>
      <c r="AD11" s="230">
        <f>T11-HLOOKUP(V11,[3]Minimas!$C$3:$CD$12,4,FALSE)</f>
        <v>28</v>
      </c>
      <c r="AE11" s="230">
        <f>T11-HLOOKUP(V11,[3]Minimas!$C$3:$CD$12,5,FALSE)</f>
        <v>18</v>
      </c>
      <c r="AF11" s="230">
        <f>T11-HLOOKUP(V11,[3]Minimas!$C$3:$CD$12,6,FALSE)</f>
        <v>3</v>
      </c>
      <c r="AG11" s="230">
        <f>T11-HLOOKUP(V11,[3]Minimas!$C$3:$CD$12,7,FALSE)</f>
        <v>-12</v>
      </c>
      <c r="AH11" s="230">
        <f>T11-HLOOKUP(V11,[3]Minimas!$C$3:$CD$12,8,FALSE)</f>
        <v>-27</v>
      </c>
      <c r="AI11" s="230">
        <f>T11-HLOOKUP(V11,[3]Minimas!$C$3:$CD$12,9,FALSE)</f>
        <v>-42</v>
      </c>
      <c r="AJ11" s="230">
        <f>T11-HLOOKUP(V11,[3]Minimas!$C$3:$CD$12,10,FALSE)</f>
        <v>-122</v>
      </c>
      <c r="AK11" s="231" t="str">
        <f>IF(E11=0," ",IF(AJ11&gt;=0,$AJ$5,IF(AI11&gt;=0,$AI$5,IF(AH11&gt;=0,$AH$5,IF(AG11&gt;=0,$AG$5,IF(AF11&gt;=0,$AF$5,IF(AE11&gt;=0,$AE$5,IF(AD11&gt;=0,$AD$5,IF(AC11&gt;=0,$AC$5,$AB$5)))))))))</f>
        <v>FED +</v>
      </c>
      <c r="AL11" s="232"/>
      <c r="AM11" s="232" t="str">
        <f t="shared" si="4"/>
        <v>FED +</v>
      </c>
      <c r="AN11" s="232">
        <f>IF(E11=0," ",IF(AJ11&gt;=0,AJ11,IF(AI11&gt;=0,AI11,IF(AH11&gt;=0,AH11,IF(AG11&gt;=0,AG11,IF(AF11&gt;=0,AF11,IF(AE11&gt;=0,AE11,IF(AD11&gt;=0,AD11,IF(AC11&gt;=0,AC11,AB11)))))))))</f>
        <v>3</v>
      </c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</row>
    <row r="12" spans="1:179" s="5" customFormat="1" ht="30" customHeight="1" x14ac:dyDescent="0.25">
      <c r="B12" s="138" t="s">
        <v>543</v>
      </c>
      <c r="C12" s="116">
        <v>393897</v>
      </c>
      <c r="D12" s="119"/>
      <c r="E12" s="175" t="s">
        <v>44</v>
      </c>
      <c r="F12" s="124" t="s">
        <v>169</v>
      </c>
      <c r="G12" s="125" t="s">
        <v>582</v>
      </c>
      <c r="H12" s="156">
        <v>2002</v>
      </c>
      <c r="I12" s="127" t="s">
        <v>170</v>
      </c>
      <c r="J12" s="104" t="s">
        <v>41</v>
      </c>
      <c r="K12" s="126">
        <v>52.75</v>
      </c>
      <c r="L12" s="109">
        <v>53</v>
      </c>
      <c r="M12" s="160">
        <v>-56</v>
      </c>
      <c r="N12" s="109">
        <v>56</v>
      </c>
      <c r="O12" s="52">
        <f t="shared" si="0"/>
        <v>56</v>
      </c>
      <c r="P12" s="160">
        <v>-73</v>
      </c>
      <c r="Q12" s="160">
        <v>-73</v>
      </c>
      <c r="R12" s="109">
        <v>73</v>
      </c>
      <c r="S12" s="52">
        <f t="shared" si="1"/>
        <v>73</v>
      </c>
      <c r="T12" s="51">
        <f t="shared" si="5"/>
        <v>129</v>
      </c>
      <c r="U12" s="48" t="str">
        <f t="shared" si="2"/>
        <v>INTB + 9</v>
      </c>
      <c r="V12" s="48" t="str">
        <f>IF(E12=0," ",IF(E12="H",IF(H12&lt;1999,VLOOKUP(K12,Minimas!$A$15:$F$29,6),IF(AND(H12&gt;1998,H12&lt;2002),VLOOKUP(K12,Minimas!$A$15:$F$29,5),IF(AND(H12&gt;2001,H12&lt;2004),VLOOKUP(K12,Minimas!$A$15:$F$29,4),IF(AND(H12&gt;2003,H12&lt;2006),VLOOKUP(K12,Minimas!$A$15:$F$29,3),VLOOKUP(K12,Minimas!$A$15:$F$29,2))))),IF(H12&lt;1999,VLOOKUP(K12,Minimas!$G$15:$L$29,6),IF(AND(H12&gt;1998,H12&lt;2002),VLOOKUP(K12,Minimas!$G$15:$L$29,5),IF(AND(H12&gt;2001,H12&lt;2004),VLOOKUP(K12,Minimas!$G$15:$L$29,4),IF(AND(H12&gt;2003,H12&lt;2006),VLOOKUP(K12,Minimas!$G$15:$L$29,3),VLOOKUP(K12,Minimas!$G$15:$L$29,2)))))))</f>
        <v>U17 F55</v>
      </c>
      <c r="W12" s="49">
        <f t="shared" si="3"/>
        <v>190.33094785536716</v>
      </c>
      <c r="X12" s="257">
        <v>43484</v>
      </c>
      <c r="Y12" s="261" t="s">
        <v>580</v>
      </c>
      <c r="Z12" s="261" t="s">
        <v>581</v>
      </c>
      <c r="AA12" s="232"/>
      <c r="AB12" s="230">
        <f>T12-HLOOKUP(V12,Minimas!$C$3:$CD$12,2,FALSE)</f>
        <v>84</v>
      </c>
      <c r="AC12" s="230">
        <f>T12-HLOOKUP(V12,Minimas!$C$3:$CD$12,3,FALSE)</f>
        <v>74</v>
      </c>
      <c r="AD12" s="230">
        <f>T12-HLOOKUP(V12,Minimas!$C$3:$CD$12,4,FALSE)</f>
        <v>64</v>
      </c>
      <c r="AE12" s="230">
        <f>T12-HLOOKUP(V12,Minimas!$C$3:$CD$12,5,FALSE)</f>
        <v>52</v>
      </c>
      <c r="AF12" s="230">
        <f>T12-HLOOKUP(V12,Minimas!$C$3:$CD$12,6,FALSE)</f>
        <v>37</v>
      </c>
      <c r="AG12" s="230">
        <f>T12-HLOOKUP(V12,Minimas!$C$3:$CD$12,7,FALSE)</f>
        <v>24</v>
      </c>
      <c r="AH12" s="230">
        <f>T12-HLOOKUP(V12,Minimas!$C$3:$CD$12,8,FALSE)</f>
        <v>9</v>
      </c>
      <c r="AI12" s="230">
        <f>T12-HLOOKUP(V12,Minimas!$C$3:$CD$12,9,FALSE)</f>
        <v>-6</v>
      </c>
      <c r="AJ12" s="230">
        <f>T12-HLOOKUP(V12,Minimas!$C$3:$CD$12,10,FALSE)</f>
        <v>-61</v>
      </c>
      <c r="AK12" s="231" t="str">
        <f>IF(E12=0," ",IF(AJ12&gt;=0,$AJ$5,IF(AI12&gt;=0,$AI$5,IF(AH12&gt;=0,$AH$5,IF(AG12&gt;=0,$AG$5,IF(AF12&gt;=0,$AF$5,IF(AE12&gt;=0,$AE$5,IF(AD12&gt;=0,$AD$5,IF(AC12&gt;=0,$AC$5,$AB$5)))))))))</f>
        <v>INTB +</v>
      </c>
      <c r="AL12" s="232"/>
      <c r="AM12" s="232" t="str">
        <f t="shared" si="4"/>
        <v>INTB +</v>
      </c>
      <c r="AN12" s="232">
        <f>IF(E12=0," ",IF(AJ12&gt;=0,AJ12,IF(AI12&gt;=0,AI12,IF(AH12&gt;=0,AH12,IF(AG12&gt;=0,AG12,IF(AF12&gt;=0,AF12,IF(AE12&gt;=0,AE12,IF(AD12&gt;=0,AD12,IF(AC12&gt;=0,AC12,AB12)))))))))</f>
        <v>9</v>
      </c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</row>
    <row r="13" spans="1:179" s="5" customFormat="1" ht="30" customHeight="1" x14ac:dyDescent="0.25">
      <c r="A13" s="484"/>
      <c r="B13" s="519" t="s">
        <v>543</v>
      </c>
      <c r="C13" s="166">
        <v>432759</v>
      </c>
      <c r="D13" s="171"/>
      <c r="E13" s="476" t="s">
        <v>44</v>
      </c>
      <c r="F13" s="143" t="s">
        <v>522</v>
      </c>
      <c r="G13" s="144" t="s">
        <v>293</v>
      </c>
      <c r="H13" s="145">
        <v>2003</v>
      </c>
      <c r="I13" s="172" t="s">
        <v>155</v>
      </c>
      <c r="J13" s="146" t="s">
        <v>44</v>
      </c>
      <c r="K13" s="200">
        <v>54.5</v>
      </c>
      <c r="L13" s="118">
        <v>32</v>
      </c>
      <c r="M13" s="118">
        <v>35</v>
      </c>
      <c r="N13" s="118">
        <v>38</v>
      </c>
      <c r="O13" s="52">
        <f t="shared" si="0"/>
        <v>38</v>
      </c>
      <c r="P13" s="118">
        <v>42</v>
      </c>
      <c r="Q13" s="118">
        <v>46</v>
      </c>
      <c r="R13" s="118">
        <v>50</v>
      </c>
      <c r="S13" s="52">
        <f t="shared" si="1"/>
        <v>50</v>
      </c>
      <c r="T13" s="489">
        <f t="shared" si="5"/>
        <v>88</v>
      </c>
      <c r="U13" s="48" t="str">
        <f t="shared" si="2"/>
        <v>IRG + 11</v>
      </c>
      <c r="V13" s="48" t="str">
        <f>IF(E13=0," ",IF(E13="H",IF(H13&lt;1999,VLOOKUP(K13,[4]Minimas!$A$15:$F$29,6),IF(AND(H13&gt;1998,H13&lt;2002),VLOOKUP(K13,[4]Minimas!$A$15:$F$29,5),IF(AND(H13&gt;2001,H13&lt;2004),VLOOKUP(K13,[4]Minimas!$A$15:$F$29,4),IF(AND(H13&gt;2003,H13&lt;2006),VLOOKUP(K13,[4]Minimas!$A$15:$F$29,3),VLOOKUP(K13,[4]Minimas!$A$15:$F$29,2))))),IF(H13&lt;1999,VLOOKUP(K13,[4]Minimas!$G$15:$L$29,6),IF(AND(H13&gt;1998,H13&lt;2002),VLOOKUP(K13,[4]Minimas!$G$15:$L$29,5),IF(AND(H13&gt;2001,H13&lt;2004),VLOOKUP(K13,[4]Minimas!$G$15:$L$29,4),IF(AND(H13&gt;2003,H13&lt;2006),VLOOKUP(K13,[4]Minimas!$G$15:$L$29,3),VLOOKUP(K13,[4]Minimas!$G$15:$L$29,2)))))))</f>
        <v>U17 F55</v>
      </c>
      <c r="W13" s="49">
        <f t="shared" si="3"/>
        <v>126.8372560667794</v>
      </c>
      <c r="X13" s="257">
        <v>43492</v>
      </c>
      <c r="Y13" s="261" t="s">
        <v>694</v>
      </c>
      <c r="Z13" s="261" t="s">
        <v>695</v>
      </c>
      <c r="AA13" s="232"/>
      <c r="AB13" s="230">
        <f>T13-HLOOKUP(V13,Minimas!$C$3:$CD$12,2,FALSE)</f>
        <v>43</v>
      </c>
      <c r="AC13" s="230">
        <f>T13-HLOOKUP(V13,Minimas!$C$3:$CD$12,3,FALSE)</f>
        <v>33</v>
      </c>
      <c r="AD13" s="230">
        <f>T13-HLOOKUP(V13,Minimas!$C$3:$CD$12,4,FALSE)</f>
        <v>23</v>
      </c>
      <c r="AE13" s="230">
        <f>T13-HLOOKUP(V13,Minimas!$C$3:$CD$12,5,FALSE)</f>
        <v>11</v>
      </c>
      <c r="AF13" s="230">
        <f>T13-HLOOKUP(V13,Minimas!$C$3:$CD$12,6,FALSE)</f>
        <v>-4</v>
      </c>
      <c r="AG13" s="230">
        <f>T13-HLOOKUP(V13,Minimas!$C$3:$CD$12,7,FALSE)</f>
        <v>-17</v>
      </c>
      <c r="AH13" s="230">
        <f>T13-HLOOKUP(V13,Minimas!$C$3:$CD$12,8,FALSE)</f>
        <v>-32</v>
      </c>
      <c r="AI13" s="230">
        <f>T13-HLOOKUP(V13,Minimas!$C$3:$CD$12,9,FALSE)</f>
        <v>-47</v>
      </c>
      <c r="AJ13" s="230">
        <f>T13-HLOOKUP(V13,Minimas!$C$3:$CD$12,10,FALSE)</f>
        <v>-102</v>
      </c>
      <c r="AK13" s="231" t="str">
        <f>IF(E13=0," ",IF(AJ13&gt;=0,$AJ$5,IF(AI13&gt;=0,$AI$5,IF(AH13&gt;=0,$AH$5,IF(AG13&gt;=0,$AG$5,IF(AF13&gt;=0,$AF$5,IF(AE13&gt;=0,$AE$5,IF(AD13&gt;=0,$AD$5,IF(AC13&gt;=0,$AC$5,$AB$5)))))))))</f>
        <v>IRG +</v>
      </c>
      <c r="AL13" s="232"/>
      <c r="AM13" s="232" t="str">
        <f t="shared" ref="AM13" si="6">IF(AK13="","",AK13)</f>
        <v>IRG +</v>
      </c>
      <c r="AN13" s="232">
        <f>IF(E13=0," ",IF(AJ13&gt;=0,AJ13,IF(AI13&gt;=0,AI13,IF(AH13&gt;=0,AH13,IF(AG13&gt;=0,AG13,IF(AF13&gt;=0,AF13,IF(AE13&gt;=0,AE13,IF(AD13&gt;=0,AD13,IF(AC13&gt;=0,AC13,AB13)))))))))</f>
        <v>11</v>
      </c>
      <c r="AO13" s="485"/>
      <c r="AP13" s="485"/>
      <c r="AQ13" s="485"/>
      <c r="AR13" s="485"/>
      <c r="AS13" s="485"/>
      <c r="AT13" s="485"/>
      <c r="AU13" s="485"/>
      <c r="AV13" s="485"/>
      <c r="AW13" s="485"/>
      <c r="AX13" s="485"/>
      <c r="AY13" s="485"/>
      <c r="AZ13" s="485"/>
      <c r="BA13" s="485"/>
      <c r="BB13" s="485"/>
      <c r="BC13" s="485"/>
      <c r="BD13" s="485"/>
      <c r="BE13" s="485"/>
      <c r="BF13" s="485"/>
      <c r="BG13" s="485"/>
      <c r="BH13" s="485"/>
      <c r="BI13" s="485"/>
      <c r="BJ13" s="485"/>
      <c r="BK13" s="485"/>
      <c r="BL13" s="485"/>
      <c r="BM13" s="485"/>
      <c r="BN13" s="485"/>
      <c r="BO13" s="485"/>
      <c r="BP13" s="485"/>
      <c r="BQ13" s="485"/>
      <c r="BR13" s="485"/>
      <c r="BS13" s="485"/>
      <c r="BT13" s="485"/>
      <c r="BU13" s="485"/>
      <c r="BV13" s="485"/>
      <c r="BW13" s="485"/>
      <c r="BX13" s="485"/>
      <c r="BY13" s="485"/>
      <c r="BZ13" s="485"/>
      <c r="CA13" s="485"/>
      <c r="CB13" s="485"/>
      <c r="CC13" s="485"/>
      <c r="CD13" s="485"/>
      <c r="CE13" s="485"/>
      <c r="CF13" s="485"/>
      <c r="CG13" s="485"/>
      <c r="CH13" s="485"/>
      <c r="CI13" s="485"/>
      <c r="CJ13" s="485"/>
      <c r="CK13" s="485"/>
      <c r="CL13" s="485"/>
      <c r="CM13" s="485"/>
      <c r="CN13" s="485"/>
      <c r="CO13" s="485"/>
      <c r="CP13" s="485"/>
      <c r="CQ13" s="485"/>
      <c r="CR13" s="485"/>
      <c r="CS13" s="485"/>
      <c r="CT13" s="485"/>
      <c r="CU13" s="485"/>
      <c r="CV13" s="485"/>
      <c r="CW13" s="485"/>
      <c r="CX13" s="485"/>
      <c r="CY13" s="485"/>
      <c r="CZ13" s="485"/>
      <c r="DA13" s="485"/>
      <c r="DB13" s="485"/>
      <c r="DC13" s="485"/>
      <c r="DD13" s="485"/>
      <c r="DE13" s="485"/>
      <c r="DF13" s="485"/>
      <c r="DG13" s="485"/>
      <c r="DH13" s="485"/>
      <c r="DI13" s="485"/>
      <c r="DJ13" s="485"/>
      <c r="DK13" s="485"/>
      <c r="DL13" s="485"/>
      <c r="DM13" s="485"/>
      <c r="DN13" s="485"/>
      <c r="DO13" s="485"/>
      <c r="DP13" s="485"/>
      <c r="DQ13" s="485"/>
      <c r="DR13" s="485"/>
      <c r="DS13" s="485"/>
      <c r="DT13" s="485"/>
      <c r="DU13" s="484"/>
      <c r="DV13" s="484"/>
      <c r="DW13" s="484"/>
      <c r="DX13" s="484"/>
      <c r="DY13" s="484"/>
      <c r="DZ13" s="484"/>
      <c r="EA13" s="484"/>
      <c r="EB13" s="484"/>
      <c r="EC13" s="484"/>
      <c r="ED13" s="484"/>
      <c r="EE13" s="484"/>
      <c r="EF13" s="484"/>
      <c r="EG13" s="484"/>
      <c r="EH13" s="484"/>
      <c r="EI13" s="484"/>
      <c r="EJ13" s="484"/>
      <c r="EK13" s="484"/>
      <c r="EL13" s="484"/>
      <c r="EM13" s="484"/>
      <c r="EN13" s="484"/>
      <c r="EO13" s="484"/>
      <c r="EP13" s="484"/>
      <c r="EQ13" s="484"/>
      <c r="ER13" s="484"/>
      <c r="ES13" s="484"/>
      <c r="ET13" s="484"/>
      <c r="EU13" s="484"/>
      <c r="EV13" s="484"/>
      <c r="EW13" s="484"/>
      <c r="EX13" s="484"/>
      <c r="EY13" s="484"/>
      <c r="EZ13" s="484"/>
      <c r="FA13" s="484"/>
      <c r="FB13" s="484"/>
      <c r="FC13" s="484"/>
      <c r="FD13" s="484"/>
      <c r="FE13" s="484"/>
      <c r="FF13" s="484"/>
      <c r="FG13" s="484"/>
      <c r="FH13" s="484"/>
      <c r="FI13" s="484"/>
      <c r="FJ13" s="484"/>
      <c r="FK13" s="484"/>
      <c r="FL13" s="484"/>
      <c r="FM13" s="484"/>
      <c r="FN13" s="484"/>
      <c r="FO13" s="484"/>
      <c r="FP13" s="484"/>
      <c r="FQ13" s="484"/>
      <c r="FR13" s="484"/>
      <c r="FS13" s="484"/>
      <c r="FT13" s="484"/>
      <c r="FU13" s="484"/>
      <c r="FV13" s="484"/>
      <c r="FW13" s="484"/>
    </row>
    <row r="14" spans="1:179" s="5" customFormat="1" ht="30" customHeight="1" x14ac:dyDescent="0.25">
      <c r="B14" s="138" t="s">
        <v>543</v>
      </c>
      <c r="C14" s="116">
        <v>360579</v>
      </c>
      <c r="D14" s="104"/>
      <c r="E14" s="175" t="s">
        <v>44</v>
      </c>
      <c r="F14" s="124" t="s">
        <v>171</v>
      </c>
      <c r="G14" s="125" t="s">
        <v>172</v>
      </c>
      <c r="H14" s="156">
        <v>2003</v>
      </c>
      <c r="I14" s="198" t="s">
        <v>647</v>
      </c>
      <c r="J14" s="104" t="s">
        <v>44</v>
      </c>
      <c r="K14" s="126">
        <v>58.6</v>
      </c>
      <c r="L14" s="109">
        <v>54</v>
      </c>
      <c r="M14" s="109">
        <v>57</v>
      </c>
      <c r="N14" s="109">
        <v>59</v>
      </c>
      <c r="O14" s="52">
        <f t="shared" si="0"/>
        <v>59</v>
      </c>
      <c r="P14" s="109">
        <v>66</v>
      </c>
      <c r="Q14" s="109">
        <v>69</v>
      </c>
      <c r="R14" s="109">
        <v>71</v>
      </c>
      <c r="S14" s="52">
        <f t="shared" si="1"/>
        <v>71</v>
      </c>
      <c r="T14" s="51">
        <f t="shared" si="5"/>
        <v>130</v>
      </c>
      <c r="U14" s="48" t="str">
        <f t="shared" si="2"/>
        <v>INTB + 5</v>
      </c>
      <c r="V14" s="48" t="str">
        <f>IF(E14=0," ",IF(E14="H",IF(H14&lt;1999,VLOOKUP(K14,Minimas!$A$15:$F$29,6),IF(AND(H14&gt;1998,H14&lt;2002),VLOOKUP(K14,Minimas!$A$15:$F$29,5),IF(AND(H14&gt;2001,H14&lt;2004),VLOOKUP(K14,Minimas!$A$15:$F$29,4),IF(AND(H14&gt;2003,H14&lt;2006),VLOOKUP(K14,Minimas!$A$15:$F$29,3),VLOOKUP(K14,Minimas!$A$15:$F$29,2))))),IF(H14&lt;1999,VLOOKUP(K14,Minimas!$G$15:$L$29,6),IF(AND(H14&gt;1998,H14&lt;2002),VLOOKUP(K14,Minimas!$G$15:$L$29,5),IF(AND(H14&gt;2001,H14&lt;2004),VLOOKUP(K14,Minimas!$G$15:$L$29,4),IF(AND(H14&gt;2003,H14&lt;2006),VLOOKUP(K14,Minimas!$G$15:$L$29,3),VLOOKUP(K14,Minimas!$G$15:$L$29,2)))))))</f>
        <v>U17 F59</v>
      </c>
      <c r="W14" s="49">
        <f t="shared" si="3"/>
        <v>178.34652261974026</v>
      </c>
      <c r="X14" s="257">
        <v>43485</v>
      </c>
      <c r="Y14" s="261" t="s">
        <v>580</v>
      </c>
      <c r="Z14" s="261" t="s">
        <v>648</v>
      </c>
      <c r="AA14" s="232"/>
      <c r="AB14" s="230">
        <f>T14-HLOOKUP(V14,Minimas!$C$3:$CD$12,2,FALSE)</f>
        <v>80</v>
      </c>
      <c r="AC14" s="230">
        <f>T14-HLOOKUP(V14,Minimas!$C$3:$CD$12,3,FALSE)</f>
        <v>70</v>
      </c>
      <c r="AD14" s="230">
        <f>T14-HLOOKUP(V14,Minimas!$C$3:$CD$12,4,FALSE)</f>
        <v>60</v>
      </c>
      <c r="AE14" s="230">
        <f>T14-HLOOKUP(V14,Minimas!$C$3:$CD$12,5,FALSE)</f>
        <v>48</v>
      </c>
      <c r="AF14" s="230">
        <f>T14-HLOOKUP(V14,Minimas!$C$3:$CD$12,6,FALSE)</f>
        <v>33</v>
      </c>
      <c r="AG14" s="230">
        <f>T14-HLOOKUP(V14,Minimas!$C$3:$CD$12,7,FALSE)</f>
        <v>20</v>
      </c>
      <c r="AH14" s="230">
        <f>T14-HLOOKUP(V14,Minimas!$C$3:$CD$12,8,FALSE)</f>
        <v>5</v>
      </c>
      <c r="AI14" s="230">
        <f>T14-HLOOKUP(V14,Minimas!$C$3:$CD$12,9,FALSE)</f>
        <v>-10</v>
      </c>
      <c r="AJ14" s="230">
        <f>T14-HLOOKUP(V14,Minimas!$C$3:$CD$12,10,FALSE)</f>
        <v>-70</v>
      </c>
      <c r="AK14" s="231" t="str">
        <f t="shared" ref="AK14:AK20" si="7">IF(E14=0," ",IF(AJ14&gt;=0,$AJ$5,IF(AI14&gt;=0,$AI$5,IF(AH14&gt;=0,$AH$5,IF(AG14&gt;=0,$AG$5,IF(AF14&gt;=0,$AF$5,IF(AE14&gt;=0,$AE$5,IF(AD14&gt;=0,$AD$5,IF(AC14&gt;=0,$AC$5,$AB$5)))))))))</f>
        <v>INTB +</v>
      </c>
      <c r="AL14" s="232"/>
      <c r="AM14" s="232" t="str">
        <f t="shared" si="4"/>
        <v>INTB +</v>
      </c>
      <c r="AN14" s="232">
        <f t="shared" ref="AN14:AN20" si="8">IF(E14=0," ",IF(AJ14&gt;=0,AJ14,IF(AI14&gt;=0,AI14,IF(AH14&gt;=0,AH14,IF(AG14&gt;=0,AG14,IF(AF14&gt;=0,AF14,IF(AE14&gt;=0,AE14,IF(AD14&gt;=0,AD14,IF(AC14&gt;=0,AC14,AB14)))))))))</f>
        <v>5</v>
      </c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  <c r="DD14" s="38"/>
      <c r="DE14" s="38"/>
      <c r="DF14" s="38"/>
      <c r="DG14" s="38"/>
      <c r="DH14" s="38"/>
      <c r="DI14" s="38"/>
      <c r="DJ14" s="38"/>
      <c r="DK14" s="38"/>
      <c r="DL14" s="38"/>
      <c r="DM14" s="38"/>
      <c r="DN14" s="38"/>
      <c r="DO14" s="38"/>
      <c r="DP14" s="38"/>
      <c r="DQ14" s="38"/>
      <c r="DR14" s="38"/>
      <c r="DS14" s="38"/>
      <c r="DT14" s="38"/>
    </row>
    <row r="15" spans="1:179" s="5" customFormat="1" ht="30" customHeight="1" x14ac:dyDescent="0.25">
      <c r="B15" s="518" t="s">
        <v>543</v>
      </c>
      <c r="C15" s="166">
        <v>432759</v>
      </c>
      <c r="D15" s="167"/>
      <c r="E15" s="476" t="s">
        <v>44</v>
      </c>
      <c r="F15" s="550" t="s">
        <v>808</v>
      </c>
      <c r="G15" s="144" t="s">
        <v>293</v>
      </c>
      <c r="H15" s="218">
        <v>2003</v>
      </c>
      <c r="I15" s="169" t="s">
        <v>155</v>
      </c>
      <c r="J15" s="168" t="s">
        <v>44</v>
      </c>
      <c r="K15" s="200">
        <v>55.63</v>
      </c>
      <c r="L15" s="118">
        <v>33</v>
      </c>
      <c r="M15" s="148">
        <v>-36</v>
      </c>
      <c r="N15" s="118">
        <v>36</v>
      </c>
      <c r="O15" s="490">
        <f t="shared" si="0"/>
        <v>36</v>
      </c>
      <c r="P15" s="118">
        <v>42</v>
      </c>
      <c r="Q15" s="118">
        <v>46</v>
      </c>
      <c r="R15" s="118">
        <v>50</v>
      </c>
      <c r="S15" s="490">
        <f t="shared" si="1"/>
        <v>50</v>
      </c>
      <c r="T15" s="489">
        <f t="shared" si="5"/>
        <v>86</v>
      </c>
      <c r="U15" s="48" t="str">
        <f t="shared" si="2"/>
        <v>IRG + 4</v>
      </c>
      <c r="V15" s="48" t="str">
        <f>IF(E15=0," ",IF(E15="H",IF(H15&lt;1999,VLOOKUP(K15,[5]Minimas!$A$15:$F$29,6),IF(AND(H15&gt;1998,H15&lt;2002),VLOOKUP(K15,[5]Minimas!$A$15:$F$29,5),IF(AND(H15&gt;2001,H15&lt;2004),VLOOKUP(K15,[5]Minimas!$A$15:$F$29,4),IF(AND(H15&gt;2003,H15&lt;2006),VLOOKUP(K15,[5]Minimas!$A$15:$F$29,3),VLOOKUP(K15,[5]Minimas!$A$15:$F$29,2))))),IF(H15&lt;1999,VLOOKUP(K15,[5]Minimas!$G$15:$L$29,6),IF(AND(H15&gt;1998,H15&lt;2002),VLOOKUP(K15,[5]Minimas!$G$15:$L$29,5),IF(AND(H15&gt;2001,H15&lt;2004),VLOOKUP(K15,[5]Minimas!$G$15:$L$29,4),IF(AND(H15&gt;2003,H15&lt;2006),VLOOKUP(K15,[5]Minimas!$G$15:$L$29,3),VLOOKUP(K15,[5]Minimas!$G$15:$L$29,2)))))))</f>
        <v>U17 F59</v>
      </c>
      <c r="W15" s="49">
        <f t="shared" si="3"/>
        <v>122.19068119315403</v>
      </c>
      <c r="X15" s="257">
        <v>43555</v>
      </c>
      <c r="Y15" s="261" t="s">
        <v>805</v>
      </c>
      <c r="Z15" s="261" t="s">
        <v>806</v>
      </c>
      <c r="AA15" s="232"/>
      <c r="AB15" s="230">
        <f>T15-HLOOKUP(V15,[5]Minimas!$C$3:$CD$12,2,FALSE)</f>
        <v>36</v>
      </c>
      <c r="AC15" s="230">
        <f>T15-HLOOKUP(V15,[5]Minimas!$C$3:$CD$12,3,FALSE)</f>
        <v>26</v>
      </c>
      <c r="AD15" s="230">
        <f>T15-HLOOKUP(V15,[5]Minimas!$C$3:$CD$12,4,FALSE)</f>
        <v>16</v>
      </c>
      <c r="AE15" s="230">
        <f>T15-HLOOKUP(V15,[5]Minimas!$C$3:$CD$12,5,FALSE)</f>
        <v>4</v>
      </c>
      <c r="AF15" s="230">
        <f>T15-HLOOKUP(V15,[5]Minimas!$C$3:$CD$12,6,FALSE)</f>
        <v>-11</v>
      </c>
      <c r="AG15" s="230">
        <f>T15-HLOOKUP(V15,[5]Minimas!$C$3:$CD$12,7,FALSE)</f>
        <v>-24</v>
      </c>
      <c r="AH15" s="230">
        <f>T15-HLOOKUP(V15,[5]Minimas!$C$3:$CD$12,8,FALSE)</f>
        <v>-39</v>
      </c>
      <c r="AI15" s="230">
        <f>T15-HLOOKUP(V15,[5]Minimas!$C$3:$CD$12,9,FALSE)</f>
        <v>-54</v>
      </c>
      <c r="AJ15" s="230">
        <f>T15-HLOOKUP(V15,[5]Minimas!$C$3:$CD$12,10,FALSE)</f>
        <v>-114</v>
      </c>
      <c r="AK15" s="231" t="str">
        <f t="shared" si="7"/>
        <v>IRG +</v>
      </c>
      <c r="AL15" s="232"/>
      <c r="AM15" s="232" t="str">
        <f t="shared" si="4"/>
        <v>IRG +</v>
      </c>
      <c r="AN15" s="232">
        <f t="shared" si="8"/>
        <v>4</v>
      </c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</row>
    <row r="16" spans="1:179" s="5" customFormat="1" ht="30" customHeight="1" x14ac:dyDescent="0.25">
      <c r="B16" s="518" t="s">
        <v>543</v>
      </c>
      <c r="C16" s="166">
        <v>450201</v>
      </c>
      <c r="D16" s="167"/>
      <c r="E16" s="476" t="s">
        <v>44</v>
      </c>
      <c r="F16" s="217" t="s">
        <v>807</v>
      </c>
      <c r="G16" s="144" t="s">
        <v>716</v>
      </c>
      <c r="H16" s="218">
        <v>2003</v>
      </c>
      <c r="I16" s="170" t="s">
        <v>139</v>
      </c>
      <c r="J16" s="168" t="s">
        <v>44</v>
      </c>
      <c r="K16" s="200">
        <v>58.9</v>
      </c>
      <c r="L16" s="148">
        <v>-20</v>
      </c>
      <c r="M16" s="118">
        <v>20</v>
      </c>
      <c r="N16" s="148">
        <v>-20</v>
      </c>
      <c r="O16" s="490">
        <f t="shared" si="0"/>
        <v>20</v>
      </c>
      <c r="P16" s="118">
        <v>25</v>
      </c>
      <c r="Q16" s="118">
        <v>27</v>
      </c>
      <c r="R16" s="118">
        <v>30</v>
      </c>
      <c r="S16" s="490">
        <f t="shared" si="1"/>
        <v>30</v>
      </c>
      <c r="T16" s="489">
        <f t="shared" si="5"/>
        <v>50</v>
      </c>
      <c r="U16" s="48" t="str">
        <f t="shared" si="2"/>
        <v>DEB 0</v>
      </c>
      <c r="V16" s="48" t="str">
        <f>IF(E16=0," ",IF(E16="H",IF(H16&lt;1999,VLOOKUP(K16,[5]Minimas!$A$15:$F$29,6),IF(AND(H16&gt;1998,H16&lt;2002),VLOOKUP(K16,[5]Minimas!$A$15:$F$29,5),IF(AND(H16&gt;2001,H16&lt;2004),VLOOKUP(K16,[5]Minimas!$A$15:$F$29,4),IF(AND(H16&gt;2003,H16&lt;2006),VLOOKUP(K16,[5]Minimas!$A$15:$F$29,3),VLOOKUP(K16,[5]Minimas!$A$15:$F$29,2))))),IF(H16&lt;1999,VLOOKUP(K16,[5]Minimas!$G$15:$L$29,6),IF(AND(H16&gt;1998,H16&lt;2002),VLOOKUP(K16,[5]Minimas!$G$15:$L$29,5),IF(AND(H16&gt;2001,H16&lt;2004),VLOOKUP(K16,[5]Minimas!$G$15:$L$29,4),IF(AND(H16&gt;2003,H16&lt;2006),VLOOKUP(K16,[5]Minimas!$G$15:$L$29,3),VLOOKUP(K16,[5]Minimas!$G$15:$L$29,2)))))))</f>
        <v>U17 F59</v>
      </c>
      <c r="W16" s="49">
        <f t="shared" si="3"/>
        <v>68.366021530034217</v>
      </c>
      <c r="X16" s="257">
        <v>43555</v>
      </c>
      <c r="Y16" s="261" t="s">
        <v>805</v>
      </c>
      <c r="Z16" s="261" t="s">
        <v>806</v>
      </c>
      <c r="AA16" s="232"/>
      <c r="AB16" s="230">
        <f>T16-HLOOKUP(V16,[5]Minimas!$C$3:$CD$12,2,FALSE)</f>
        <v>0</v>
      </c>
      <c r="AC16" s="230">
        <f>T16-HLOOKUP(V16,[5]Minimas!$C$3:$CD$12,3,FALSE)</f>
        <v>-10</v>
      </c>
      <c r="AD16" s="230">
        <f>T16-HLOOKUP(V16,[5]Minimas!$C$3:$CD$12,4,FALSE)</f>
        <v>-20</v>
      </c>
      <c r="AE16" s="230">
        <f>T16-HLOOKUP(V16,[5]Minimas!$C$3:$CD$12,5,FALSE)</f>
        <v>-32</v>
      </c>
      <c r="AF16" s="230">
        <f>T16-HLOOKUP(V16,[5]Minimas!$C$3:$CD$12,6,FALSE)</f>
        <v>-47</v>
      </c>
      <c r="AG16" s="230">
        <f>T16-HLOOKUP(V16,[5]Minimas!$C$3:$CD$12,7,FALSE)</f>
        <v>-60</v>
      </c>
      <c r="AH16" s="230">
        <f>T16-HLOOKUP(V16,[5]Minimas!$C$3:$CD$12,8,FALSE)</f>
        <v>-75</v>
      </c>
      <c r="AI16" s="230">
        <f>T16-HLOOKUP(V16,[5]Minimas!$C$3:$CD$12,9,FALSE)</f>
        <v>-90</v>
      </c>
      <c r="AJ16" s="230">
        <f>T16-HLOOKUP(V16,[5]Minimas!$C$3:$CD$12,10,FALSE)</f>
        <v>-150</v>
      </c>
      <c r="AK16" s="231" t="str">
        <f t="shared" si="7"/>
        <v>DEB</v>
      </c>
      <c r="AL16" s="232"/>
      <c r="AM16" s="232" t="str">
        <f t="shared" si="4"/>
        <v>DEB</v>
      </c>
      <c r="AN16" s="232">
        <f t="shared" si="8"/>
        <v>0</v>
      </c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8"/>
      <c r="DB16" s="38"/>
      <c r="DC16" s="38"/>
      <c r="DD16" s="38"/>
      <c r="DE16" s="38"/>
      <c r="DF16" s="38"/>
      <c r="DG16" s="38"/>
      <c r="DH16" s="38"/>
      <c r="DI16" s="38"/>
      <c r="DJ16" s="38"/>
      <c r="DK16" s="38"/>
      <c r="DL16" s="38"/>
      <c r="DM16" s="38"/>
      <c r="DN16" s="38"/>
      <c r="DO16" s="38"/>
      <c r="DP16" s="38"/>
      <c r="DQ16" s="38"/>
      <c r="DR16" s="38"/>
      <c r="DS16" s="38"/>
      <c r="DT16" s="38"/>
    </row>
    <row r="17" spans="1:179" s="5" customFormat="1" ht="30" customHeight="1" x14ac:dyDescent="0.25">
      <c r="A17" s="1"/>
      <c r="B17" s="514" t="s">
        <v>543</v>
      </c>
      <c r="C17" s="166">
        <v>360579</v>
      </c>
      <c r="D17" s="531"/>
      <c r="E17" s="476" t="s">
        <v>44</v>
      </c>
      <c r="F17" s="217" t="s">
        <v>171</v>
      </c>
      <c r="G17" s="144" t="s">
        <v>172</v>
      </c>
      <c r="H17" s="218">
        <v>2003</v>
      </c>
      <c r="I17" s="169" t="s">
        <v>647</v>
      </c>
      <c r="J17" s="146" t="s">
        <v>44</v>
      </c>
      <c r="K17" s="200">
        <v>60.8</v>
      </c>
      <c r="L17" s="148">
        <v>-58</v>
      </c>
      <c r="M17" s="118">
        <v>58</v>
      </c>
      <c r="N17" s="118">
        <v>61</v>
      </c>
      <c r="O17" s="52">
        <f t="shared" si="0"/>
        <v>61</v>
      </c>
      <c r="P17" s="118">
        <v>68</v>
      </c>
      <c r="Q17" s="118">
        <v>71</v>
      </c>
      <c r="R17" s="148">
        <v>-73</v>
      </c>
      <c r="S17" s="52">
        <f t="shared" si="1"/>
        <v>71</v>
      </c>
      <c r="T17" s="489">
        <f>IF(E17="","",O17+S17)</f>
        <v>132</v>
      </c>
      <c r="U17" s="48" t="str">
        <f t="shared" si="2"/>
        <v>INTB + 2</v>
      </c>
      <c r="V17" s="48" t="str">
        <f>IF(E17=0," ",IF(E17="H",IF(H17&lt;1999,VLOOKUP(K17,[6]Minimas!$A$15:$F$29,6),IF(AND(H17&gt;1998,H17&lt;2002),VLOOKUP(K17,[6]Minimas!$A$15:$F$29,5),IF(AND(H17&gt;2001,H17&lt;2004),VLOOKUP(K17,[6]Minimas!$A$15:$F$29,4),IF(AND(H17&gt;2003,H17&lt;2006),VLOOKUP(K17,[6]Minimas!$A$15:$F$29,3),VLOOKUP(K17,[6]Minimas!$A$15:$F$29,2))))),IF(H17&lt;1999,VLOOKUP(K17,[6]Minimas!$G$15:$L$29,6),IF(AND(H17&gt;1998,H17&lt;2002),VLOOKUP(K17,[6]Minimas!$G$15:$L$29,5),IF(AND(H17&gt;2001,H17&lt;2004),VLOOKUP(K17,[6]Minimas!$G$15:$L$29,4),IF(AND(H17&gt;2003,H17&lt;2006),VLOOKUP(K17,[6]Minimas!$G$15:$L$29,3),VLOOKUP(K17,[6]Minimas!$G$15:$L$29,2)))))))</f>
        <v>U17 F64</v>
      </c>
      <c r="W17" s="49">
        <f t="shared" si="3"/>
        <v>176.84618756134631</v>
      </c>
      <c r="X17" s="257">
        <v>43540</v>
      </c>
      <c r="Y17" s="261" t="s">
        <v>714</v>
      </c>
      <c r="Z17" s="261" t="s">
        <v>514</v>
      </c>
      <c r="AA17" s="463"/>
      <c r="AB17" s="230">
        <f>T17-HLOOKUP(V17,Minimas!$C$3:$CD$12,2,FALSE)</f>
        <v>77</v>
      </c>
      <c r="AC17" s="230">
        <f>T17-HLOOKUP(V17,Minimas!$C$3:$CD$12,3,FALSE)</f>
        <v>67</v>
      </c>
      <c r="AD17" s="230">
        <f>T17-HLOOKUP(V17,Minimas!$C$3:$CD$12,4,FALSE)</f>
        <v>57</v>
      </c>
      <c r="AE17" s="230">
        <f>T17-HLOOKUP(V17,Minimas!$C$3:$CD$12,5,FALSE)</f>
        <v>45</v>
      </c>
      <c r="AF17" s="230">
        <f>T17-HLOOKUP(V17,Minimas!$C$3:$CD$12,6,FALSE)</f>
        <v>30</v>
      </c>
      <c r="AG17" s="230">
        <f>T17-HLOOKUP(V17,Minimas!$C$3:$CD$12,7,FALSE)</f>
        <v>17</v>
      </c>
      <c r="AH17" s="230">
        <f>T17-HLOOKUP(V17,Minimas!$C$3:$CD$12,8,FALSE)</f>
        <v>2</v>
      </c>
      <c r="AI17" s="230">
        <f>T17-HLOOKUP(V17,Minimas!$C$3:$CD$12,9,FALSE)</f>
        <v>-13</v>
      </c>
      <c r="AJ17" s="230">
        <f>T17-HLOOKUP(V17,Minimas!$C$3:$CD$12,10,FALSE)</f>
        <v>-78</v>
      </c>
      <c r="AK17" s="231" t="str">
        <f t="shared" si="7"/>
        <v>INTB +</v>
      </c>
      <c r="AL17" s="232"/>
      <c r="AM17" s="232" t="str">
        <f t="shared" si="4"/>
        <v>INTB +</v>
      </c>
      <c r="AN17" s="232">
        <f t="shared" si="8"/>
        <v>2</v>
      </c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</row>
    <row r="18" spans="1:179" s="5" customFormat="1" ht="30" customHeight="1" x14ac:dyDescent="0.25">
      <c r="A18" s="1"/>
      <c r="B18" s="514" t="s">
        <v>543</v>
      </c>
      <c r="C18" s="166" t="s">
        <v>226</v>
      </c>
      <c r="D18" s="531"/>
      <c r="E18" s="476" t="s">
        <v>44</v>
      </c>
      <c r="F18" s="143" t="s">
        <v>715</v>
      </c>
      <c r="G18" s="144" t="s">
        <v>716</v>
      </c>
      <c r="H18" s="145">
        <v>2003</v>
      </c>
      <c r="I18" s="169" t="s">
        <v>139</v>
      </c>
      <c r="J18" s="146" t="s">
        <v>44</v>
      </c>
      <c r="K18" s="200">
        <v>59.1</v>
      </c>
      <c r="L18" s="118">
        <v>20</v>
      </c>
      <c r="M18" s="148">
        <v>-23</v>
      </c>
      <c r="N18" s="148">
        <v>-23</v>
      </c>
      <c r="O18" s="490">
        <f t="shared" si="0"/>
        <v>20</v>
      </c>
      <c r="P18" s="118">
        <v>25</v>
      </c>
      <c r="Q18" s="118">
        <v>28</v>
      </c>
      <c r="R18" s="118">
        <v>30</v>
      </c>
      <c r="S18" s="490">
        <f t="shared" si="1"/>
        <v>30</v>
      </c>
      <c r="T18" s="489">
        <f>IF(E18="","",O18+S18)</f>
        <v>50</v>
      </c>
      <c r="U18" s="48" t="str">
        <f t="shared" si="2"/>
        <v>DEB -5</v>
      </c>
      <c r="V18" s="48" t="str">
        <f>IF(E18=0," ",IF(E18="H",IF(H18&lt;1999,VLOOKUP(K18,[6]Minimas!$A$15:$F$29,6),IF(AND(H18&gt;1998,H18&lt;2002),VLOOKUP(K18,[6]Minimas!$A$15:$F$29,5),IF(AND(H18&gt;2001,H18&lt;2004),VLOOKUP(K18,[6]Minimas!$A$15:$F$29,4),IF(AND(H18&gt;2003,H18&lt;2006),VLOOKUP(K18,[6]Minimas!$A$15:$F$29,3),VLOOKUP(K18,[6]Minimas!$A$15:$F$29,2))))),IF(H18&lt;1999,VLOOKUP(K18,[6]Minimas!$G$15:$L$29,6),IF(AND(H18&gt;1998,H18&lt;2002),VLOOKUP(K18,[6]Minimas!$G$15:$L$29,5),IF(AND(H18&gt;2001,H18&lt;2004),VLOOKUP(K18,[6]Minimas!$G$15:$L$29,4),IF(AND(H18&gt;2003,H18&lt;2006),VLOOKUP(K18,[6]Minimas!$G$15:$L$29,3),VLOOKUP(K18,[6]Minimas!$G$15:$L$29,2)))))))</f>
        <v>U17 F64</v>
      </c>
      <c r="W18" s="49">
        <f t="shared" si="3"/>
        <v>68.21522823497574</v>
      </c>
      <c r="X18" s="257">
        <v>43540</v>
      </c>
      <c r="Y18" s="261" t="s">
        <v>714</v>
      </c>
      <c r="Z18" s="261" t="s">
        <v>514</v>
      </c>
      <c r="AA18" s="463"/>
      <c r="AB18" s="230">
        <f>T18-HLOOKUP(V18,Minimas!$C$3:$CD$12,2,FALSE)</f>
        <v>-5</v>
      </c>
      <c r="AC18" s="230">
        <f>T18-HLOOKUP(V18,Minimas!$C$3:$CD$12,3,FALSE)</f>
        <v>-15</v>
      </c>
      <c r="AD18" s="230">
        <f>T18-HLOOKUP(V18,Minimas!$C$3:$CD$12,4,FALSE)</f>
        <v>-25</v>
      </c>
      <c r="AE18" s="230">
        <f>T18-HLOOKUP(V18,Minimas!$C$3:$CD$12,5,FALSE)</f>
        <v>-37</v>
      </c>
      <c r="AF18" s="230">
        <f>T18-HLOOKUP(V18,Minimas!$C$3:$CD$12,6,FALSE)</f>
        <v>-52</v>
      </c>
      <c r="AG18" s="230">
        <f>T18-HLOOKUP(V18,Minimas!$C$3:$CD$12,7,FALSE)</f>
        <v>-65</v>
      </c>
      <c r="AH18" s="230">
        <f>T18-HLOOKUP(V18,Minimas!$C$3:$CD$12,8,FALSE)</f>
        <v>-80</v>
      </c>
      <c r="AI18" s="230">
        <f>T18-HLOOKUP(V18,Minimas!$C$3:$CD$12,9,FALSE)</f>
        <v>-95</v>
      </c>
      <c r="AJ18" s="230">
        <f>T18-HLOOKUP(V18,Minimas!$C$3:$CD$12,10,FALSE)</f>
        <v>-160</v>
      </c>
      <c r="AK18" s="231" t="str">
        <f t="shared" si="7"/>
        <v>DEB</v>
      </c>
      <c r="AL18" s="232"/>
      <c r="AM18" s="232" t="str">
        <f t="shared" si="4"/>
        <v>DEB</v>
      </c>
      <c r="AN18" s="232">
        <f t="shared" si="8"/>
        <v>-5</v>
      </c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34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  <c r="DT18" s="34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</row>
    <row r="19" spans="1:179" s="5" customFormat="1" ht="30" customHeight="1" x14ac:dyDescent="0.25">
      <c r="B19" s="514" t="s">
        <v>543</v>
      </c>
      <c r="C19" s="516">
        <v>450855</v>
      </c>
      <c r="D19" s="540"/>
      <c r="E19" s="168" t="s">
        <v>44</v>
      </c>
      <c r="F19" s="143" t="s">
        <v>893</v>
      </c>
      <c r="G19" s="144" t="s">
        <v>894</v>
      </c>
      <c r="H19" s="145">
        <v>2002</v>
      </c>
      <c r="I19" s="569" t="s">
        <v>219</v>
      </c>
      <c r="J19" s="146" t="s">
        <v>44</v>
      </c>
      <c r="K19" s="587">
        <v>65.5</v>
      </c>
      <c r="L19" s="118">
        <v>35</v>
      </c>
      <c r="M19" s="118">
        <v>38</v>
      </c>
      <c r="N19" s="118">
        <v>40</v>
      </c>
      <c r="O19" s="358">
        <f t="shared" si="0"/>
        <v>40</v>
      </c>
      <c r="P19" s="118">
        <v>50</v>
      </c>
      <c r="Q19" s="118">
        <v>54</v>
      </c>
      <c r="R19" s="118">
        <v>56</v>
      </c>
      <c r="S19" s="358">
        <f t="shared" si="1"/>
        <v>56</v>
      </c>
      <c r="T19" s="359">
        <f>IF(E19="","",IF(OR(O19=0,S19=0),0,O19+S19))</f>
        <v>96</v>
      </c>
      <c r="U19" s="360" t="str">
        <f t="shared" si="2"/>
        <v>IRG + 4</v>
      </c>
      <c r="V19" s="360" t="str">
        <f>IF(E19=0," ",IF(E19="H",IF(H19&lt;1999,VLOOKUP(K19,[3]Minimas!$A$15:$F$29,6),IF(AND(H19&gt;1998,H19&lt;2002),VLOOKUP(K19,[3]Minimas!$A$15:$F$29,5),IF(AND(H19&gt;2001,H19&lt;2004),VLOOKUP(K19,[3]Minimas!$A$15:$F$29,4),IF(AND(H19&gt;2003,H19&lt;2006),VLOOKUP(K19,[3]Minimas!$A$15:$F$29,3),VLOOKUP(K19,[3]Minimas!$A$15:$F$29,2))))),IF(H19&lt;1999,VLOOKUP(K19,[3]Minimas!$G$15:$L$29,6),IF(AND(H19&gt;1998,H19&lt;2002),VLOOKUP(K19,[3]Minimas!$G$15:$L$29,5),IF(AND(H19&gt;2001,H19&lt;2004),VLOOKUP(K19,[3]Minimas!$G$15:$L$29,4),IF(AND(H19&gt;2003,H19&lt;2006),VLOOKUP(K19,[3]Minimas!$G$15:$L$29,3),VLOOKUP(K19,[3]Minimas!$G$15:$L$29,2)))))))</f>
        <v>U17 F71</v>
      </c>
      <c r="W19" s="361">
        <f t="shared" si="3"/>
        <v>122.94452011103024</v>
      </c>
      <c r="X19" s="257">
        <v>43610</v>
      </c>
      <c r="Y19" s="261" t="s">
        <v>892</v>
      </c>
      <c r="Z19" s="261" t="s">
        <v>829</v>
      </c>
      <c r="AA19" s="232"/>
      <c r="AB19" s="230">
        <f>T19-HLOOKUP(V19,[3]Minimas!$C$3:$CD$12,2,FALSE)</f>
        <v>36</v>
      </c>
      <c r="AC19" s="230">
        <f>T19-HLOOKUP(V19,[3]Minimas!$C$3:$CD$12,3,FALSE)</f>
        <v>26</v>
      </c>
      <c r="AD19" s="230">
        <f>T19-HLOOKUP(V19,[3]Minimas!$C$3:$CD$12,4,FALSE)</f>
        <v>16</v>
      </c>
      <c r="AE19" s="230">
        <f>T19-HLOOKUP(V19,[3]Minimas!$C$3:$CD$12,5,FALSE)</f>
        <v>4</v>
      </c>
      <c r="AF19" s="230">
        <f>T19-HLOOKUP(V19,[3]Minimas!$C$3:$CD$12,6,FALSE)</f>
        <v>-11</v>
      </c>
      <c r="AG19" s="230">
        <f>T19-HLOOKUP(V19,[3]Minimas!$C$3:$CD$12,7,FALSE)</f>
        <v>-24</v>
      </c>
      <c r="AH19" s="230">
        <f>T19-HLOOKUP(V19,[3]Minimas!$C$3:$CD$12,8,FALSE)</f>
        <v>-39</v>
      </c>
      <c r="AI19" s="230">
        <f>T19-HLOOKUP(V19,[3]Minimas!$C$3:$CD$12,9,FALSE)</f>
        <v>-54</v>
      </c>
      <c r="AJ19" s="230">
        <f>T19-HLOOKUP(V19,[3]Minimas!$C$3:$CD$12,10,FALSE)</f>
        <v>-129</v>
      </c>
      <c r="AK19" s="231" t="str">
        <f t="shared" si="7"/>
        <v>IRG +</v>
      </c>
      <c r="AL19" s="232"/>
      <c r="AM19" s="232" t="str">
        <f t="shared" si="4"/>
        <v>IRG +</v>
      </c>
      <c r="AN19" s="232">
        <f t="shared" si="8"/>
        <v>4</v>
      </c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</row>
    <row r="20" spans="1:179" s="5" customFormat="1" ht="30" customHeight="1" x14ac:dyDescent="0.25">
      <c r="A20" s="484"/>
      <c r="B20" s="514" t="s">
        <v>543</v>
      </c>
      <c r="C20" s="524">
        <v>402800</v>
      </c>
      <c r="D20" s="530"/>
      <c r="E20" s="476" t="s">
        <v>44</v>
      </c>
      <c r="F20" s="544" t="s">
        <v>140</v>
      </c>
      <c r="G20" s="551" t="s">
        <v>141</v>
      </c>
      <c r="H20" s="215">
        <v>2000</v>
      </c>
      <c r="I20" s="564" t="s">
        <v>139</v>
      </c>
      <c r="J20" s="146" t="s">
        <v>44</v>
      </c>
      <c r="K20" s="200">
        <v>44.6</v>
      </c>
      <c r="L20" s="118">
        <v>54</v>
      </c>
      <c r="M20" s="118">
        <v>58</v>
      </c>
      <c r="N20" s="118">
        <v>-61</v>
      </c>
      <c r="O20" s="358">
        <f t="shared" si="0"/>
        <v>58</v>
      </c>
      <c r="P20" s="118">
        <v>67</v>
      </c>
      <c r="Q20" s="118">
        <v>70</v>
      </c>
      <c r="R20" s="118">
        <v>-73</v>
      </c>
      <c r="S20" s="358">
        <f t="shared" si="1"/>
        <v>70</v>
      </c>
      <c r="T20" s="359">
        <f>IF(E20="","",IF(OR(O20=0,S20=0),0,O20+S20))</f>
        <v>128</v>
      </c>
      <c r="U20" s="360" t="str">
        <f t="shared" si="2"/>
        <v>INTB + 18</v>
      </c>
      <c r="V20" s="360" t="str">
        <f>IF(E20=0," ",IF(E20="H",IF(H20&lt;1999,VLOOKUP(K20,[3]Minimas!$A$15:$F$29,6),IF(AND(H20&gt;1998,H20&lt;2002),VLOOKUP(K20,[3]Minimas!$A$15:$F$29,5),IF(AND(H20&gt;2001,H20&lt;2004),VLOOKUP(K20,[3]Minimas!$A$15:$F$29,4),IF(AND(H20&gt;2003,H20&lt;2006),VLOOKUP(K20,[3]Minimas!$A$15:$F$29,3),VLOOKUP(K20,[3]Minimas!$A$15:$F$29,2))))),IF(H20&lt;1999,VLOOKUP(K20,[3]Minimas!$G$15:$L$29,6),IF(AND(H20&gt;1998,H20&lt;2002),VLOOKUP(K20,[3]Minimas!$G$15:$L$29,5),IF(AND(H20&gt;2001,H20&lt;2004),VLOOKUP(K20,[3]Minimas!$G$15:$L$29,4),IF(AND(H20&gt;2003,H20&lt;2006),VLOOKUP(K20,[3]Minimas!$G$15:$L$29,3),VLOOKUP(K20,[3]Minimas!$G$15:$L$29,2)))))))</f>
        <v>U20 F45</v>
      </c>
      <c r="W20" s="361">
        <f t="shared" si="3"/>
        <v>215.43915912361945</v>
      </c>
      <c r="X20" s="257">
        <v>43625</v>
      </c>
      <c r="Y20" s="261" t="s">
        <v>886</v>
      </c>
      <c r="Z20" s="261" t="s">
        <v>887</v>
      </c>
      <c r="AA20" s="232"/>
      <c r="AB20" s="230">
        <f>T20-HLOOKUP(V20,[3]Minimas!$C$3:$CD$12,2,FALSE)</f>
        <v>88</v>
      </c>
      <c r="AC20" s="230">
        <f>T20-HLOOKUP(V20,[3]Minimas!$C$3:$CD$12,3,FALSE)</f>
        <v>78</v>
      </c>
      <c r="AD20" s="230">
        <f>T20-HLOOKUP(V20,[3]Minimas!$C$3:$CD$12,4,FALSE)</f>
        <v>68</v>
      </c>
      <c r="AE20" s="230">
        <f>T20-HLOOKUP(V20,[3]Minimas!$C$3:$CD$12,5,FALSE)</f>
        <v>58</v>
      </c>
      <c r="AF20" s="230">
        <f>T20-HLOOKUP(V20,[3]Minimas!$C$3:$CD$12,6,FALSE)</f>
        <v>45</v>
      </c>
      <c r="AG20" s="230">
        <f>T20-HLOOKUP(V20,[3]Minimas!$C$3:$CD$12,7,FALSE)</f>
        <v>31</v>
      </c>
      <c r="AH20" s="230">
        <f>T20-HLOOKUP(V20,[3]Minimas!$C$3:$CD$12,8,FALSE)</f>
        <v>18</v>
      </c>
      <c r="AI20" s="230">
        <f>T20-HLOOKUP(V20,[3]Minimas!$C$3:$CD$12,9,FALSE)</f>
        <v>-2</v>
      </c>
      <c r="AJ20" s="230">
        <f>T20-HLOOKUP(V20,[3]Minimas!$C$3:$CD$12,10,FALSE)</f>
        <v>-47</v>
      </c>
      <c r="AK20" s="231" t="str">
        <f t="shared" si="7"/>
        <v>INTB +</v>
      </c>
      <c r="AL20" s="232"/>
      <c r="AM20" s="232" t="str">
        <f t="shared" si="4"/>
        <v>INTB +</v>
      </c>
      <c r="AN20" s="232">
        <f t="shared" si="8"/>
        <v>18</v>
      </c>
      <c r="AO20" s="485"/>
      <c r="AP20" s="485"/>
      <c r="AQ20" s="485"/>
      <c r="AR20" s="485"/>
      <c r="AS20" s="485"/>
      <c r="AT20" s="485"/>
      <c r="AU20" s="485"/>
      <c r="AV20" s="485"/>
      <c r="AW20" s="485"/>
      <c r="AX20" s="485"/>
      <c r="AY20" s="485"/>
      <c r="AZ20" s="485"/>
      <c r="BA20" s="485"/>
      <c r="BB20" s="485"/>
      <c r="BC20" s="485"/>
      <c r="BD20" s="485"/>
      <c r="BE20" s="485"/>
      <c r="BF20" s="485"/>
      <c r="BG20" s="485"/>
      <c r="BH20" s="485"/>
      <c r="BI20" s="485"/>
      <c r="BJ20" s="485"/>
      <c r="BK20" s="485"/>
      <c r="BL20" s="485"/>
      <c r="BM20" s="485"/>
      <c r="BN20" s="485"/>
      <c r="BO20" s="485"/>
      <c r="BP20" s="485"/>
      <c r="BQ20" s="485"/>
      <c r="BR20" s="485"/>
      <c r="BS20" s="485"/>
      <c r="BT20" s="485"/>
      <c r="BU20" s="485"/>
      <c r="BV20" s="485"/>
      <c r="BW20" s="485"/>
      <c r="BX20" s="485"/>
      <c r="BY20" s="485"/>
      <c r="BZ20" s="485"/>
      <c r="CA20" s="485"/>
      <c r="CB20" s="485"/>
      <c r="CC20" s="485"/>
      <c r="CD20" s="485"/>
      <c r="CE20" s="485"/>
      <c r="CF20" s="485"/>
      <c r="CG20" s="485"/>
      <c r="CH20" s="485"/>
      <c r="CI20" s="485"/>
      <c r="CJ20" s="485"/>
      <c r="CK20" s="485"/>
      <c r="CL20" s="485"/>
      <c r="CM20" s="485"/>
      <c r="CN20" s="485"/>
      <c r="CO20" s="485"/>
      <c r="CP20" s="485"/>
      <c r="CQ20" s="485"/>
      <c r="CR20" s="485"/>
      <c r="CS20" s="485"/>
      <c r="CT20" s="485"/>
      <c r="CU20" s="485"/>
      <c r="CV20" s="485"/>
      <c r="CW20" s="485"/>
      <c r="CX20" s="485"/>
      <c r="CY20" s="485"/>
      <c r="CZ20" s="485"/>
      <c r="DA20" s="485"/>
      <c r="DB20" s="485"/>
      <c r="DC20" s="485"/>
      <c r="DD20" s="485"/>
      <c r="DE20" s="485"/>
      <c r="DF20" s="485"/>
      <c r="DG20" s="485"/>
      <c r="DH20" s="485"/>
      <c r="DI20" s="485"/>
      <c r="DJ20" s="485"/>
      <c r="DK20" s="485"/>
      <c r="DL20" s="485"/>
      <c r="DM20" s="485"/>
      <c r="DN20" s="485"/>
      <c r="DO20" s="485"/>
      <c r="DP20" s="485"/>
      <c r="DQ20" s="485"/>
      <c r="DR20" s="485"/>
      <c r="DS20" s="485"/>
      <c r="DT20" s="485"/>
      <c r="DU20" s="484"/>
      <c r="DV20" s="484"/>
      <c r="DW20" s="484"/>
      <c r="DX20" s="484"/>
      <c r="DY20" s="484"/>
      <c r="DZ20" s="484"/>
      <c r="EA20" s="484"/>
      <c r="EB20" s="484"/>
      <c r="EC20" s="484"/>
      <c r="ED20" s="484"/>
      <c r="EE20" s="484"/>
      <c r="EF20" s="484"/>
      <c r="EG20" s="484"/>
      <c r="EH20" s="484"/>
      <c r="EI20" s="484"/>
      <c r="EJ20" s="484"/>
      <c r="EK20" s="484"/>
      <c r="EL20" s="484"/>
      <c r="EM20" s="484"/>
      <c r="EN20" s="484"/>
      <c r="EO20" s="484"/>
      <c r="EP20" s="484"/>
      <c r="EQ20" s="484"/>
      <c r="ER20" s="484"/>
      <c r="ES20" s="484"/>
      <c r="ET20" s="484"/>
      <c r="EU20" s="484"/>
      <c r="EV20" s="484"/>
      <c r="EW20" s="484"/>
      <c r="EX20" s="484"/>
      <c r="EY20" s="484"/>
      <c r="EZ20" s="484"/>
      <c r="FA20" s="484"/>
      <c r="FB20" s="484"/>
      <c r="FC20" s="484"/>
      <c r="FD20" s="484"/>
      <c r="FE20" s="484"/>
      <c r="FF20" s="484"/>
      <c r="FG20" s="484"/>
      <c r="FH20" s="484"/>
      <c r="FI20" s="484"/>
      <c r="FJ20" s="484"/>
      <c r="FK20" s="484"/>
      <c r="FL20" s="484"/>
      <c r="FM20" s="484"/>
      <c r="FN20" s="484"/>
      <c r="FO20" s="484"/>
      <c r="FP20" s="484"/>
      <c r="FQ20" s="484"/>
      <c r="FR20" s="484"/>
      <c r="FS20" s="484"/>
      <c r="FT20" s="484"/>
      <c r="FU20" s="484"/>
      <c r="FV20" s="484"/>
      <c r="FW20" s="484"/>
    </row>
    <row r="21" spans="1:179" s="5" customFormat="1" ht="30" customHeight="1" x14ac:dyDescent="0.25">
      <c r="B21" s="519" t="s">
        <v>543</v>
      </c>
      <c r="C21" s="470">
        <v>417751</v>
      </c>
      <c r="D21" s="660"/>
      <c r="E21" s="478" t="s">
        <v>44</v>
      </c>
      <c r="F21" s="149" t="s">
        <v>524</v>
      </c>
      <c r="G21" s="150" t="s">
        <v>180</v>
      </c>
      <c r="H21" s="151">
        <v>2001</v>
      </c>
      <c r="I21" s="241" t="s">
        <v>139</v>
      </c>
      <c r="J21" s="152" t="s">
        <v>44</v>
      </c>
      <c r="K21" s="583">
        <v>45</v>
      </c>
      <c r="L21" s="154">
        <v>35</v>
      </c>
      <c r="M21" s="154">
        <v>38</v>
      </c>
      <c r="N21" s="154">
        <v>40</v>
      </c>
      <c r="O21" s="192">
        <f t="shared" si="0"/>
        <v>40</v>
      </c>
      <c r="P21" s="154">
        <v>50</v>
      </c>
      <c r="Q21" s="154">
        <v>53</v>
      </c>
      <c r="R21" s="661">
        <v>-55</v>
      </c>
      <c r="S21" s="192">
        <f t="shared" si="1"/>
        <v>53</v>
      </c>
      <c r="T21" s="193">
        <f>IF(E21="","",IF(OR(O21=0,S21=0),0,O21+S21))</f>
        <v>93</v>
      </c>
      <c r="U21" s="194" t="str">
        <f t="shared" si="2"/>
        <v>FED + 10</v>
      </c>
      <c r="V21" s="194" t="str">
        <f>IF(E21=0," ",IF(E21="H",IF(H21&lt;1999,VLOOKUP(K21,[4]Minimas!$A$15:$F$29,6),IF(AND(H21&gt;1998,H21&lt;2002),VLOOKUP(K21,[4]Minimas!$A$15:$F$29,5),IF(AND(H21&gt;2001,H21&lt;2004),VLOOKUP(K21,[4]Minimas!$A$15:$F$29,4),IF(AND(H21&gt;2003,H21&lt;2006),VLOOKUP(K21,[4]Minimas!$A$15:$F$29,3),VLOOKUP(K21,[4]Minimas!$A$15:$F$29,2))))),IF(H21&lt;1999,VLOOKUP(K21,[4]Minimas!$G$15:$L$29,6),IF(AND(H21&gt;1998,H21&lt;2002),VLOOKUP(K21,[4]Minimas!$G$15:$L$29,5),IF(AND(H21&gt;2001,H21&lt;2004),VLOOKUP(K21,[4]Minimas!$G$15:$L$29,4),IF(AND(H21&gt;2003,H21&lt;2006),VLOOKUP(K21,[4]Minimas!$G$15:$L$29,3),VLOOKUP(K21,[4]Minimas!$G$15:$L$29,2)))))))</f>
        <v>U20 F45</v>
      </c>
      <c r="W21" s="195">
        <f t="shared" si="3"/>
        <v>155.36212869014665</v>
      </c>
      <c r="X21" s="662">
        <v>43492</v>
      </c>
      <c r="Y21" s="663" t="s">
        <v>694</v>
      </c>
      <c r="Z21" s="663" t="s">
        <v>695</v>
      </c>
      <c r="AA21" s="232"/>
      <c r="AB21" s="230">
        <f>T21-HLOOKUP(V21,[3]Minimas!$C$3:$CD$12,2,FALSE)</f>
        <v>53</v>
      </c>
      <c r="AC21" s="230">
        <f>T21-HLOOKUP(V21,[3]Minimas!$C$3:$CD$12,3,FALSE)</f>
        <v>43</v>
      </c>
      <c r="AD21" s="230">
        <f>T21-HLOOKUP(V21,[3]Minimas!$C$3:$CD$12,4,FALSE)</f>
        <v>33</v>
      </c>
      <c r="AE21" s="230">
        <f>T21-HLOOKUP(V21,[3]Minimas!$C$3:$CD$12,5,FALSE)</f>
        <v>23</v>
      </c>
      <c r="AF21" s="230">
        <f>T21-HLOOKUP(V21,[3]Minimas!$C$3:$CD$12,6,FALSE)</f>
        <v>10</v>
      </c>
      <c r="AG21" s="230">
        <f>T21-HLOOKUP(V21,[3]Minimas!$C$3:$CD$12,7,FALSE)</f>
        <v>-4</v>
      </c>
      <c r="AH21" s="230">
        <f>T21-HLOOKUP(V21,[3]Minimas!$C$3:$CD$12,8,FALSE)</f>
        <v>-17</v>
      </c>
      <c r="AI21" s="230">
        <f>T21-HLOOKUP(V21,[3]Minimas!$C$3:$CD$12,9,FALSE)</f>
        <v>-37</v>
      </c>
      <c r="AJ21" s="230">
        <f>T21-HLOOKUP(V21,[3]Minimas!$C$3:$CD$12,10,FALSE)</f>
        <v>-82</v>
      </c>
      <c r="AK21" s="231" t="str">
        <f t="shared" ref="AK21" si="9">IF(E21=0," ",IF(AJ21&gt;=0,$AJ$5,IF(AI21&gt;=0,$AI$5,IF(AH21&gt;=0,$AH$5,IF(AG21&gt;=0,$AG$5,IF(AF21&gt;=0,$AF$5,IF(AE21&gt;=0,$AE$5,IF(AD21&gt;=0,$AD$5,IF(AC21&gt;=0,$AC$5,$AB$5)))))))))</f>
        <v>FED +</v>
      </c>
      <c r="AL21" s="232"/>
      <c r="AM21" s="232" t="str">
        <f t="shared" ref="AM21" si="10">IF(AK21="","",AK21)</f>
        <v>FED +</v>
      </c>
      <c r="AN21" s="232">
        <f t="shared" ref="AN21" si="11">IF(E21=0," ",IF(AJ21&gt;=0,AJ21,IF(AI21&gt;=0,AI21,IF(AH21&gt;=0,AH21,IF(AG21&gt;=0,AG21,IF(AF21&gt;=0,AF21,IF(AE21&gt;=0,AE21,IF(AD21&gt;=0,AD21,IF(AC21&gt;=0,AC21,AB21)))))))))</f>
        <v>10</v>
      </c>
      <c r="AO21" s="485"/>
      <c r="AP21" s="485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38"/>
      <c r="DG21" s="38"/>
      <c r="DH21" s="38"/>
      <c r="DI21" s="38"/>
      <c r="DJ21" s="38"/>
      <c r="DK21" s="38"/>
      <c r="DL21" s="38"/>
      <c r="DM21" s="38"/>
      <c r="DN21" s="38"/>
      <c r="DO21" s="38"/>
      <c r="DP21" s="38"/>
      <c r="DQ21" s="38"/>
      <c r="DR21" s="38"/>
      <c r="DS21" s="38"/>
      <c r="DT21" s="38"/>
    </row>
    <row r="22" spans="1:179" s="5" customFormat="1" ht="30" customHeight="1" x14ac:dyDescent="0.25">
      <c r="A22" s="484"/>
      <c r="B22" s="514" t="s">
        <v>543</v>
      </c>
      <c r="C22" s="524">
        <v>402800</v>
      </c>
      <c r="D22" s="530"/>
      <c r="E22" s="476" t="s">
        <v>44</v>
      </c>
      <c r="F22" s="544" t="s">
        <v>140</v>
      </c>
      <c r="G22" s="551" t="s">
        <v>141</v>
      </c>
      <c r="H22" s="215">
        <v>2000</v>
      </c>
      <c r="I22" s="564" t="s">
        <v>139</v>
      </c>
      <c r="J22" s="146" t="s">
        <v>44</v>
      </c>
      <c r="K22" s="200">
        <v>46.7</v>
      </c>
      <c r="L22" s="118">
        <v>58</v>
      </c>
      <c r="M22" s="118">
        <v>61</v>
      </c>
      <c r="N22" s="118">
        <v>63</v>
      </c>
      <c r="O22" s="601">
        <f t="shared" si="0"/>
        <v>63</v>
      </c>
      <c r="P22" s="118">
        <v>68</v>
      </c>
      <c r="Q22" s="118">
        <v>71</v>
      </c>
      <c r="R22" s="118">
        <v>-73</v>
      </c>
      <c r="S22" s="601">
        <f t="shared" si="1"/>
        <v>71</v>
      </c>
      <c r="T22" s="608">
        <f>IF(E22="","",IF(OR(O22=0,S22=0),0,O22+S22))</f>
        <v>134</v>
      </c>
      <c r="U22" s="612" t="str">
        <f t="shared" si="2"/>
        <v>INTB + 14</v>
      </c>
      <c r="V22" s="612" t="str">
        <f>IF(E22=0," ",IF(E22="H",IF(H22&lt;1999,VLOOKUP(K22,[3]Minimas!$A$15:$F$29,6),IF(AND(H22&gt;1998,H22&lt;2002),VLOOKUP(K22,[3]Minimas!$A$15:$F$29,5),IF(AND(H22&gt;2001,H22&lt;2004),VLOOKUP(K22,[3]Minimas!$A$15:$F$29,4),IF(AND(H22&gt;2003,H22&lt;2006),VLOOKUP(K22,[3]Minimas!$A$15:$F$29,3),VLOOKUP(K22,[3]Minimas!$A$15:$F$29,2))))),IF(H22&lt;1999,VLOOKUP(K22,[3]Minimas!$G$15:$L$29,6),IF(AND(H22&gt;1998,H22&lt;2002),VLOOKUP(K22,[3]Minimas!$G$15:$L$29,5),IF(AND(H22&gt;2001,H22&lt;2004),VLOOKUP(K22,[3]Minimas!$G$15:$L$29,4),IF(AND(H22&gt;2003,H22&lt;2006),VLOOKUP(K22,[3]Minimas!$G$15:$L$29,3),VLOOKUP(K22,[3]Minimas!$G$15:$L$29,2)))))))</f>
        <v>U20 F49</v>
      </c>
      <c r="W22" s="614">
        <f t="shared" si="3"/>
        <v>217.12572381230757</v>
      </c>
      <c r="X22" s="257">
        <v>43610</v>
      </c>
      <c r="Y22" s="261" t="s">
        <v>881</v>
      </c>
      <c r="Z22" s="261" t="s">
        <v>882</v>
      </c>
      <c r="AA22" s="232"/>
      <c r="AB22" s="230">
        <f>T22-HLOOKUP(V22,[3]Minimas!$C$3:$CD$12,2,FALSE)</f>
        <v>89</v>
      </c>
      <c r="AC22" s="230">
        <f>T22-HLOOKUP(V22,[3]Minimas!$C$3:$CD$12,3,FALSE)</f>
        <v>79</v>
      </c>
      <c r="AD22" s="230">
        <f>T22-HLOOKUP(V22,[3]Minimas!$C$3:$CD$12,4,FALSE)</f>
        <v>69</v>
      </c>
      <c r="AE22" s="230">
        <f>T22-HLOOKUP(V22,[3]Minimas!$C$3:$CD$12,5,FALSE)</f>
        <v>57</v>
      </c>
      <c r="AF22" s="230">
        <f>T22-HLOOKUP(V22,[3]Minimas!$C$3:$CD$12,6,FALSE)</f>
        <v>44</v>
      </c>
      <c r="AG22" s="230">
        <f>T22-HLOOKUP(V22,[3]Minimas!$C$3:$CD$12,7,FALSE)</f>
        <v>29</v>
      </c>
      <c r="AH22" s="230">
        <f>T22-HLOOKUP(V22,[3]Minimas!$C$3:$CD$12,8,FALSE)</f>
        <v>14</v>
      </c>
      <c r="AI22" s="230">
        <f>T22-HLOOKUP(V22,[3]Minimas!$C$3:$CD$12,9,FALSE)</f>
        <v>-6</v>
      </c>
      <c r="AJ22" s="230">
        <f>T22-HLOOKUP(V22,[3]Minimas!$C$3:$CD$12,10,FALSE)</f>
        <v>-41</v>
      </c>
      <c r="AK22" s="231" t="str">
        <f>IF(E22=0," ",IF(AJ22&gt;=0,$AJ$5,IF(AI22&gt;=0,$AI$5,IF(AH22&gt;=0,$AH$5,IF(AG22&gt;=0,$AG$5,IF(AF22&gt;=0,$AF$5,IF(AE22&gt;=0,$AE$5,IF(AD22&gt;=0,$AD$5,IF(AC22&gt;=0,$AC$5,$AB$5)))))))))</f>
        <v>INTB +</v>
      </c>
      <c r="AL22" s="232"/>
      <c r="AM22" s="232" t="str">
        <f t="shared" si="4"/>
        <v>INTB +</v>
      </c>
      <c r="AN22" s="232">
        <f>IF(E22=0," ",IF(AJ22&gt;=0,AJ22,IF(AI22&gt;=0,AI22,IF(AH22&gt;=0,AH22,IF(AG22&gt;=0,AG22,IF(AF22&gt;=0,AF22,IF(AE22&gt;=0,AE22,IF(AD22&gt;=0,AD22,IF(AC22&gt;=0,AC22,AB22)))))))))</f>
        <v>14</v>
      </c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  <c r="CH22" s="38"/>
      <c r="CI22" s="38"/>
      <c r="CJ22" s="38"/>
      <c r="CK22" s="38"/>
      <c r="CL22" s="38"/>
      <c r="CM22" s="38"/>
      <c r="CN22" s="38"/>
      <c r="CO22" s="38"/>
      <c r="CP22" s="38"/>
      <c r="CQ22" s="38"/>
      <c r="CR22" s="38"/>
      <c r="CS22" s="38"/>
      <c r="CT22" s="38"/>
      <c r="CU22" s="38"/>
      <c r="CV22" s="38"/>
      <c r="CW22" s="38"/>
      <c r="CX22" s="38"/>
      <c r="CY22" s="38"/>
      <c r="CZ22" s="38"/>
      <c r="DA22" s="38"/>
      <c r="DB22" s="38"/>
      <c r="DC22" s="38"/>
      <c r="DD22" s="38"/>
      <c r="DE22" s="38"/>
      <c r="DF22" s="38"/>
      <c r="DG22" s="38"/>
      <c r="DH22" s="38"/>
      <c r="DI22" s="38"/>
      <c r="DJ22" s="38"/>
      <c r="DK22" s="38"/>
      <c r="DL22" s="38"/>
      <c r="DM22" s="38"/>
      <c r="DN22" s="38"/>
      <c r="DO22" s="38"/>
      <c r="DP22" s="38"/>
      <c r="DQ22" s="38"/>
      <c r="DR22" s="38"/>
      <c r="DS22" s="38"/>
      <c r="DT22" s="38"/>
    </row>
    <row r="23" spans="1:179" s="5" customFormat="1" ht="30" customHeight="1" x14ac:dyDescent="0.25">
      <c r="B23" s="514" t="s">
        <v>543</v>
      </c>
      <c r="C23" s="470">
        <v>417751</v>
      </c>
      <c r="D23" s="530"/>
      <c r="E23" s="476" t="s">
        <v>44</v>
      </c>
      <c r="F23" s="544" t="s">
        <v>524</v>
      </c>
      <c r="G23" s="551" t="s">
        <v>180</v>
      </c>
      <c r="H23" s="215">
        <v>2001</v>
      </c>
      <c r="I23" s="564" t="s">
        <v>139</v>
      </c>
      <c r="J23" s="146" t="s">
        <v>44</v>
      </c>
      <c r="K23" s="200">
        <v>47.1</v>
      </c>
      <c r="L23" s="118">
        <v>38</v>
      </c>
      <c r="M23" s="118">
        <v>40</v>
      </c>
      <c r="N23" s="118">
        <v>42</v>
      </c>
      <c r="O23" s="601">
        <f t="shared" si="0"/>
        <v>42</v>
      </c>
      <c r="P23" s="118">
        <v>52</v>
      </c>
      <c r="Q23" s="118">
        <v>54</v>
      </c>
      <c r="R23" s="118">
        <v>-56</v>
      </c>
      <c r="S23" s="601">
        <f t="shared" si="1"/>
        <v>54</v>
      </c>
      <c r="T23" s="608">
        <f>IF(E23="","",IF(OR(O23=0,S23=0),0,O23+S23))</f>
        <v>96</v>
      </c>
      <c r="U23" s="612" t="str">
        <f t="shared" si="2"/>
        <v>FED + 6</v>
      </c>
      <c r="V23" s="612" t="str">
        <f>IF(E23=0," ",IF(E23="H",IF(H23&lt;1999,VLOOKUP(K23,[3]Minimas!$A$15:$F$29,6),IF(AND(H23&gt;1998,H23&lt;2002),VLOOKUP(K23,[3]Minimas!$A$15:$F$29,5),IF(AND(H23&gt;2001,H23&lt;2004),VLOOKUP(K23,[3]Minimas!$A$15:$F$29,4),IF(AND(H23&gt;2003,H23&lt;2006),VLOOKUP(K23,[3]Minimas!$A$15:$F$29,3),VLOOKUP(K23,[3]Minimas!$A$15:$F$29,2))))),IF(H23&lt;1999,VLOOKUP(K23,[3]Minimas!$G$15:$L$29,6),IF(AND(H23&gt;1998,H23&lt;2002),VLOOKUP(K23,[3]Minimas!$G$15:$L$29,5),IF(AND(H23&gt;2001,H23&lt;2004),VLOOKUP(K23,[3]Minimas!$G$15:$L$29,4),IF(AND(H23&gt;2003,H23&lt;2006),VLOOKUP(K23,[3]Minimas!$G$15:$L$29,3),VLOOKUP(K23,[3]Minimas!$G$15:$L$29,2)))))))</f>
        <v>U20 F49</v>
      </c>
      <c r="W23" s="614">
        <f t="shared" si="3"/>
        <v>154.48501619608618</v>
      </c>
      <c r="X23" s="257">
        <v>43599</v>
      </c>
      <c r="Y23" s="261" t="s">
        <v>874</v>
      </c>
      <c r="Z23" s="261" t="s">
        <v>875</v>
      </c>
      <c r="AA23" s="232"/>
      <c r="AB23" s="230">
        <f>T23-HLOOKUP(V23,[3]Minimas!$C$3:$CD$12,2,FALSE)</f>
        <v>51</v>
      </c>
      <c r="AC23" s="230">
        <f>T23-HLOOKUP(V23,[3]Minimas!$C$3:$CD$12,3,FALSE)</f>
        <v>41</v>
      </c>
      <c r="AD23" s="230">
        <f>T23-HLOOKUP(V23,[3]Minimas!$C$3:$CD$12,4,FALSE)</f>
        <v>31</v>
      </c>
      <c r="AE23" s="230">
        <f>T23-HLOOKUP(V23,[3]Minimas!$C$3:$CD$12,5,FALSE)</f>
        <v>19</v>
      </c>
      <c r="AF23" s="230">
        <f>T23-HLOOKUP(V23,[3]Minimas!$C$3:$CD$12,6,FALSE)</f>
        <v>6</v>
      </c>
      <c r="AG23" s="230">
        <f>T23-HLOOKUP(V23,[3]Minimas!$C$3:$CD$12,7,FALSE)</f>
        <v>-9</v>
      </c>
      <c r="AH23" s="230">
        <f>T23-HLOOKUP(V23,[3]Minimas!$C$3:$CD$12,8,FALSE)</f>
        <v>-24</v>
      </c>
      <c r="AI23" s="230">
        <f>T23-HLOOKUP(V23,[3]Minimas!$C$3:$CD$12,9,FALSE)</f>
        <v>-44</v>
      </c>
      <c r="AJ23" s="230">
        <f>T23-HLOOKUP(V23,[3]Minimas!$C$3:$CD$12,10,FALSE)</f>
        <v>-79</v>
      </c>
      <c r="AK23" s="231" t="str">
        <f>IF(E23=0," ",IF(AJ23&gt;=0,$AJ$5,IF(AI23&gt;=0,$AI$5,IF(AH23&gt;=0,$AH$5,IF(AG23&gt;=0,$AG$5,IF(AF23&gt;=0,$AF$5,IF(AE23&gt;=0,$AE$5,IF(AD23&gt;=0,$AD$5,IF(AC23&gt;=0,$AC$5,$AB$5)))))))))</f>
        <v>FED +</v>
      </c>
      <c r="AL23" s="232"/>
      <c r="AM23" s="232" t="str">
        <f t="shared" si="4"/>
        <v>FED +</v>
      </c>
      <c r="AN23" s="232">
        <f>IF(E23=0," ",IF(AJ23&gt;=0,AJ23,IF(AI23&gt;=0,AI23,IF(AH23&gt;=0,AH23,IF(AG23&gt;=0,AG23,IF(AF23&gt;=0,AF23,IF(AE23&gt;=0,AE23,IF(AD23&gt;=0,AD23,IF(AC23&gt;=0,AC23,AB23)))))))))</f>
        <v>6</v>
      </c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38"/>
      <c r="CN23" s="38"/>
      <c r="CO23" s="38"/>
      <c r="CP23" s="38"/>
      <c r="CQ23" s="38"/>
      <c r="CR23" s="38"/>
      <c r="CS23" s="38"/>
      <c r="CT23" s="38"/>
      <c r="CU23" s="38"/>
      <c r="CV23" s="38"/>
      <c r="CW23" s="38"/>
      <c r="CX23" s="38"/>
      <c r="CY23" s="38"/>
      <c r="CZ23" s="38"/>
      <c r="DA23" s="38"/>
      <c r="DB23" s="38"/>
      <c r="DC23" s="38"/>
      <c r="DD23" s="38"/>
      <c r="DE23" s="38"/>
      <c r="DF23" s="38"/>
      <c r="DG23" s="38"/>
      <c r="DH23" s="38"/>
      <c r="DI23" s="38"/>
      <c r="DJ23" s="38"/>
      <c r="DK23" s="38"/>
      <c r="DL23" s="38"/>
      <c r="DM23" s="38"/>
      <c r="DN23" s="38"/>
      <c r="DO23" s="38"/>
      <c r="DP23" s="38"/>
      <c r="DQ23" s="38"/>
      <c r="DR23" s="38"/>
      <c r="DS23" s="38"/>
      <c r="DT23" s="38"/>
    </row>
    <row r="24" spans="1:179" s="5" customFormat="1" ht="30" customHeight="1" x14ac:dyDescent="0.25">
      <c r="A24" s="6"/>
      <c r="B24" s="514" t="s">
        <v>543</v>
      </c>
      <c r="C24" s="166">
        <v>403855</v>
      </c>
      <c r="D24" s="531"/>
      <c r="E24" s="476" t="s">
        <v>44</v>
      </c>
      <c r="F24" s="143" t="s">
        <v>163</v>
      </c>
      <c r="G24" s="144" t="s">
        <v>152</v>
      </c>
      <c r="H24" s="218">
        <v>2000</v>
      </c>
      <c r="I24" s="169" t="s">
        <v>139</v>
      </c>
      <c r="J24" s="146" t="s">
        <v>44</v>
      </c>
      <c r="K24" s="200">
        <v>54.9</v>
      </c>
      <c r="L24" s="118">
        <v>54</v>
      </c>
      <c r="M24" s="148">
        <v>-57</v>
      </c>
      <c r="N24" s="118">
        <v>57</v>
      </c>
      <c r="O24" s="202">
        <f t="shared" si="0"/>
        <v>57</v>
      </c>
      <c r="P24" s="118">
        <v>68</v>
      </c>
      <c r="Q24" s="118">
        <v>71</v>
      </c>
      <c r="R24" s="118">
        <v>74</v>
      </c>
      <c r="S24" s="202">
        <f t="shared" si="1"/>
        <v>74</v>
      </c>
      <c r="T24" s="203">
        <f>IF(E24="","",O24+S24)</f>
        <v>131</v>
      </c>
      <c r="U24" s="204" t="str">
        <f t="shared" si="2"/>
        <v>NAT + 13</v>
      </c>
      <c r="V24" s="204" t="str">
        <f>IF(E24=0," ",IF(E24="H",IF(H24&lt;1999,VLOOKUP(K24,[6]Minimas!$A$15:$F$29,6),IF(AND(H24&gt;1998,H24&lt;2002),VLOOKUP(K24,[6]Minimas!$A$15:$F$29,5),IF(AND(H24&gt;2001,H24&lt;2004),VLOOKUP(K24,[6]Minimas!$A$15:$F$29,4),IF(AND(H24&gt;2003,H24&lt;2006),VLOOKUP(K24,[6]Minimas!$A$15:$F$29,3),VLOOKUP(K24,[6]Minimas!$A$15:$F$29,2))))),IF(H24&lt;1999,VLOOKUP(K24,[6]Minimas!$G$15:$L$29,6),IF(AND(H24&gt;1998,H24&lt;2002),VLOOKUP(K24,[6]Minimas!$G$15:$L$29,5),IF(AND(H24&gt;2001,H24&lt;2004),VLOOKUP(K24,[6]Minimas!$G$15:$L$29,4),IF(AND(H24&gt;2003,H24&lt;2006),VLOOKUP(K24,[6]Minimas!$G$15:$L$29,3),VLOOKUP(K24,[6]Minimas!$G$15:$L$29,2)))))))</f>
        <v>U20 F55</v>
      </c>
      <c r="W24" s="205">
        <f t="shared" si="3"/>
        <v>187.84653073082652</v>
      </c>
      <c r="X24" s="257">
        <v>43540</v>
      </c>
      <c r="Y24" s="261" t="s">
        <v>714</v>
      </c>
      <c r="Z24" s="261" t="s">
        <v>514</v>
      </c>
      <c r="AA24" s="463"/>
      <c r="AB24" s="230">
        <f>T24-HLOOKUP(V24,Minimas!$C$3:$CD$12,2,FALSE)</f>
        <v>81</v>
      </c>
      <c r="AC24" s="230">
        <f>T24-HLOOKUP(V24,Minimas!$C$3:$CD$12,3,FALSE)</f>
        <v>69</v>
      </c>
      <c r="AD24" s="230">
        <f>T24-HLOOKUP(V24,Minimas!$C$3:$CD$12,4,FALSE)</f>
        <v>56</v>
      </c>
      <c r="AE24" s="230">
        <f>T24-HLOOKUP(V24,Minimas!$C$3:$CD$12,5,FALSE)</f>
        <v>44</v>
      </c>
      <c r="AF24" s="230">
        <f>T24-HLOOKUP(V24,Minimas!$C$3:$CD$12,6,FALSE)</f>
        <v>28</v>
      </c>
      <c r="AG24" s="230">
        <f>T24-HLOOKUP(V24,Minimas!$C$3:$CD$12,7,FALSE)</f>
        <v>13</v>
      </c>
      <c r="AH24" s="230">
        <f>T24-HLOOKUP(V24,Minimas!$C$3:$CD$12,8,FALSE)</f>
        <v>-7</v>
      </c>
      <c r="AI24" s="230">
        <f>T24-HLOOKUP(V24,Minimas!$C$3:$CD$12,9,FALSE)</f>
        <v>-29</v>
      </c>
      <c r="AJ24" s="230">
        <f>T24-HLOOKUP(V24,Minimas!$C$3:$CD$12,10,FALSE)</f>
        <v>-59</v>
      </c>
      <c r="AK24" s="231" t="str">
        <f>IF(E24=0," ",IF(AJ24&gt;=0,$AJ$5,IF(AI24&gt;=0,$AI$5,IF(AH24&gt;=0,$AH$5,IF(AG24&gt;=0,$AG$5,IF(AF24&gt;=0,$AF$5,IF(AE24&gt;=0,$AE$5,IF(AD24&gt;=0,$AD$5,IF(AC24&gt;=0,$AC$5,$AB$5)))))))))</f>
        <v>NAT +</v>
      </c>
      <c r="AL24" s="232"/>
      <c r="AM24" s="232" t="str">
        <f t="shared" si="4"/>
        <v>NAT +</v>
      </c>
      <c r="AN24" s="232">
        <f>IF(E24=0," ",IF(AJ24&gt;=0,AJ24,IF(AI24&gt;=0,AI24,IF(AH24&gt;=0,AH24,IF(AG24&gt;=0,AG24,IF(AF24&gt;=0,AF24,IF(AE24&gt;=0,AE24,IF(AD24&gt;=0,AD24,IF(AC24&gt;=0,AC24,AB24)))))))))</f>
        <v>13</v>
      </c>
      <c r="AO24" s="442"/>
      <c r="AP24" s="442"/>
      <c r="AQ24" s="442"/>
      <c r="AR24" s="442"/>
      <c r="AS24" s="442"/>
      <c r="AT24" s="442"/>
      <c r="AU24" s="442"/>
      <c r="AV24" s="442"/>
      <c r="AW24" s="442"/>
      <c r="AX24" s="442"/>
      <c r="AY24" s="442"/>
      <c r="AZ24" s="442"/>
      <c r="BA24" s="442"/>
      <c r="BB24" s="442"/>
      <c r="BC24" s="442"/>
      <c r="BD24" s="442"/>
      <c r="BE24" s="442"/>
      <c r="BF24" s="442"/>
      <c r="BG24" s="442"/>
      <c r="BH24" s="442"/>
      <c r="BI24" s="442"/>
      <c r="BJ24" s="442"/>
      <c r="BK24" s="442"/>
      <c r="BL24" s="442"/>
      <c r="BM24" s="442"/>
      <c r="BN24" s="442"/>
      <c r="BO24" s="442"/>
      <c r="BP24" s="442"/>
      <c r="BQ24" s="442"/>
      <c r="BR24" s="442"/>
      <c r="BS24" s="442"/>
      <c r="BT24" s="442"/>
      <c r="BU24" s="442"/>
      <c r="BV24" s="442"/>
      <c r="BW24" s="442"/>
      <c r="BX24" s="442"/>
      <c r="BY24" s="442"/>
      <c r="BZ24" s="442"/>
      <c r="CA24" s="442"/>
      <c r="CB24" s="442"/>
      <c r="CC24" s="442"/>
      <c r="CD24" s="442"/>
      <c r="CE24" s="442"/>
      <c r="CF24" s="442"/>
      <c r="CG24" s="442"/>
      <c r="CH24" s="442"/>
      <c r="CI24" s="442"/>
      <c r="CJ24" s="442"/>
      <c r="CK24" s="442"/>
      <c r="CL24" s="442"/>
      <c r="CM24" s="442"/>
      <c r="CN24" s="442"/>
      <c r="CO24" s="442"/>
      <c r="CP24" s="442"/>
      <c r="CQ24" s="442"/>
      <c r="CR24" s="442"/>
      <c r="CS24" s="442"/>
      <c r="CT24" s="442"/>
      <c r="CU24" s="442"/>
      <c r="CV24" s="442"/>
      <c r="CW24" s="442"/>
      <c r="CX24" s="442"/>
      <c r="CY24" s="442"/>
      <c r="CZ24" s="442"/>
      <c r="DA24" s="442"/>
      <c r="DB24" s="442"/>
      <c r="DC24" s="442"/>
      <c r="DD24" s="442"/>
      <c r="DE24" s="442"/>
      <c r="DF24" s="442"/>
      <c r="DG24" s="442"/>
      <c r="DH24" s="442"/>
      <c r="DI24" s="442"/>
      <c r="DJ24" s="442"/>
      <c r="DK24" s="442"/>
      <c r="DL24" s="442"/>
      <c r="DM24" s="442"/>
      <c r="DN24" s="442"/>
      <c r="DO24" s="442"/>
      <c r="DP24" s="442"/>
      <c r="DQ24" s="442"/>
      <c r="DR24" s="442"/>
      <c r="DS24" s="442"/>
      <c r="DT24" s="442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</row>
    <row r="25" spans="1:179" s="5" customFormat="1" ht="30" customHeight="1" x14ac:dyDescent="0.3">
      <c r="A25" s="441"/>
      <c r="B25" s="97" t="s">
        <v>543</v>
      </c>
      <c r="C25" s="116">
        <v>432758</v>
      </c>
      <c r="D25" s="119"/>
      <c r="E25" s="175" t="s">
        <v>44</v>
      </c>
      <c r="F25" s="124" t="s">
        <v>156</v>
      </c>
      <c r="G25" s="125" t="s">
        <v>583</v>
      </c>
      <c r="H25" s="156">
        <v>2000</v>
      </c>
      <c r="I25" s="158" t="s">
        <v>560</v>
      </c>
      <c r="J25" s="104"/>
      <c r="K25" s="126">
        <v>52.9</v>
      </c>
      <c r="L25" s="109">
        <v>50</v>
      </c>
      <c r="M25" s="109">
        <v>53</v>
      </c>
      <c r="N25" s="109">
        <v>56</v>
      </c>
      <c r="O25" s="202">
        <f t="shared" si="0"/>
        <v>56</v>
      </c>
      <c r="P25" s="109">
        <v>62</v>
      </c>
      <c r="Q25" s="109">
        <v>65</v>
      </c>
      <c r="R25" s="109">
        <v>68</v>
      </c>
      <c r="S25" s="202">
        <f t="shared" si="1"/>
        <v>68</v>
      </c>
      <c r="T25" s="203">
        <f>IF(E25="","",IF(OR(O25=0,S25=0),0,O25+S25))</f>
        <v>124</v>
      </c>
      <c r="U25" s="204" t="str">
        <f t="shared" si="2"/>
        <v>NAT + 6</v>
      </c>
      <c r="V25" s="204" t="str">
        <f>IF(E25=0," ",IF(E25="H",IF(H25&lt;1999,VLOOKUP(K25,Minimas!$A$15:$F$29,6),IF(AND(H25&gt;1998,H25&lt;2002),VLOOKUP(K25,Minimas!$A$15:$F$29,5),IF(AND(H25&gt;2001,H25&lt;2004),VLOOKUP(K25,Minimas!$A$15:$F$29,4),IF(AND(H25&gt;2003,H25&lt;2006),VLOOKUP(K25,Minimas!$A$15:$F$29,3),VLOOKUP(K25,Minimas!$A$15:$F$29,2))))),IF(H25&lt;1999,VLOOKUP(K25,Minimas!$G$15:$L$29,6),IF(AND(H25&gt;1998,H25&lt;2002),VLOOKUP(K25,Minimas!$G$15:$L$29,5),IF(AND(H25&gt;2001,H25&lt;2004),VLOOKUP(K25,Minimas!$G$15:$L$29,4),IF(AND(H25&gt;2003,H25&lt;2006),VLOOKUP(K25,Minimas!$G$15:$L$29,3),VLOOKUP(K25,Minimas!$G$15:$L$29,2)))))))</f>
        <v>U20 F55</v>
      </c>
      <c r="W25" s="205">
        <f t="shared" si="3"/>
        <v>182.57667866350559</v>
      </c>
      <c r="X25" s="257">
        <v>43484</v>
      </c>
      <c r="Y25" s="261" t="s">
        <v>580</v>
      </c>
      <c r="Z25" s="261" t="s">
        <v>581</v>
      </c>
      <c r="AA25" s="232"/>
      <c r="AB25" s="230">
        <f>T25-HLOOKUP(V25,Minimas!$C$3:$CD$12,2,FALSE)</f>
        <v>74</v>
      </c>
      <c r="AC25" s="230">
        <f>T25-HLOOKUP(V25,Minimas!$C$3:$CD$12,3,FALSE)</f>
        <v>62</v>
      </c>
      <c r="AD25" s="230">
        <f>T25-HLOOKUP(V25,Minimas!$C$3:$CD$12,4,FALSE)</f>
        <v>49</v>
      </c>
      <c r="AE25" s="230">
        <f>T25-HLOOKUP(V25,Minimas!$C$3:$CD$12,5,FALSE)</f>
        <v>37</v>
      </c>
      <c r="AF25" s="230">
        <f>T25-HLOOKUP(V25,Minimas!$C$3:$CD$12,6,FALSE)</f>
        <v>21</v>
      </c>
      <c r="AG25" s="230">
        <f>T25-HLOOKUP(V25,Minimas!$C$3:$CD$12,7,FALSE)</f>
        <v>6</v>
      </c>
      <c r="AH25" s="230">
        <f>T25-HLOOKUP(V25,Minimas!$C$3:$CD$12,8,FALSE)</f>
        <v>-14</v>
      </c>
      <c r="AI25" s="230">
        <f>T25-HLOOKUP(V25,Minimas!$C$3:$CD$12,9,FALSE)</f>
        <v>-36</v>
      </c>
      <c r="AJ25" s="230">
        <f>T25-HLOOKUP(V25,Minimas!$C$3:$CD$12,10,FALSE)</f>
        <v>-66</v>
      </c>
      <c r="AK25" s="231" t="str">
        <f>IF(E25=0," ",IF(AJ25&gt;=0,$AJ$5,IF(AI25&gt;=0,$AI$5,IF(AH25&gt;=0,$AH$5,IF(AG25&gt;=0,$AG$5,IF(AF25&gt;=0,$AF$5,IF(AE25&gt;=0,$AE$5,IF(AD25&gt;=0,$AD$5,IF(AC25&gt;=0,$AC$5,$AB$5)))))))))</f>
        <v>NAT +</v>
      </c>
      <c r="AL25" s="232"/>
      <c r="AM25" s="232" t="str">
        <f t="shared" si="4"/>
        <v>NAT +</v>
      </c>
      <c r="AN25" s="232">
        <f>IF(E25=0," ",IF(AJ25&gt;=0,AJ25,IF(AI25&gt;=0,AI25,IF(AH25&gt;=0,AH25,IF(AG25&gt;=0,AG25,IF(AF25&gt;=0,AF25,IF(AE25&gt;=0,AE25,IF(AD25&gt;=0,AD25,IF(AC25&gt;=0,AC25,AB25)))))))))</f>
        <v>6</v>
      </c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  <c r="DD25" s="38"/>
      <c r="DE25" s="38"/>
      <c r="DF25" s="38"/>
      <c r="DG25" s="38"/>
      <c r="DH25" s="38"/>
      <c r="DI25" s="38"/>
      <c r="DJ25" s="38"/>
      <c r="DK25" s="38"/>
      <c r="DL25" s="38"/>
      <c r="DM25" s="38"/>
      <c r="DN25" s="38"/>
      <c r="DO25" s="38"/>
      <c r="DP25" s="38"/>
      <c r="DQ25" s="38"/>
      <c r="DR25" s="38"/>
      <c r="DS25" s="38"/>
      <c r="DT25" s="38"/>
    </row>
    <row r="26" spans="1:179" s="5" customFormat="1" ht="30" customHeight="1" x14ac:dyDescent="0.25">
      <c r="B26" s="519" t="s">
        <v>543</v>
      </c>
      <c r="C26" s="166">
        <v>385815</v>
      </c>
      <c r="D26" s="171"/>
      <c r="E26" s="476" t="s">
        <v>44</v>
      </c>
      <c r="F26" s="143" t="s">
        <v>165</v>
      </c>
      <c r="G26" s="144" t="s">
        <v>166</v>
      </c>
      <c r="H26" s="145">
        <v>1999</v>
      </c>
      <c r="I26" s="172" t="s">
        <v>139</v>
      </c>
      <c r="J26" s="146" t="s">
        <v>44</v>
      </c>
      <c r="K26" s="200">
        <v>52.7</v>
      </c>
      <c r="L26" s="118">
        <v>45</v>
      </c>
      <c r="M26" s="118">
        <v>48</v>
      </c>
      <c r="N26" s="460">
        <v>-50</v>
      </c>
      <c r="O26" s="202">
        <f t="shared" si="0"/>
        <v>48</v>
      </c>
      <c r="P26" s="118">
        <v>56</v>
      </c>
      <c r="Q26" s="460">
        <v>-59</v>
      </c>
      <c r="R26" s="118">
        <v>59</v>
      </c>
      <c r="S26" s="202">
        <f t="shared" si="1"/>
        <v>59</v>
      </c>
      <c r="T26" s="203">
        <f>IF(E26="","",IF(OR(O26=0,S26=0),0,O26+S26))</f>
        <v>107</v>
      </c>
      <c r="U26" s="204" t="str">
        <f t="shared" si="2"/>
        <v>FED + 4</v>
      </c>
      <c r="V26" s="204" t="str">
        <f>IF(E26=0," ",IF(E26="H",IF(H26&lt;1999,VLOOKUP(K26,[4]Minimas!$A$15:$F$29,6),IF(AND(H26&gt;1998,H26&lt;2002),VLOOKUP(K26,[4]Minimas!$A$15:$F$29,5),IF(AND(H26&gt;2001,H26&lt;2004),VLOOKUP(K26,[4]Minimas!$A$15:$F$29,4),IF(AND(H26&gt;2003,H26&lt;2006),VLOOKUP(K26,[4]Minimas!$A$15:$F$29,3),VLOOKUP(K26,[4]Minimas!$A$15:$F$29,2))))),IF(H26&lt;1999,VLOOKUP(K26,[4]Minimas!$G$15:$L$29,6),IF(AND(H26&gt;1998,H26&lt;2002),VLOOKUP(K26,[4]Minimas!$G$15:$L$29,5),IF(AND(H26&gt;2001,H26&lt;2004),VLOOKUP(K26,[4]Minimas!$G$15:$L$29,4),IF(AND(H26&gt;2003,H26&lt;2006),VLOOKUP(K26,[4]Minimas!$G$15:$L$29,3),VLOOKUP(K26,[4]Minimas!$G$15:$L$29,2)))))))</f>
        <v>U20 F55</v>
      </c>
      <c r="W26" s="205">
        <f t="shared" si="3"/>
        <v>157.98042188342475</v>
      </c>
      <c r="X26" s="257">
        <v>43492</v>
      </c>
      <c r="Y26" s="261" t="s">
        <v>694</v>
      </c>
      <c r="Z26" s="261" t="s">
        <v>695</v>
      </c>
      <c r="AA26" s="232"/>
      <c r="AB26" s="230">
        <f>T26-HLOOKUP(V26,Minimas!$C$3:$CD$12,2,FALSE)</f>
        <v>57</v>
      </c>
      <c r="AC26" s="230">
        <f>T26-HLOOKUP(V26,Minimas!$C$3:$CD$12,3,FALSE)</f>
        <v>45</v>
      </c>
      <c r="AD26" s="230">
        <f>T26-HLOOKUP(V26,Minimas!$C$3:$CD$12,4,FALSE)</f>
        <v>32</v>
      </c>
      <c r="AE26" s="230">
        <f>T26-HLOOKUP(V26,Minimas!$C$3:$CD$12,5,FALSE)</f>
        <v>20</v>
      </c>
      <c r="AF26" s="230">
        <f>T26-HLOOKUP(V26,Minimas!$C$3:$CD$12,6,FALSE)</f>
        <v>4</v>
      </c>
      <c r="AG26" s="230">
        <f>T26-HLOOKUP(V26,Minimas!$C$3:$CD$12,7,FALSE)</f>
        <v>-11</v>
      </c>
      <c r="AH26" s="230">
        <f>T26-HLOOKUP(V26,Minimas!$C$3:$CD$12,8,FALSE)</f>
        <v>-31</v>
      </c>
      <c r="AI26" s="230">
        <f>T26-HLOOKUP(V26,Minimas!$C$3:$CD$12,9,FALSE)</f>
        <v>-53</v>
      </c>
      <c r="AJ26" s="230">
        <f>T26-HLOOKUP(V26,Minimas!$C$3:$CD$12,10,FALSE)</f>
        <v>-83</v>
      </c>
      <c r="AK26" s="231" t="str">
        <f>IF(E26=0," ",IF(AJ26&gt;=0,$AJ$5,IF(AI26&gt;=0,$AI$5,IF(AH26&gt;=0,$AH$5,IF(AG26&gt;=0,$AG$5,IF(AF26&gt;=0,$AF$5,IF(AE26&gt;=0,$AE$5,IF(AD26&gt;=0,$AD$5,IF(AC26&gt;=0,$AC$5,$AB$5)))))))))</f>
        <v>FED +</v>
      </c>
      <c r="AL26" s="232"/>
      <c r="AM26" s="232" t="str">
        <f t="shared" ref="AM26" si="12">IF(AK26="","",AK26)</f>
        <v>FED +</v>
      </c>
      <c r="AN26" s="232">
        <f>IF(E26=0," ",IF(AJ26&gt;=0,AJ26,IF(AI26&gt;=0,AI26,IF(AH26&gt;=0,AH26,IF(AG26&gt;=0,AG26,IF(AF26&gt;=0,AF26,IF(AE26&gt;=0,AE26,IF(AD26&gt;=0,AD26,IF(AC26&gt;=0,AC26,AB26)))))))))</f>
        <v>4</v>
      </c>
      <c r="AO26" s="485"/>
      <c r="AP26" s="485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/>
      <c r="CI26" s="38"/>
      <c r="CJ26" s="38"/>
      <c r="CK26" s="38"/>
      <c r="CL26" s="38"/>
      <c r="CM26" s="38"/>
      <c r="CN26" s="38"/>
      <c r="CO26" s="38"/>
      <c r="CP26" s="38"/>
      <c r="CQ26" s="38"/>
      <c r="CR26" s="38"/>
      <c r="CS26" s="38"/>
      <c r="CT26" s="38"/>
      <c r="CU26" s="38"/>
      <c r="CV26" s="38"/>
      <c r="CW26" s="38"/>
      <c r="CX26" s="38"/>
      <c r="CY26" s="38"/>
      <c r="CZ26" s="38"/>
      <c r="DA26" s="38"/>
      <c r="DB26" s="38"/>
      <c r="DC26" s="38"/>
      <c r="DD26" s="38"/>
      <c r="DE26" s="38"/>
      <c r="DF26" s="38"/>
      <c r="DG26" s="38"/>
      <c r="DH26" s="38"/>
      <c r="DI26" s="38"/>
      <c r="DJ26" s="38"/>
      <c r="DK26" s="38"/>
      <c r="DL26" s="38"/>
      <c r="DM26" s="38"/>
      <c r="DN26" s="38"/>
      <c r="DO26" s="38"/>
      <c r="DP26" s="38"/>
      <c r="DQ26" s="38"/>
      <c r="DR26" s="38"/>
      <c r="DS26" s="38"/>
      <c r="DT26" s="38"/>
    </row>
    <row r="27" spans="1:179" s="5" customFormat="1" ht="30" customHeight="1" x14ac:dyDescent="0.25">
      <c r="A27" s="1"/>
      <c r="B27" s="514" t="s">
        <v>543</v>
      </c>
      <c r="C27" s="166">
        <v>434688</v>
      </c>
      <c r="D27" s="531"/>
      <c r="E27" s="476" t="s">
        <v>44</v>
      </c>
      <c r="F27" s="143" t="s">
        <v>206</v>
      </c>
      <c r="G27" s="144" t="s">
        <v>523</v>
      </c>
      <c r="H27" s="145">
        <v>2001</v>
      </c>
      <c r="I27" s="169" t="s">
        <v>139</v>
      </c>
      <c r="J27" s="146" t="s">
        <v>44</v>
      </c>
      <c r="K27" s="200">
        <v>52.6</v>
      </c>
      <c r="L27" s="118">
        <v>26</v>
      </c>
      <c r="M27" s="118">
        <v>29</v>
      </c>
      <c r="N27" s="118">
        <v>32</v>
      </c>
      <c r="O27" s="202">
        <f>IF(E27="","",IF(MAXA(L27:N27)&lt;=0,0,MAXA(L27:N27)))</f>
        <v>32</v>
      </c>
      <c r="P27" s="118">
        <v>38</v>
      </c>
      <c r="Q27" s="118">
        <v>41</v>
      </c>
      <c r="R27" s="118">
        <v>45</v>
      </c>
      <c r="S27" s="202">
        <f>IF(E27="","",IF(MAXA(P27:R27)&lt;=0,0,MAXA(P27:R27)))</f>
        <v>45</v>
      </c>
      <c r="T27" s="203">
        <f>IF(E27="","",O27+S27)</f>
        <v>77</v>
      </c>
      <c r="U27" s="204" t="str">
        <f>+CONCATENATE(AM27," ",AN27)</f>
        <v>REG + 2</v>
      </c>
      <c r="V27" s="204" t="str">
        <f>IF(E27=0," ",IF(E27="H",IF(H27&lt;1999,VLOOKUP(K27,[6]Minimas!$A$15:$F$29,6),IF(AND(H27&gt;1998,H27&lt;2002),VLOOKUP(K27,[6]Minimas!$A$15:$F$29,5),IF(AND(H27&gt;2001,H27&lt;2004),VLOOKUP(K27,[6]Minimas!$A$15:$F$29,4),IF(AND(H27&gt;2003,H27&lt;2006),VLOOKUP(K27,[6]Minimas!$A$15:$F$29,3),VLOOKUP(K27,[6]Minimas!$A$15:$F$29,2))))),IF(H27&lt;1999,VLOOKUP(K27,[6]Minimas!$G$15:$L$29,6),IF(AND(H27&gt;1998,H27&lt;2002),VLOOKUP(K27,[6]Minimas!$G$15:$L$29,5),IF(AND(H27&gt;2001,H27&lt;2004),VLOOKUP(K27,[6]Minimas!$G$15:$L$29,4),IF(AND(H27&gt;2003,H27&lt;2006),VLOOKUP(K27,[6]Minimas!$G$15:$L$29,3),VLOOKUP(K27,[6]Minimas!$G$15:$L$29,2)))))))</f>
        <v>U20 F55</v>
      </c>
      <c r="W27" s="205">
        <f>IF(E27=" "," ",IF(E27="H",10^(0.75194503*LOG(K27/175.508)^2)*T27,IF(E27="F",10^(0.783497476* LOG(K27/153.655)^2)*T27,"")))</f>
        <v>113.84434250111879</v>
      </c>
      <c r="X27" s="257">
        <v>43540</v>
      </c>
      <c r="Y27" s="261" t="s">
        <v>714</v>
      </c>
      <c r="Z27" s="261" t="s">
        <v>514</v>
      </c>
      <c r="AA27" s="463"/>
      <c r="AB27" s="230">
        <f>T27-HLOOKUP(V27,Minimas!$C$3:$CD$12,2,FALSE)</f>
        <v>27</v>
      </c>
      <c r="AC27" s="230">
        <f>T27-HLOOKUP(V27,Minimas!$C$3:$CD$12,3,FALSE)</f>
        <v>15</v>
      </c>
      <c r="AD27" s="230">
        <f>T27-HLOOKUP(V27,Minimas!$C$3:$CD$12,4,FALSE)</f>
        <v>2</v>
      </c>
      <c r="AE27" s="230">
        <f>T27-HLOOKUP(V27,Minimas!$C$3:$CD$12,5,FALSE)</f>
        <v>-10</v>
      </c>
      <c r="AF27" s="230">
        <f>T27-HLOOKUP(V27,Minimas!$C$3:$CD$12,6,FALSE)</f>
        <v>-26</v>
      </c>
      <c r="AG27" s="230">
        <f>T27-HLOOKUP(V27,Minimas!$C$3:$CD$12,7,FALSE)</f>
        <v>-41</v>
      </c>
      <c r="AH27" s="230">
        <f>T27-HLOOKUP(V27,Minimas!$C$3:$CD$12,8,FALSE)</f>
        <v>-61</v>
      </c>
      <c r="AI27" s="230">
        <f>T27-HLOOKUP(V27,Minimas!$C$3:$CD$12,9,FALSE)</f>
        <v>-83</v>
      </c>
      <c r="AJ27" s="230">
        <f>T27-HLOOKUP(V27,Minimas!$C$3:$CD$12,10,FALSE)</f>
        <v>-113</v>
      </c>
      <c r="AK27" s="231" t="str">
        <f>IF(E27=0," ",IF(AJ27&gt;=0,$AJ$5,IF(AI27&gt;=0,$AI$5,IF(AH27&gt;=0,$AH$5,IF(AG27&gt;=0,$AG$5,IF(AF27&gt;=0,$AF$5,IF(AE27&gt;=0,$AE$5,IF(AD27&gt;=0,$AD$5,IF(AC27&gt;=0,$AC$5,$AB$5)))))))))</f>
        <v>REG +</v>
      </c>
      <c r="AL27" s="232"/>
      <c r="AM27" s="232" t="str">
        <f>IF(AK27="","",AK27)</f>
        <v>REG +</v>
      </c>
      <c r="AN27" s="232">
        <f>IF(E27=0," ",IF(AJ27&gt;=0,AJ27,IF(AI27&gt;=0,AI27,IF(AH27&gt;=0,AH27,IF(AG27&gt;=0,AG27,IF(AF27&gt;=0,AF27,IF(AE27&gt;=0,AE27,IF(AD27&gt;=0,AD27,IF(AC27&gt;=0,AC27,AB27)))))))))</f>
        <v>2</v>
      </c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4"/>
      <c r="CU27" s="34"/>
      <c r="CV27" s="34"/>
      <c r="CW27" s="34"/>
      <c r="CX27" s="34"/>
      <c r="CY27" s="34"/>
      <c r="CZ27" s="34"/>
      <c r="DA27" s="34"/>
      <c r="DB27" s="34"/>
      <c r="DC27" s="34"/>
      <c r="DD27" s="34"/>
      <c r="DE27" s="34"/>
      <c r="DF27" s="34"/>
      <c r="DG27" s="34"/>
      <c r="DH27" s="34"/>
      <c r="DI27" s="34"/>
      <c r="DJ27" s="34"/>
      <c r="DK27" s="34"/>
      <c r="DL27" s="34"/>
      <c r="DM27" s="34"/>
      <c r="DN27" s="34"/>
      <c r="DO27" s="34"/>
      <c r="DP27" s="34"/>
      <c r="DQ27" s="34"/>
      <c r="DR27" s="34"/>
      <c r="DS27" s="34"/>
      <c r="DT27" s="34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</row>
    <row r="28" spans="1:179" s="196" customFormat="1" ht="30" customHeight="1" x14ac:dyDescent="0.25">
      <c r="A28" s="238"/>
      <c r="B28" s="514" t="s">
        <v>543</v>
      </c>
      <c r="C28" s="524"/>
      <c r="D28" s="530"/>
      <c r="E28" s="476" t="s">
        <v>44</v>
      </c>
      <c r="F28" s="544" t="s">
        <v>879</v>
      </c>
      <c r="G28" s="551" t="s">
        <v>880</v>
      </c>
      <c r="H28" s="215">
        <v>2001</v>
      </c>
      <c r="I28" s="564" t="s">
        <v>139</v>
      </c>
      <c r="J28" s="146" t="s">
        <v>44</v>
      </c>
      <c r="K28" s="200">
        <v>53.8</v>
      </c>
      <c r="L28" s="118">
        <v>-28</v>
      </c>
      <c r="M28" s="118">
        <v>-28</v>
      </c>
      <c r="N28" s="118">
        <v>-28</v>
      </c>
      <c r="O28" s="601">
        <f t="shared" si="0"/>
        <v>0</v>
      </c>
      <c r="P28" s="118">
        <v>33</v>
      </c>
      <c r="Q28" s="118">
        <v>36</v>
      </c>
      <c r="R28" s="118">
        <v>-38</v>
      </c>
      <c r="S28" s="601">
        <f t="shared" si="1"/>
        <v>36</v>
      </c>
      <c r="T28" s="608">
        <f>IF(E28="","",IF(OR(O28=0,S28=0),0,O28+S28))</f>
        <v>0</v>
      </c>
      <c r="U28" s="612" t="str">
        <f t="shared" si="2"/>
        <v>DEB -50</v>
      </c>
      <c r="V28" s="612" t="str">
        <f>IF(E28=0," ",IF(E28="H",IF(H28&lt;1999,VLOOKUP(K28,[3]Minimas!$A$15:$F$29,6),IF(AND(H28&gt;1998,H28&lt;2002),VLOOKUP(K28,[3]Minimas!$A$15:$F$29,5),IF(AND(H28&gt;2001,H28&lt;2004),VLOOKUP(K28,[3]Minimas!$A$15:$F$29,4),IF(AND(H28&gt;2003,H28&lt;2006),VLOOKUP(K28,[3]Minimas!$A$15:$F$29,3),VLOOKUP(K28,[3]Minimas!$A$15:$F$29,2))))),IF(H28&lt;1999,VLOOKUP(K28,[3]Minimas!$G$15:$L$29,6),IF(AND(H28&gt;1998,H28&lt;2002),VLOOKUP(K28,[3]Minimas!$G$15:$L$29,5),IF(AND(H28&gt;2001,H28&lt;2004),VLOOKUP(K28,[3]Minimas!$G$15:$L$29,4),IF(AND(H28&gt;2003,H28&lt;2006),VLOOKUP(K28,[3]Minimas!$G$15:$L$29,3),VLOOKUP(K28,[3]Minimas!$G$15:$L$29,2)))))))</f>
        <v>U20 F55</v>
      </c>
      <c r="W28" s="614">
        <f t="shared" si="3"/>
        <v>0</v>
      </c>
      <c r="X28" s="257">
        <v>43599</v>
      </c>
      <c r="Y28" s="261" t="s">
        <v>874</v>
      </c>
      <c r="Z28" s="261" t="s">
        <v>875</v>
      </c>
      <c r="AA28" s="232"/>
      <c r="AB28" s="230">
        <f>T28-HLOOKUP(V28,[3]Minimas!$C$3:$CD$12,2,FALSE)</f>
        <v>-50</v>
      </c>
      <c r="AC28" s="230">
        <f>T28-HLOOKUP(V28,[3]Minimas!$C$3:$CD$12,3,FALSE)</f>
        <v>-62</v>
      </c>
      <c r="AD28" s="230">
        <f>T28-HLOOKUP(V28,[3]Minimas!$C$3:$CD$12,4,FALSE)</f>
        <v>-75</v>
      </c>
      <c r="AE28" s="230">
        <f>T28-HLOOKUP(V28,[3]Minimas!$C$3:$CD$12,5,FALSE)</f>
        <v>-87</v>
      </c>
      <c r="AF28" s="230">
        <f>T28-HLOOKUP(V28,[3]Minimas!$C$3:$CD$12,6,FALSE)</f>
        <v>-103</v>
      </c>
      <c r="AG28" s="230">
        <f>T28-HLOOKUP(V28,[3]Minimas!$C$3:$CD$12,7,FALSE)</f>
        <v>-118</v>
      </c>
      <c r="AH28" s="230">
        <f>T28-HLOOKUP(V28,[3]Minimas!$C$3:$CD$12,8,FALSE)</f>
        <v>-138</v>
      </c>
      <c r="AI28" s="230">
        <f>T28-HLOOKUP(V28,[3]Minimas!$C$3:$CD$12,9,FALSE)</f>
        <v>-160</v>
      </c>
      <c r="AJ28" s="230">
        <f>T28-HLOOKUP(V28,[3]Minimas!$C$3:$CD$12,10,FALSE)</f>
        <v>-190</v>
      </c>
      <c r="AK28" s="231" t="str">
        <f>IF(E28=0," ",IF(AJ28&gt;=0,$AJ$5,IF(AI28&gt;=0,$AI$5,IF(AH28&gt;=0,$AH$5,IF(AG28&gt;=0,$AG$5,IF(AF28&gt;=0,$AF$5,IF(AE28&gt;=0,$AE$5,IF(AD28&gt;=0,$AD$5,IF(AC28&gt;=0,$AC$5,$AB$5)))))))))</f>
        <v>DEB</v>
      </c>
      <c r="AL28" s="232"/>
      <c r="AM28" s="232" t="str">
        <f t="shared" si="4"/>
        <v>DEB</v>
      </c>
      <c r="AN28" s="232">
        <f t="shared" ref="AN28:AN39" si="13">IF(E28=0," ",IF(AJ28&gt;=0,AJ28,IF(AI28&gt;=0,AI28,IF(AH28&gt;=0,AH28,IF(AG28&gt;=0,AG28,IF(AF28&gt;=0,AF28,IF(AE28&gt;=0,AE28,IF(AD28&gt;=0,AD28,IF(AC28&gt;=0,AC28,AB28)))))))))</f>
        <v>-50</v>
      </c>
      <c r="AO28" s="197"/>
      <c r="AP28" s="197"/>
      <c r="AQ28" s="197"/>
      <c r="AR28" s="197"/>
      <c r="AS28" s="197"/>
      <c r="AT28" s="197"/>
      <c r="AU28" s="197"/>
      <c r="AV28" s="197"/>
      <c r="AW28" s="197"/>
      <c r="AX28" s="197"/>
      <c r="AY28" s="197"/>
      <c r="AZ28" s="197"/>
      <c r="BA28" s="197"/>
      <c r="BB28" s="197"/>
      <c r="BC28" s="197"/>
      <c r="BD28" s="197"/>
      <c r="BE28" s="197"/>
      <c r="BF28" s="197"/>
      <c r="BG28" s="197"/>
      <c r="BH28" s="197"/>
      <c r="BI28" s="197"/>
      <c r="BJ28" s="197"/>
      <c r="BK28" s="197"/>
      <c r="BL28" s="197"/>
      <c r="BM28" s="197"/>
      <c r="BN28" s="197"/>
      <c r="BO28" s="197"/>
      <c r="BP28" s="197"/>
      <c r="BQ28" s="197"/>
      <c r="BR28" s="197"/>
      <c r="BS28" s="197"/>
      <c r="BT28" s="197"/>
      <c r="BU28" s="197"/>
      <c r="BV28" s="197"/>
      <c r="BW28" s="197"/>
      <c r="BX28" s="197"/>
      <c r="BY28" s="197"/>
      <c r="BZ28" s="197"/>
      <c r="CA28" s="197"/>
      <c r="CB28" s="197"/>
      <c r="CC28" s="197"/>
      <c r="CD28" s="197"/>
      <c r="CE28" s="197"/>
      <c r="CF28" s="197"/>
      <c r="CG28" s="197"/>
      <c r="CH28" s="197"/>
      <c r="CI28" s="197"/>
      <c r="CJ28" s="197"/>
      <c r="CK28" s="197"/>
      <c r="CL28" s="197"/>
      <c r="CM28" s="197"/>
      <c r="CN28" s="197"/>
      <c r="CO28" s="197"/>
      <c r="CP28" s="197"/>
      <c r="CQ28" s="197"/>
      <c r="CR28" s="197"/>
      <c r="CS28" s="197"/>
      <c r="CT28" s="197"/>
      <c r="CU28" s="197"/>
      <c r="CV28" s="197"/>
      <c r="CW28" s="197"/>
      <c r="CX28" s="197"/>
      <c r="CY28" s="197"/>
      <c r="CZ28" s="197"/>
      <c r="DA28" s="197"/>
      <c r="DB28" s="197"/>
      <c r="DC28" s="197"/>
      <c r="DD28" s="197"/>
      <c r="DE28" s="197"/>
      <c r="DF28" s="197"/>
      <c r="DG28" s="197"/>
      <c r="DH28" s="197"/>
      <c r="DI28" s="197"/>
      <c r="DJ28" s="197"/>
      <c r="DK28" s="197"/>
      <c r="DL28" s="197"/>
      <c r="DM28" s="197"/>
      <c r="DN28" s="197"/>
      <c r="DO28" s="197"/>
      <c r="DP28" s="197"/>
      <c r="DQ28" s="197"/>
      <c r="DR28" s="197"/>
      <c r="DS28" s="197"/>
      <c r="DT28" s="197"/>
    </row>
    <row r="29" spans="1:179" s="196" customFormat="1" ht="30" customHeight="1" x14ac:dyDescent="0.25">
      <c r="A29" s="238"/>
      <c r="B29" s="514" t="s">
        <v>543</v>
      </c>
      <c r="C29" s="524">
        <v>429786</v>
      </c>
      <c r="D29" s="530"/>
      <c r="E29" s="476" t="s">
        <v>44</v>
      </c>
      <c r="F29" s="544" t="s">
        <v>644</v>
      </c>
      <c r="G29" s="551" t="s">
        <v>706</v>
      </c>
      <c r="H29" s="215">
        <v>2001</v>
      </c>
      <c r="I29" s="564" t="s">
        <v>173</v>
      </c>
      <c r="J29" s="146" t="s">
        <v>44</v>
      </c>
      <c r="K29" s="200">
        <v>57.93</v>
      </c>
      <c r="L29" s="118">
        <v>-50</v>
      </c>
      <c r="M29" s="118">
        <v>50</v>
      </c>
      <c r="N29" s="118">
        <v>54</v>
      </c>
      <c r="O29" s="601">
        <f t="shared" si="0"/>
        <v>54</v>
      </c>
      <c r="P29" s="118">
        <v>-63</v>
      </c>
      <c r="Q29" s="118">
        <v>63</v>
      </c>
      <c r="R29" s="118">
        <v>-71</v>
      </c>
      <c r="S29" s="601">
        <f t="shared" si="1"/>
        <v>63</v>
      </c>
      <c r="T29" s="608">
        <f>IF(E29="","",IF(OR(O29=0,S29=0),0,O29+S29))</f>
        <v>117</v>
      </c>
      <c r="U29" s="612" t="str">
        <f t="shared" si="2"/>
        <v>FED + 7</v>
      </c>
      <c r="V29" s="612" t="str">
        <f>IF(E29=0," ",IF(E29="H",IF(H29&lt;1999,VLOOKUP(K29,[3]Minimas!$A$15:$F$29,6),IF(AND(H29&gt;1998,H29&lt;2002),VLOOKUP(K29,[3]Minimas!$A$15:$F$29,5),IF(AND(H29&gt;2001,H29&lt;2004),VLOOKUP(K29,[3]Minimas!$A$15:$F$29,4),IF(AND(H29&gt;2003,H29&lt;2006),VLOOKUP(K29,[3]Minimas!$A$15:$F$29,3),VLOOKUP(K29,[3]Minimas!$A$15:$F$29,2))))),IF(H29&lt;1999,VLOOKUP(K29,[3]Minimas!$G$15:$L$29,6),IF(AND(H29&gt;1998,H29&lt;2002),VLOOKUP(K29,[3]Minimas!$G$15:$L$29,5),IF(AND(H29&gt;2001,H29&lt;2004),VLOOKUP(K29,[3]Minimas!$G$15:$L$29,4),IF(AND(H29&gt;2003,H29&lt;2006),VLOOKUP(K29,[3]Minimas!$G$15:$L$29,3),VLOOKUP(K29,[3]Minimas!$G$15:$L$29,2)))))))</f>
        <v>U20 F59</v>
      </c>
      <c r="W29" s="614">
        <f t="shared" si="3"/>
        <v>161.73459404297913</v>
      </c>
      <c r="X29" s="257">
        <v>43596</v>
      </c>
      <c r="Y29" s="261" t="s">
        <v>867</v>
      </c>
      <c r="Z29" s="261" t="s">
        <v>868</v>
      </c>
      <c r="AA29" s="232"/>
      <c r="AB29" s="230">
        <f>T29-HLOOKUP(V29,[3]Minimas!$C$3:$CD$12,2,FALSE)</f>
        <v>62</v>
      </c>
      <c r="AC29" s="230">
        <f>T29-HLOOKUP(V29,[3]Minimas!$C$3:$CD$12,3,FALSE)</f>
        <v>47</v>
      </c>
      <c r="AD29" s="230">
        <f>T29-HLOOKUP(V29,[3]Minimas!$C$3:$CD$12,4,FALSE)</f>
        <v>35</v>
      </c>
      <c r="AE29" s="230">
        <f>T29-HLOOKUP(V29,[3]Minimas!$C$3:$CD$12,5,FALSE)</f>
        <v>22</v>
      </c>
      <c r="AF29" s="230">
        <f>T29-HLOOKUP(V29,[3]Minimas!$C$3:$CD$12,6,FALSE)</f>
        <v>7</v>
      </c>
      <c r="AG29" s="230">
        <f>T29-HLOOKUP(V29,[3]Minimas!$C$3:$CD$12,7,FALSE)</f>
        <v>-8</v>
      </c>
      <c r="AH29" s="230">
        <f>T29-HLOOKUP(V29,[3]Minimas!$C$3:$CD$12,8,FALSE)</f>
        <v>-28</v>
      </c>
      <c r="AI29" s="230">
        <f>T29-HLOOKUP(V29,[3]Minimas!$C$3:$CD$12,9,FALSE)</f>
        <v>-48</v>
      </c>
      <c r="AJ29" s="230">
        <f>T29-HLOOKUP(V29,[3]Minimas!$C$3:$CD$12,10,FALSE)</f>
        <v>-83</v>
      </c>
      <c r="AK29" s="231" t="str">
        <f>IF(E29=0," ",IF(AJ29&gt;=0,$AJ$5,IF(AI29&gt;=0,$AI$5,IF(AH29&gt;=0,$AH$5,IF(AG29&gt;=0,$AG$5,IF(AF29&gt;=0,$AF$5,IF(AE29&gt;=0,$AE$5,IF(AD29&gt;=0,$AD$5,IF(AC29&gt;=0,$AC$5,$AB$5)))))))))</f>
        <v>FED +</v>
      </c>
      <c r="AL29" s="232"/>
      <c r="AM29" s="232" t="str">
        <f t="shared" si="4"/>
        <v>FED +</v>
      </c>
      <c r="AN29" s="232">
        <f t="shared" si="13"/>
        <v>7</v>
      </c>
      <c r="AO29" s="197"/>
      <c r="AP29" s="197"/>
      <c r="AQ29" s="197"/>
      <c r="AR29" s="197"/>
      <c r="AS29" s="197"/>
      <c r="AT29" s="197"/>
      <c r="AU29" s="197"/>
      <c r="AV29" s="197"/>
      <c r="AW29" s="197"/>
      <c r="AX29" s="197"/>
      <c r="AY29" s="197"/>
      <c r="AZ29" s="197"/>
      <c r="BA29" s="197"/>
      <c r="BB29" s="197"/>
      <c r="BC29" s="197"/>
      <c r="BD29" s="197"/>
      <c r="BE29" s="197"/>
      <c r="BF29" s="197"/>
      <c r="BG29" s="197"/>
      <c r="BH29" s="197"/>
      <c r="BI29" s="197"/>
      <c r="BJ29" s="197"/>
      <c r="BK29" s="197"/>
      <c r="BL29" s="197"/>
      <c r="BM29" s="197"/>
      <c r="BN29" s="197"/>
      <c r="BO29" s="197"/>
      <c r="BP29" s="197"/>
      <c r="BQ29" s="197"/>
      <c r="BR29" s="197"/>
      <c r="BS29" s="197"/>
      <c r="BT29" s="197"/>
      <c r="BU29" s="197"/>
      <c r="BV29" s="197"/>
      <c r="BW29" s="197"/>
      <c r="BX29" s="197"/>
      <c r="BY29" s="197"/>
      <c r="BZ29" s="197"/>
      <c r="CA29" s="197"/>
      <c r="CB29" s="197"/>
      <c r="CC29" s="197"/>
      <c r="CD29" s="197"/>
      <c r="CE29" s="197"/>
      <c r="CF29" s="197"/>
      <c r="CG29" s="197"/>
      <c r="CH29" s="197"/>
      <c r="CI29" s="197"/>
      <c r="CJ29" s="197"/>
      <c r="CK29" s="197"/>
      <c r="CL29" s="197"/>
      <c r="CM29" s="197"/>
      <c r="CN29" s="197"/>
      <c r="CO29" s="197"/>
      <c r="CP29" s="197"/>
      <c r="CQ29" s="197"/>
      <c r="CR29" s="197"/>
      <c r="CS29" s="197"/>
      <c r="CT29" s="197"/>
      <c r="CU29" s="197"/>
      <c r="CV29" s="197"/>
      <c r="CW29" s="197"/>
      <c r="CX29" s="197"/>
      <c r="CY29" s="197"/>
      <c r="CZ29" s="197"/>
      <c r="DA29" s="197"/>
      <c r="DB29" s="197"/>
      <c r="DC29" s="197"/>
      <c r="DD29" s="197"/>
      <c r="DE29" s="197"/>
      <c r="DF29" s="197"/>
      <c r="DG29" s="197"/>
      <c r="DH29" s="197"/>
      <c r="DI29" s="197"/>
      <c r="DJ29" s="197"/>
      <c r="DK29" s="197"/>
      <c r="DL29" s="197"/>
      <c r="DM29" s="197"/>
      <c r="DN29" s="197"/>
      <c r="DO29" s="197"/>
      <c r="DP29" s="197"/>
      <c r="DQ29" s="197"/>
      <c r="DR29" s="197"/>
      <c r="DS29" s="197"/>
      <c r="DT29" s="197"/>
    </row>
    <row r="30" spans="1:179" s="196" customFormat="1" ht="30" customHeight="1" x14ac:dyDescent="0.25">
      <c r="A30" s="238"/>
      <c r="B30" s="514" t="s">
        <v>543</v>
      </c>
      <c r="C30" s="524"/>
      <c r="D30" s="530"/>
      <c r="E30" s="476" t="s">
        <v>44</v>
      </c>
      <c r="F30" s="544" t="s">
        <v>877</v>
      </c>
      <c r="G30" s="551" t="s">
        <v>878</v>
      </c>
      <c r="H30" s="215">
        <v>2001</v>
      </c>
      <c r="I30" s="564" t="s">
        <v>139</v>
      </c>
      <c r="J30" s="146" t="s">
        <v>44</v>
      </c>
      <c r="K30" s="200">
        <v>55.9</v>
      </c>
      <c r="L30" s="118">
        <v>28</v>
      </c>
      <c r="M30" s="118">
        <v>31</v>
      </c>
      <c r="N30" s="118">
        <v>34</v>
      </c>
      <c r="O30" s="601">
        <f t="shared" si="0"/>
        <v>34</v>
      </c>
      <c r="P30" s="118">
        <v>34</v>
      </c>
      <c r="Q30" s="118">
        <v>38</v>
      </c>
      <c r="R30" s="118">
        <v>40</v>
      </c>
      <c r="S30" s="601">
        <f t="shared" si="1"/>
        <v>40</v>
      </c>
      <c r="T30" s="608">
        <f>IF(E30="","",IF(OR(O30=0,S30=0),0,O30+S30))</f>
        <v>74</v>
      </c>
      <c r="U30" s="612" t="str">
        <f t="shared" si="2"/>
        <v>DPT + 4</v>
      </c>
      <c r="V30" s="612" t="str">
        <f>IF(E30=0," ",IF(E30="H",IF(H30&lt;1999,VLOOKUP(K30,[3]Minimas!$A$15:$F$29,6),IF(AND(H30&gt;1998,H30&lt;2002),VLOOKUP(K30,[3]Minimas!$A$15:$F$29,5),IF(AND(H30&gt;2001,H30&lt;2004),VLOOKUP(K30,[3]Minimas!$A$15:$F$29,4),IF(AND(H30&gt;2003,H30&lt;2006),VLOOKUP(K30,[3]Minimas!$A$15:$F$29,3),VLOOKUP(K30,[3]Minimas!$A$15:$F$29,2))))),IF(H30&lt;1999,VLOOKUP(K30,[3]Minimas!$G$15:$L$29,6),IF(AND(H30&gt;1998,H30&lt;2002),VLOOKUP(K30,[3]Minimas!$G$15:$L$29,5),IF(AND(H30&gt;2001,H30&lt;2004),VLOOKUP(K30,[3]Minimas!$G$15:$L$29,4),IF(AND(H30&gt;2003,H30&lt;2006),VLOOKUP(K30,[3]Minimas!$G$15:$L$29,3),VLOOKUP(K30,[3]Minimas!$G$15:$L$29,2)))))))</f>
        <v>U20 F59</v>
      </c>
      <c r="W30" s="614">
        <f t="shared" si="3"/>
        <v>104.79026598274379</v>
      </c>
      <c r="X30" s="257">
        <v>43599</v>
      </c>
      <c r="Y30" s="261" t="s">
        <v>874</v>
      </c>
      <c r="Z30" s="261" t="s">
        <v>875</v>
      </c>
      <c r="AA30" s="232"/>
      <c r="AB30" s="230">
        <f>T30-HLOOKUP(V30,[3]Minimas!$C$3:$CD$12,2,FALSE)</f>
        <v>19</v>
      </c>
      <c r="AC30" s="230">
        <f>T30-HLOOKUP(V30,[3]Minimas!$C$3:$CD$12,3,FALSE)</f>
        <v>4</v>
      </c>
      <c r="AD30" s="230">
        <f>T30-HLOOKUP(V30,[3]Minimas!$C$3:$CD$12,4,FALSE)</f>
        <v>-8</v>
      </c>
      <c r="AE30" s="230">
        <f>T30-HLOOKUP(V30,[3]Minimas!$C$3:$CD$12,5,FALSE)</f>
        <v>-21</v>
      </c>
      <c r="AF30" s="230">
        <f>T30-HLOOKUP(V30,[3]Minimas!$C$3:$CD$12,6,FALSE)</f>
        <v>-36</v>
      </c>
      <c r="AG30" s="230">
        <f>T30-HLOOKUP(V30,[3]Minimas!$C$3:$CD$12,7,FALSE)</f>
        <v>-51</v>
      </c>
      <c r="AH30" s="230">
        <f>T30-HLOOKUP(V30,[3]Minimas!$C$3:$CD$12,8,FALSE)</f>
        <v>-71</v>
      </c>
      <c r="AI30" s="230">
        <f>T30-HLOOKUP(V30,[3]Minimas!$C$3:$CD$12,9,FALSE)</f>
        <v>-91</v>
      </c>
      <c r="AJ30" s="230">
        <f>T30-HLOOKUP(V30,[3]Minimas!$C$3:$CD$12,10,FALSE)</f>
        <v>-126</v>
      </c>
      <c r="AK30" s="231" t="str">
        <f>IF(E30=0," ",IF(AJ30&gt;=0,$AJ$5,IF(AI30&gt;=0,$AI$5,IF(AH30&gt;=0,$AH$5,IF(AG30&gt;=0,$AG$5,IF(AF30&gt;=0,$AF$5,IF(AE30&gt;=0,$AE$5,IF(AD30&gt;=0,$AD$5,IF(AC30&gt;=0,$AC$5,$AB$5)))))))))</f>
        <v>DPT +</v>
      </c>
      <c r="AL30" s="232"/>
      <c r="AM30" s="232" t="str">
        <f t="shared" si="4"/>
        <v>DPT +</v>
      </c>
      <c r="AN30" s="232">
        <f t="shared" si="13"/>
        <v>4</v>
      </c>
      <c r="AO30" s="237"/>
      <c r="AP30" s="237"/>
      <c r="AQ30" s="237"/>
      <c r="AR30" s="237"/>
      <c r="AS30" s="237"/>
      <c r="AT30" s="237"/>
      <c r="AU30" s="237"/>
      <c r="AV30" s="237"/>
      <c r="AW30" s="237"/>
      <c r="AX30" s="237"/>
      <c r="AY30" s="237"/>
      <c r="AZ30" s="237"/>
      <c r="BA30" s="237"/>
      <c r="BB30" s="237"/>
      <c r="BC30" s="237"/>
      <c r="BD30" s="237"/>
      <c r="BE30" s="237"/>
      <c r="BF30" s="237"/>
      <c r="BG30" s="237"/>
      <c r="BH30" s="237"/>
      <c r="BI30" s="237"/>
      <c r="BJ30" s="237"/>
      <c r="BK30" s="237"/>
      <c r="BL30" s="237"/>
      <c r="BM30" s="237"/>
      <c r="BN30" s="237"/>
      <c r="BO30" s="237"/>
      <c r="BP30" s="237"/>
      <c r="BQ30" s="237"/>
      <c r="BR30" s="237"/>
      <c r="BS30" s="237"/>
      <c r="BT30" s="237"/>
      <c r="BU30" s="237"/>
      <c r="BV30" s="237"/>
      <c r="BW30" s="237"/>
      <c r="BX30" s="237"/>
      <c r="BY30" s="237"/>
      <c r="BZ30" s="237"/>
      <c r="CA30" s="237"/>
      <c r="CB30" s="237"/>
      <c r="CC30" s="237"/>
      <c r="CD30" s="237"/>
      <c r="CE30" s="237"/>
      <c r="CF30" s="237"/>
      <c r="CG30" s="237"/>
      <c r="CH30" s="237"/>
      <c r="CI30" s="237"/>
      <c r="CJ30" s="237"/>
      <c r="CK30" s="237"/>
      <c r="CL30" s="237"/>
      <c r="CM30" s="237"/>
      <c r="CN30" s="237"/>
      <c r="CO30" s="237"/>
      <c r="CP30" s="237"/>
      <c r="CQ30" s="237"/>
      <c r="CR30" s="237"/>
      <c r="CS30" s="237"/>
      <c r="CT30" s="237"/>
      <c r="CU30" s="237"/>
      <c r="CV30" s="237"/>
      <c r="CW30" s="237"/>
      <c r="CX30" s="237"/>
      <c r="CY30" s="237"/>
      <c r="CZ30" s="237"/>
      <c r="DA30" s="237"/>
      <c r="DB30" s="237"/>
      <c r="DC30" s="237"/>
      <c r="DD30" s="237"/>
      <c r="DE30" s="237"/>
      <c r="DF30" s="237"/>
      <c r="DG30" s="237"/>
      <c r="DH30" s="237"/>
      <c r="DI30" s="237"/>
      <c r="DJ30" s="237"/>
      <c r="DK30" s="237"/>
      <c r="DL30" s="237"/>
      <c r="DM30" s="237"/>
      <c r="DN30" s="237"/>
      <c r="DO30" s="237"/>
      <c r="DP30" s="237"/>
      <c r="DQ30" s="237"/>
      <c r="DR30" s="237"/>
      <c r="DS30" s="237"/>
      <c r="DT30" s="237"/>
      <c r="DU30" s="441"/>
      <c r="DV30" s="441"/>
      <c r="DW30" s="441"/>
      <c r="DX30" s="441"/>
      <c r="DY30" s="441"/>
      <c r="DZ30" s="441"/>
      <c r="EA30" s="441"/>
      <c r="EB30" s="441"/>
      <c r="EC30" s="441"/>
      <c r="ED30" s="441"/>
      <c r="EE30" s="441"/>
      <c r="EF30" s="441"/>
      <c r="EG30" s="441"/>
      <c r="EH30" s="441"/>
      <c r="EI30" s="441"/>
      <c r="EJ30" s="441"/>
      <c r="EK30" s="441"/>
      <c r="EL30" s="441"/>
      <c r="EM30" s="441"/>
      <c r="EN30" s="441"/>
      <c r="EO30" s="441"/>
      <c r="EP30" s="441"/>
      <c r="EQ30" s="441"/>
      <c r="ER30" s="441"/>
      <c r="ES30" s="441"/>
      <c r="ET30" s="441"/>
      <c r="EU30" s="441"/>
      <c r="EV30" s="441"/>
      <c r="EW30" s="441"/>
      <c r="EX30" s="441"/>
      <c r="EY30" s="441"/>
      <c r="EZ30" s="441"/>
      <c r="FA30" s="441"/>
      <c r="FB30" s="441"/>
      <c r="FC30" s="441"/>
      <c r="FD30" s="441"/>
      <c r="FE30" s="441"/>
      <c r="FF30" s="441"/>
      <c r="FG30" s="441"/>
      <c r="FH30" s="441"/>
      <c r="FI30" s="441"/>
      <c r="FJ30" s="441"/>
      <c r="FK30" s="441"/>
      <c r="FL30" s="441"/>
      <c r="FM30" s="441"/>
      <c r="FN30" s="441"/>
      <c r="FO30" s="441"/>
      <c r="FP30" s="441"/>
      <c r="FQ30" s="441"/>
      <c r="FR30" s="441"/>
      <c r="FS30" s="441"/>
      <c r="FT30" s="441"/>
      <c r="FU30" s="441"/>
      <c r="FV30" s="441"/>
      <c r="FW30" s="441"/>
    </row>
    <row r="31" spans="1:179" s="196" customFormat="1" ht="30" customHeight="1" x14ac:dyDescent="0.25">
      <c r="A31" s="631"/>
      <c r="B31" s="521" t="s">
        <v>543</v>
      </c>
      <c r="C31" s="166">
        <v>445976</v>
      </c>
      <c r="D31" s="167"/>
      <c r="E31" s="476" t="s">
        <v>44</v>
      </c>
      <c r="F31" s="143" t="s">
        <v>765</v>
      </c>
      <c r="G31" s="144" t="s">
        <v>766</v>
      </c>
      <c r="H31" s="145">
        <v>2000</v>
      </c>
      <c r="I31" s="172" t="s">
        <v>129</v>
      </c>
      <c r="J31" s="146" t="s">
        <v>44</v>
      </c>
      <c r="K31" s="200">
        <v>56.8</v>
      </c>
      <c r="L31" s="118">
        <v>26</v>
      </c>
      <c r="M31" s="118">
        <v>28</v>
      </c>
      <c r="N31" s="148">
        <v>-30</v>
      </c>
      <c r="O31" s="202">
        <v>28</v>
      </c>
      <c r="P31" s="118">
        <v>37</v>
      </c>
      <c r="Q31" s="118">
        <v>40</v>
      </c>
      <c r="R31" s="148">
        <v>-42</v>
      </c>
      <c r="S31" s="202">
        <f t="shared" si="1"/>
        <v>40</v>
      </c>
      <c r="T31" s="203">
        <f>IF(E31="","",O31+S31)</f>
        <v>68</v>
      </c>
      <c r="U31" s="204" t="str">
        <f t="shared" si="2"/>
        <v>DEB 13</v>
      </c>
      <c r="V31" s="204" t="str">
        <f>IF(E31=0," ",IF(E31="H",IF(H31&lt;1999,VLOOKUP(K31,[7]Minimas!$A$15:$F$29,6),IF(AND(H31&gt;1998,H31&lt;2002),VLOOKUP(K31,[7]Minimas!$A$15:$F$29,5),IF(AND(H31&gt;2001,H31&lt;2004),VLOOKUP(K31,[7]Minimas!$A$15:$F$29,4),IF(AND(H31&gt;2003,H31&lt;2006),VLOOKUP(K31,[7]Minimas!$A$15:$F$29,3),VLOOKUP(K31,[7]Minimas!$A$15:$F$29,2))))),IF(H31&lt;1999,VLOOKUP(K31,[7]Minimas!$G$15:$L$29,6),IF(AND(H31&gt;1998,H31&lt;2002),VLOOKUP(K31,[7]Minimas!$G$15:$L$29,5),IF(AND(H31&gt;2001,H31&lt;2004),VLOOKUP(K31,[7]Minimas!$G$15:$L$29,4),IF(AND(H31&gt;2003,H31&lt;2006),VLOOKUP(K31,[7]Minimas!$G$15:$L$29,3),VLOOKUP(K31,[7]Minimas!$G$15:$L$29,2)))))))</f>
        <v>U20 F59</v>
      </c>
      <c r="W31" s="205">
        <f t="shared" si="3"/>
        <v>95.24948923895559</v>
      </c>
      <c r="X31" s="257">
        <v>43540</v>
      </c>
      <c r="Y31" s="261" t="s">
        <v>714</v>
      </c>
      <c r="Z31" s="261" t="s">
        <v>704</v>
      </c>
      <c r="AA31" s="463"/>
      <c r="AB31" s="230">
        <f>T31-HLOOKUP(V31,Minimas!$C$3:$CD$12,2,FALSE)</f>
        <v>13</v>
      </c>
      <c r="AC31" s="230">
        <f>T31-HLOOKUP(V31,Minimas!$C$3:$CD$12,3,FALSE)</f>
        <v>-2</v>
      </c>
      <c r="AD31" s="230">
        <f>T31-HLOOKUP(V31,Minimas!$C$3:$CD$12,4,FALSE)</f>
        <v>-14</v>
      </c>
      <c r="AE31" s="230">
        <f>T31-HLOOKUP(V31,Minimas!$C$3:$CD$12,5,FALSE)</f>
        <v>-27</v>
      </c>
      <c r="AF31" s="230">
        <f>T31-HLOOKUP(V31,Minimas!$C$3:$CD$12,6,FALSE)</f>
        <v>-42</v>
      </c>
      <c r="AG31" s="230">
        <f>T31-HLOOKUP(V31,Minimas!$C$3:$CD$12,7,FALSE)</f>
        <v>-57</v>
      </c>
      <c r="AH31" s="230">
        <f>T31-HLOOKUP(V31,Minimas!$C$3:$CD$12,8,FALSE)</f>
        <v>-77</v>
      </c>
      <c r="AI31" s="230">
        <f>T31-HLOOKUP(V31,Minimas!$C$3:$CD$12,9,FALSE)</f>
        <v>-97</v>
      </c>
      <c r="AJ31" s="230">
        <f>T31-HLOOKUP(V31,Minimas!$C$3:$CD$12,10,FALSE)</f>
        <v>-132</v>
      </c>
      <c r="AK31" s="231" t="str">
        <f>IF(E31=0," ",IF(AJ31&gt;=0,MASCULINS!$AJ$5,IF(AI31&gt;=0,MASCULINS!$AI$5,IF(AH31&gt;=0,MASCULINS!$AH$5,IF(AG31&gt;=0,MASCULINS!$AG$5,IF(AF31&gt;=0,MASCULINS!$AF$5,IF(AE31&gt;=0,MASCULINS!$AE$5,IF(AD31&gt;=0,MASCULINS!$AD$5,IF(AC31&gt;=0,MASCULINS!$AC$5,MASCULINS!$AB$5)))))))))</f>
        <v>DEB</v>
      </c>
      <c r="AL31" s="232"/>
      <c r="AM31" s="232" t="str">
        <f t="shared" si="4"/>
        <v>DEB</v>
      </c>
      <c r="AN31" s="232">
        <f t="shared" si="13"/>
        <v>13</v>
      </c>
      <c r="AO31" s="442"/>
      <c r="AP31" s="442"/>
      <c r="AQ31" s="442"/>
      <c r="AR31" s="442"/>
      <c r="AS31" s="442"/>
      <c r="AT31" s="442"/>
      <c r="AU31" s="442"/>
      <c r="AV31" s="442"/>
      <c r="AW31" s="442"/>
      <c r="AX31" s="442"/>
      <c r="AY31" s="442"/>
      <c r="AZ31" s="442"/>
      <c r="BA31" s="442"/>
      <c r="BB31" s="442"/>
      <c r="BC31" s="442"/>
      <c r="BD31" s="442"/>
      <c r="BE31" s="442"/>
      <c r="BF31" s="442"/>
      <c r="BG31" s="442"/>
      <c r="BH31" s="442"/>
      <c r="BI31" s="442"/>
      <c r="BJ31" s="442"/>
      <c r="BK31" s="442"/>
      <c r="BL31" s="442"/>
      <c r="BM31" s="442"/>
      <c r="BN31" s="442"/>
      <c r="BO31" s="442"/>
      <c r="BP31" s="442"/>
      <c r="BQ31" s="442"/>
      <c r="BR31" s="442"/>
      <c r="BS31" s="442"/>
      <c r="BT31" s="442"/>
      <c r="BU31" s="442"/>
      <c r="BV31" s="442"/>
      <c r="BW31" s="442"/>
      <c r="BX31" s="442"/>
      <c r="BY31" s="442"/>
      <c r="BZ31" s="442"/>
      <c r="CA31" s="442"/>
      <c r="CB31" s="442"/>
      <c r="CC31" s="442"/>
      <c r="CD31" s="442"/>
      <c r="CE31" s="442"/>
      <c r="CF31" s="442"/>
      <c r="CG31" s="442"/>
      <c r="CH31" s="442"/>
      <c r="CI31" s="442"/>
      <c r="CJ31" s="442"/>
      <c r="CK31" s="442"/>
      <c r="CL31" s="442"/>
      <c r="CM31" s="442"/>
      <c r="CN31" s="442"/>
      <c r="CO31" s="442"/>
      <c r="CP31" s="442"/>
      <c r="CQ31" s="442"/>
      <c r="CR31" s="442"/>
      <c r="CS31" s="442"/>
      <c r="CT31" s="442"/>
      <c r="CU31" s="442"/>
      <c r="CV31" s="442"/>
      <c r="CW31" s="442"/>
      <c r="CX31" s="442"/>
      <c r="CY31" s="442"/>
      <c r="CZ31" s="442"/>
      <c r="DA31" s="442"/>
      <c r="DB31" s="442"/>
      <c r="DC31" s="442"/>
      <c r="DD31" s="442"/>
      <c r="DE31" s="442"/>
      <c r="DF31" s="442"/>
      <c r="DG31" s="442"/>
      <c r="DH31" s="442"/>
      <c r="DI31" s="442"/>
      <c r="DJ31" s="442"/>
      <c r="DK31" s="442"/>
      <c r="DL31" s="442"/>
      <c r="DM31" s="442"/>
      <c r="DN31" s="442"/>
      <c r="DO31" s="442"/>
      <c r="DP31" s="442"/>
      <c r="DQ31" s="442"/>
      <c r="DR31" s="442"/>
      <c r="DS31" s="442"/>
      <c r="DT31" s="442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</row>
    <row r="32" spans="1:179" s="196" customFormat="1" ht="30" customHeight="1" x14ac:dyDescent="0.25">
      <c r="A32" s="238"/>
      <c r="B32" s="518" t="s">
        <v>543</v>
      </c>
      <c r="C32" s="166">
        <v>397293</v>
      </c>
      <c r="D32" s="344"/>
      <c r="E32" s="480" t="s">
        <v>44</v>
      </c>
      <c r="F32" s="346" t="s">
        <v>142</v>
      </c>
      <c r="G32" s="117" t="s">
        <v>143</v>
      </c>
      <c r="H32" s="347">
        <v>2001</v>
      </c>
      <c r="I32" s="353" t="s">
        <v>139</v>
      </c>
      <c r="J32" s="345" t="s">
        <v>44</v>
      </c>
      <c r="K32" s="349">
        <v>62.6</v>
      </c>
      <c r="L32" s="118">
        <v>58</v>
      </c>
      <c r="M32" s="118">
        <v>60</v>
      </c>
      <c r="N32" s="118">
        <v>62</v>
      </c>
      <c r="O32" s="602">
        <f t="shared" ref="O32:O39" si="14">IF(E32="","",IF(MAXA(L32:N32)&lt;=0,0,MAXA(L32:N32)))</f>
        <v>62</v>
      </c>
      <c r="P32" s="148">
        <v>-70</v>
      </c>
      <c r="Q32" s="118">
        <v>70</v>
      </c>
      <c r="R32" s="118">
        <v>73</v>
      </c>
      <c r="S32" s="602">
        <f t="shared" si="1"/>
        <v>73</v>
      </c>
      <c r="T32" s="609">
        <f>IF(E32="","",IF(OR(O32=0,S32=0),0,O32+S32))</f>
        <v>135</v>
      </c>
      <c r="U32" s="613" t="str">
        <f t="shared" si="2"/>
        <v>NAT + 0</v>
      </c>
      <c r="V32" s="613" t="str">
        <f>IF(E32=0," ",IF(E32="H",IF(H32&lt;1999,VLOOKUP(K32,[8]Minimas!$A$15:$F$29,6),IF(AND(H32&gt;1998,H32&lt;2002),VLOOKUP(K32,[8]Minimas!$A$15:$F$29,5),IF(AND(H32&gt;2001,H32&lt;2004),VLOOKUP(K32,[8]Minimas!$A$15:$F$29,4),IF(AND(H32&gt;2003,H32&lt;2006),VLOOKUP(K32,[8]Minimas!$A$15:$F$29,3),VLOOKUP(K32,[8]Minimas!$A$15:$F$29,2))))),IF(H32&lt;1999,VLOOKUP(K32,[8]Minimas!$G$15:$L$29,6),IF(AND(H32&gt;1998,H32&lt;2002),VLOOKUP(K32,[8]Minimas!$G$15:$L$29,5),IF(AND(H32&gt;2001,H32&lt;2004),VLOOKUP(K32,[8]Minimas!$G$15:$L$29,4),IF(AND(H32&gt;2003,H32&lt;2006),VLOOKUP(K32,[8]Minimas!$G$15:$L$29,3),VLOOKUP(K32,[8]Minimas!$G$15:$L$29,2)))))))</f>
        <v>U20 F64</v>
      </c>
      <c r="W32" s="615">
        <f t="shared" si="3"/>
        <v>177.61794697817652</v>
      </c>
      <c r="X32" s="257">
        <v>43526</v>
      </c>
      <c r="Y32" s="261" t="s">
        <v>705</v>
      </c>
      <c r="Z32" s="261" t="s">
        <v>504</v>
      </c>
      <c r="AA32" s="232"/>
      <c r="AB32" s="230">
        <f>T32-HLOOKUP(V32,[8]Minimas!$C$3:$CD$12,2,FALSE)</f>
        <v>75</v>
      </c>
      <c r="AC32" s="230">
        <f>T32-HLOOKUP(V32,[8]Minimas!$C$3:$CD$12,3,FALSE)</f>
        <v>60</v>
      </c>
      <c r="AD32" s="230">
        <f>T32-HLOOKUP(V32,[8]Minimas!$C$3:$CD$12,4,FALSE)</f>
        <v>45</v>
      </c>
      <c r="AE32" s="230">
        <f>T32-HLOOKUP(V32,[8]Minimas!$C$3:$CD$12,5,FALSE)</f>
        <v>30</v>
      </c>
      <c r="AF32" s="230">
        <f>T32-HLOOKUP(V32,[8]Minimas!$C$3:$CD$12,6,FALSE)</f>
        <v>17</v>
      </c>
      <c r="AG32" s="230">
        <f>T32-HLOOKUP(V32,[8]Minimas!$C$3:$CD$12,7,FALSE)</f>
        <v>0</v>
      </c>
      <c r="AH32" s="230">
        <f>T32-HLOOKUP(V32,[8]Minimas!$C$3:$CD$12,8,FALSE)</f>
        <v>-20</v>
      </c>
      <c r="AI32" s="230">
        <f>T32-HLOOKUP(V32,[8]Minimas!$C$3:$CD$12,9,FALSE)</f>
        <v>-40</v>
      </c>
      <c r="AJ32" s="230">
        <f>T32-HLOOKUP(V32,[8]Minimas!$C$3:$CD$12,10,FALSE)</f>
        <v>-75</v>
      </c>
      <c r="AK32" s="231" t="str">
        <f t="shared" ref="AK32:AK39" si="15">IF(E32=0," ",IF(AJ32&gt;=0,$AJ$5,IF(AI32&gt;=0,$AI$5,IF(AH32&gt;=0,$AH$5,IF(AG32&gt;=0,$AG$5,IF(AF32&gt;=0,$AF$5,IF(AE32&gt;=0,$AE$5,IF(AD32&gt;=0,$AD$5,IF(AC32&gt;=0,$AC$5,$AB$5)))))))))</f>
        <v>NAT +</v>
      </c>
      <c r="AL32" s="232"/>
      <c r="AM32" s="232" t="str">
        <f t="shared" si="4"/>
        <v>NAT +</v>
      </c>
      <c r="AN32" s="232">
        <f t="shared" si="13"/>
        <v>0</v>
      </c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  <c r="CG32" s="38"/>
      <c r="CH32" s="38"/>
      <c r="CI32" s="38"/>
      <c r="CJ32" s="38"/>
      <c r="CK32" s="38"/>
      <c r="CL32" s="38"/>
      <c r="CM32" s="38"/>
      <c r="CN32" s="38"/>
      <c r="CO32" s="38"/>
      <c r="CP32" s="38"/>
      <c r="CQ32" s="38"/>
      <c r="CR32" s="38"/>
      <c r="CS32" s="38"/>
      <c r="CT32" s="38"/>
      <c r="CU32" s="38"/>
      <c r="CV32" s="38"/>
      <c r="CW32" s="38"/>
      <c r="CX32" s="38"/>
      <c r="CY32" s="38"/>
      <c r="CZ32" s="38"/>
      <c r="DA32" s="38"/>
      <c r="DB32" s="38"/>
      <c r="DC32" s="38"/>
      <c r="DD32" s="38"/>
      <c r="DE32" s="38"/>
      <c r="DF32" s="38"/>
      <c r="DG32" s="38"/>
      <c r="DH32" s="38"/>
      <c r="DI32" s="38"/>
      <c r="DJ32" s="38"/>
      <c r="DK32" s="38"/>
      <c r="DL32" s="38"/>
      <c r="DM32" s="38"/>
      <c r="DN32" s="38"/>
      <c r="DO32" s="38"/>
      <c r="DP32" s="38"/>
      <c r="DQ32" s="38"/>
      <c r="DR32" s="38"/>
      <c r="DS32" s="38"/>
      <c r="DT32" s="38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</row>
    <row r="33" spans="1:179" s="5" customFormat="1" ht="30" customHeight="1" x14ac:dyDescent="0.25">
      <c r="A33" s="1"/>
      <c r="B33" s="514" t="s">
        <v>543</v>
      </c>
      <c r="C33" s="166">
        <v>385815</v>
      </c>
      <c r="D33" s="531"/>
      <c r="E33" s="476" t="s">
        <v>44</v>
      </c>
      <c r="F33" s="143" t="s">
        <v>165</v>
      </c>
      <c r="G33" s="144" t="s">
        <v>174</v>
      </c>
      <c r="H33" s="145">
        <v>1999</v>
      </c>
      <c r="I33" s="169" t="s">
        <v>139</v>
      </c>
      <c r="J33" s="146" t="s">
        <v>44</v>
      </c>
      <c r="K33" s="200">
        <v>62.3</v>
      </c>
      <c r="L33" s="118">
        <v>43</v>
      </c>
      <c r="M33" s="118">
        <v>46</v>
      </c>
      <c r="N33" s="148">
        <v>-49</v>
      </c>
      <c r="O33" s="202">
        <f t="shared" si="14"/>
        <v>46</v>
      </c>
      <c r="P33" s="118">
        <v>53</v>
      </c>
      <c r="Q33" s="118">
        <v>56</v>
      </c>
      <c r="R33" s="148">
        <v>-58</v>
      </c>
      <c r="S33" s="202">
        <f t="shared" si="1"/>
        <v>56</v>
      </c>
      <c r="T33" s="203">
        <f>IF(E33="","",O33+S33)</f>
        <v>102</v>
      </c>
      <c r="U33" s="204" t="str">
        <f t="shared" si="2"/>
        <v>REG + 12</v>
      </c>
      <c r="V33" s="204" t="str">
        <f>IF(E33=0," ",IF(E33="H",IF(H33&lt;1999,VLOOKUP(K33,[6]Minimas!$A$15:$F$29,6),IF(AND(H33&gt;1998,H33&lt;2002),VLOOKUP(K33,[6]Minimas!$A$15:$F$29,5),IF(AND(H33&gt;2001,H33&lt;2004),VLOOKUP(K33,[6]Minimas!$A$15:$F$29,4),IF(AND(H33&gt;2003,H33&lt;2006),VLOOKUP(K33,[6]Minimas!$A$15:$F$29,3),VLOOKUP(K33,[6]Minimas!$A$15:$F$29,2))))),IF(H33&lt;1999,VLOOKUP(K33,[6]Minimas!$G$15:$L$29,6),IF(AND(H33&gt;1998,H33&lt;2002),VLOOKUP(K33,[6]Minimas!$G$15:$L$29,5),IF(AND(H33&gt;2001,H33&lt;2004),VLOOKUP(K33,[6]Minimas!$G$15:$L$29,4),IF(AND(H33&gt;2003,H33&lt;2006),VLOOKUP(K33,[6]Minimas!$G$15:$L$29,3),VLOOKUP(K33,[6]Minimas!$G$15:$L$29,2)))))))</f>
        <v>U20 F64</v>
      </c>
      <c r="W33" s="205">
        <f t="shared" si="3"/>
        <v>134.59581522215731</v>
      </c>
      <c r="X33" s="257">
        <v>43540</v>
      </c>
      <c r="Y33" s="261" t="s">
        <v>714</v>
      </c>
      <c r="Z33" s="261" t="s">
        <v>514</v>
      </c>
      <c r="AA33" s="463"/>
      <c r="AB33" s="230">
        <f>T33-HLOOKUP(V33,Minimas!$C$3:$CD$12,2,FALSE)</f>
        <v>42</v>
      </c>
      <c r="AC33" s="230">
        <f>T33-HLOOKUP(V33,Minimas!$C$3:$CD$12,3,FALSE)</f>
        <v>27</v>
      </c>
      <c r="AD33" s="230">
        <f>T33-HLOOKUP(V33,Minimas!$C$3:$CD$12,4,FALSE)</f>
        <v>12</v>
      </c>
      <c r="AE33" s="230">
        <f>T33-HLOOKUP(V33,Minimas!$C$3:$CD$12,5,FALSE)</f>
        <v>-3</v>
      </c>
      <c r="AF33" s="230">
        <f>T33-HLOOKUP(V33,Minimas!$C$3:$CD$12,6,FALSE)</f>
        <v>-16</v>
      </c>
      <c r="AG33" s="230">
        <f>T33-HLOOKUP(V33,Minimas!$C$3:$CD$12,7,FALSE)</f>
        <v>-33</v>
      </c>
      <c r="AH33" s="230">
        <f>T33-HLOOKUP(V33,Minimas!$C$3:$CD$12,8,FALSE)</f>
        <v>-53</v>
      </c>
      <c r="AI33" s="230">
        <f>T33-HLOOKUP(V33,Minimas!$C$3:$CD$12,9,FALSE)</f>
        <v>-73</v>
      </c>
      <c r="AJ33" s="230">
        <f>T33-HLOOKUP(V33,Minimas!$C$3:$CD$12,10,FALSE)</f>
        <v>-108</v>
      </c>
      <c r="AK33" s="231" t="str">
        <f t="shared" si="15"/>
        <v>REG +</v>
      </c>
      <c r="AL33" s="232"/>
      <c r="AM33" s="232" t="str">
        <f t="shared" si="4"/>
        <v>REG +</v>
      </c>
      <c r="AN33" s="232">
        <f t="shared" si="13"/>
        <v>12</v>
      </c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34"/>
      <c r="DG33" s="34"/>
      <c r="DH33" s="34"/>
      <c r="DI33" s="34"/>
      <c r="DJ33" s="34"/>
      <c r="DK33" s="34"/>
      <c r="DL33" s="34"/>
      <c r="DM33" s="34"/>
      <c r="DN33" s="34"/>
      <c r="DO33" s="34"/>
      <c r="DP33" s="34"/>
      <c r="DQ33" s="34"/>
      <c r="DR33" s="34"/>
      <c r="DS33" s="34"/>
      <c r="DT33" s="34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</row>
    <row r="34" spans="1:179" s="5" customFormat="1" ht="30" customHeight="1" x14ac:dyDescent="0.3">
      <c r="A34" s="484"/>
      <c r="B34" s="97" t="s">
        <v>543</v>
      </c>
      <c r="C34" s="116">
        <v>443414</v>
      </c>
      <c r="D34" s="119"/>
      <c r="E34" s="477" t="s">
        <v>44</v>
      </c>
      <c r="F34" s="105" t="s">
        <v>175</v>
      </c>
      <c r="G34" s="106" t="s">
        <v>207</v>
      </c>
      <c r="H34" s="107">
        <v>2001</v>
      </c>
      <c r="I34" s="121" t="s">
        <v>173</v>
      </c>
      <c r="J34" s="104" t="s">
        <v>44</v>
      </c>
      <c r="K34" s="108">
        <v>63.62</v>
      </c>
      <c r="L34" s="132">
        <v>-40</v>
      </c>
      <c r="M34" s="123">
        <v>40</v>
      </c>
      <c r="N34" s="123">
        <v>45</v>
      </c>
      <c r="O34" s="202">
        <f t="shared" si="14"/>
        <v>45</v>
      </c>
      <c r="P34" s="109">
        <v>46</v>
      </c>
      <c r="Q34" s="109">
        <v>51</v>
      </c>
      <c r="R34" s="130">
        <v>-56</v>
      </c>
      <c r="S34" s="202">
        <f t="shared" si="1"/>
        <v>51</v>
      </c>
      <c r="T34" s="203">
        <f t="shared" ref="T34:T39" si="16">IF(E34="","",IF(OR(O34=0,S34=0),0,O34+S34))</f>
        <v>96</v>
      </c>
      <c r="U34" s="204" t="str">
        <f t="shared" si="2"/>
        <v>REG + 6</v>
      </c>
      <c r="V34" s="204" t="str">
        <f>IF(E34=0," ",IF(E34="H",IF(H34&lt;1999,VLOOKUP(K34,Minimas!$A$15:$F$29,6),IF(AND(H34&gt;1998,H34&lt;2002),VLOOKUP(K34,Minimas!$A$15:$F$29,5),IF(AND(H34&gt;2001,H34&lt;2004),VLOOKUP(K34,Minimas!$A$15:$F$29,4),IF(AND(H34&gt;2003,H34&lt;2006),VLOOKUP(K34,Minimas!$A$15:$F$29,3),VLOOKUP(K34,Minimas!$A$15:$F$29,2))))),IF(H34&lt;1999,VLOOKUP(K34,Minimas!$G$15:$L$29,6),IF(AND(H34&gt;1998,H34&lt;2002),VLOOKUP(K34,Minimas!$G$15:$L$29,5),IF(AND(H34&gt;2001,H34&lt;2004),VLOOKUP(K34,Minimas!$G$15:$L$29,4),IF(AND(H34&gt;2003,H34&lt;2006),VLOOKUP(K34,Minimas!$G$15:$L$29,3),VLOOKUP(K34,Minimas!$G$15:$L$29,2)))))))</f>
        <v>U20 F64</v>
      </c>
      <c r="W34" s="205">
        <f t="shared" si="3"/>
        <v>125.07586292688364</v>
      </c>
      <c r="X34" s="184">
        <v>43435</v>
      </c>
      <c r="Y34" s="278" t="s">
        <v>509</v>
      </c>
      <c r="Z34" s="278" t="s">
        <v>510</v>
      </c>
      <c r="AA34" s="232"/>
      <c r="AB34" s="230">
        <f>T34-HLOOKUP(V34,Minimas!$C$3:$CD$12,2,FALSE)</f>
        <v>36</v>
      </c>
      <c r="AC34" s="230">
        <f>T34-HLOOKUP(V34,Minimas!$C$3:$CD$12,3,FALSE)</f>
        <v>21</v>
      </c>
      <c r="AD34" s="230">
        <f>T34-HLOOKUP(V34,Minimas!$C$3:$CD$12,4,FALSE)</f>
        <v>6</v>
      </c>
      <c r="AE34" s="230">
        <f>T34-HLOOKUP(V34,Minimas!$C$3:$CD$12,5,FALSE)</f>
        <v>-9</v>
      </c>
      <c r="AF34" s="230">
        <f>T34-HLOOKUP(V34,Minimas!$C$3:$CD$12,6,FALSE)</f>
        <v>-22</v>
      </c>
      <c r="AG34" s="230">
        <f>T34-HLOOKUP(V34,Minimas!$C$3:$CD$12,7,FALSE)</f>
        <v>-39</v>
      </c>
      <c r="AH34" s="230">
        <f>T34-HLOOKUP(V34,Minimas!$C$3:$CD$12,8,FALSE)</f>
        <v>-59</v>
      </c>
      <c r="AI34" s="230">
        <f>T34-HLOOKUP(V34,Minimas!$C$3:$CD$12,9,FALSE)</f>
        <v>-79</v>
      </c>
      <c r="AJ34" s="230">
        <f>T34-HLOOKUP(V34,Minimas!$C$3:$CD$12,10,FALSE)</f>
        <v>-114</v>
      </c>
      <c r="AK34" s="231" t="str">
        <f t="shared" si="15"/>
        <v>REG +</v>
      </c>
      <c r="AL34" s="232"/>
      <c r="AM34" s="232" t="str">
        <f t="shared" si="4"/>
        <v>REG +</v>
      </c>
      <c r="AN34" s="232">
        <f t="shared" si="13"/>
        <v>6</v>
      </c>
      <c r="AO34" s="485"/>
      <c r="AP34" s="485"/>
      <c r="AQ34" s="485"/>
      <c r="AR34" s="485"/>
      <c r="AS34" s="485"/>
      <c r="AT34" s="485"/>
      <c r="AU34" s="485"/>
      <c r="AV34" s="485"/>
      <c r="AW34" s="485"/>
      <c r="AX34" s="485"/>
      <c r="AY34" s="485"/>
      <c r="AZ34" s="485"/>
      <c r="BA34" s="485"/>
      <c r="BB34" s="485"/>
      <c r="BC34" s="485"/>
      <c r="BD34" s="485"/>
      <c r="BE34" s="485"/>
      <c r="BF34" s="485"/>
      <c r="BG34" s="485"/>
      <c r="BH34" s="485"/>
      <c r="BI34" s="485"/>
      <c r="BJ34" s="485"/>
      <c r="BK34" s="485"/>
      <c r="BL34" s="485"/>
      <c r="BM34" s="485"/>
      <c r="BN34" s="485"/>
      <c r="BO34" s="485"/>
      <c r="BP34" s="485"/>
      <c r="BQ34" s="485"/>
      <c r="BR34" s="485"/>
      <c r="BS34" s="485"/>
      <c r="BT34" s="485"/>
      <c r="BU34" s="485"/>
      <c r="BV34" s="485"/>
      <c r="BW34" s="485"/>
      <c r="BX34" s="485"/>
      <c r="BY34" s="485"/>
      <c r="BZ34" s="485"/>
      <c r="CA34" s="485"/>
      <c r="CB34" s="485"/>
      <c r="CC34" s="485"/>
      <c r="CD34" s="485"/>
      <c r="CE34" s="485"/>
      <c r="CF34" s="485"/>
      <c r="CG34" s="485"/>
      <c r="CH34" s="485"/>
      <c r="CI34" s="485"/>
      <c r="CJ34" s="485"/>
      <c r="CK34" s="485"/>
      <c r="CL34" s="485"/>
      <c r="CM34" s="485"/>
      <c r="CN34" s="485"/>
      <c r="CO34" s="485"/>
      <c r="CP34" s="485"/>
      <c r="CQ34" s="485"/>
      <c r="CR34" s="485"/>
      <c r="CS34" s="485"/>
      <c r="CT34" s="485"/>
      <c r="CU34" s="485"/>
      <c r="CV34" s="485"/>
      <c r="CW34" s="485"/>
      <c r="CX34" s="485"/>
      <c r="CY34" s="485"/>
      <c r="CZ34" s="485"/>
      <c r="DA34" s="485"/>
      <c r="DB34" s="485"/>
      <c r="DC34" s="485"/>
      <c r="DD34" s="485"/>
      <c r="DE34" s="485"/>
      <c r="DF34" s="485"/>
      <c r="DG34" s="485"/>
      <c r="DH34" s="485"/>
      <c r="DI34" s="485"/>
      <c r="DJ34" s="485"/>
      <c r="DK34" s="485"/>
      <c r="DL34" s="485"/>
      <c r="DM34" s="485"/>
      <c r="DN34" s="485"/>
      <c r="DO34" s="485"/>
      <c r="DP34" s="485"/>
      <c r="DQ34" s="485"/>
      <c r="DR34" s="485"/>
      <c r="DS34" s="485"/>
      <c r="DT34" s="485"/>
      <c r="DU34" s="484"/>
      <c r="DV34" s="484"/>
      <c r="DW34" s="484"/>
      <c r="DX34" s="484"/>
      <c r="DY34" s="484"/>
      <c r="DZ34" s="484"/>
      <c r="EA34" s="484"/>
      <c r="EB34" s="484"/>
      <c r="EC34" s="484"/>
      <c r="ED34" s="484"/>
      <c r="EE34" s="484"/>
      <c r="EF34" s="484"/>
      <c r="EG34" s="484"/>
      <c r="EH34" s="484"/>
      <c r="EI34" s="484"/>
      <c r="EJ34" s="484"/>
      <c r="EK34" s="484"/>
      <c r="EL34" s="484"/>
      <c r="EM34" s="484"/>
      <c r="EN34" s="484"/>
      <c r="EO34" s="484"/>
      <c r="EP34" s="484"/>
      <c r="EQ34" s="484"/>
      <c r="ER34" s="484"/>
      <c r="ES34" s="484"/>
      <c r="ET34" s="484"/>
      <c r="EU34" s="484"/>
      <c r="EV34" s="484"/>
      <c r="EW34" s="484"/>
      <c r="EX34" s="484"/>
      <c r="EY34" s="484"/>
      <c r="EZ34" s="484"/>
      <c r="FA34" s="484"/>
      <c r="FB34" s="484"/>
      <c r="FC34" s="484"/>
      <c r="FD34" s="484"/>
      <c r="FE34" s="484"/>
      <c r="FF34" s="484"/>
      <c r="FG34" s="484"/>
      <c r="FH34" s="484"/>
      <c r="FI34" s="484"/>
      <c r="FJ34" s="484"/>
      <c r="FK34" s="484"/>
      <c r="FL34" s="484"/>
      <c r="FM34" s="484"/>
      <c r="FN34" s="484"/>
      <c r="FO34" s="484"/>
      <c r="FP34" s="484"/>
      <c r="FQ34" s="484"/>
      <c r="FR34" s="484"/>
      <c r="FS34" s="484"/>
      <c r="FT34" s="484"/>
      <c r="FU34" s="484"/>
      <c r="FV34" s="484"/>
      <c r="FW34" s="484"/>
    </row>
    <row r="35" spans="1:179" s="5" customFormat="1" ht="30" customHeight="1" x14ac:dyDescent="0.5">
      <c r="A35" s="441"/>
      <c r="B35" s="97" t="s">
        <v>543</v>
      </c>
      <c r="C35" s="447">
        <v>441927</v>
      </c>
      <c r="D35" s="99"/>
      <c r="E35" s="98" t="s">
        <v>44</v>
      </c>
      <c r="F35" s="101" t="s">
        <v>130</v>
      </c>
      <c r="G35" s="101" t="s">
        <v>131</v>
      </c>
      <c r="H35" s="100">
        <v>2000</v>
      </c>
      <c r="I35" s="141" t="s">
        <v>129</v>
      </c>
      <c r="J35" s="98" t="s">
        <v>132</v>
      </c>
      <c r="K35" s="102">
        <v>68.900000000000006</v>
      </c>
      <c r="L35" s="103">
        <v>78</v>
      </c>
      <c r="M35" s="103">
        <v>83</v>
      </c>
      <c r="N35" s="103">
        <v>86</v>
      </c>
      <c r="O35" s="242">
        <f t="shared" si="14"/>
        <v>86</v>
      </c>
      <c r="P35" s="103">
        <v>98</v>
      </c>
      <c r="Q35" s="103">
        <v>103</v>
      </c>
      <c r="R35" s="103">
        <v>105</v>
      </c>
      <c r="S35" s="202">
        <f t="shared" si="1"/>
        <v>105</v>
      </c>
      <c r="T35" s="203">
        <f t="shared" si="16"/>
        <v>191</v>
      </c>
      <c r="U35" s="204" t="str">
        <f t="shared" si="2"/>
        <v>INTA + 9</v>
      </c>
      <c r="V35" s="204" t="str">
        <f>IF(E35=0," ",IF(E35="H",IF(H35&lt;1999,VLOOKUP(K35,Minimas!$A$15:$F$29,6),IF(AND(H35&gt;1998,H35&lt;2002),VLOOKUP(K35,Minimas!$A$15:$F$29,5),IF(AND(H35&gt;2001,H35&lt;2004),VLOOKUP(K35,Minimas!$A$15:$F$29,4),IF(AND(H35&gt;2003,H35&lt;2006),VLOOKUP(K35,Minimas!$A$15:$F$29,3),VLOOKUP(K35,Minimas!$A$15:$F$29,2))))),IF(H35&lt;1999,VLOOKUP(K35,Minimas!$G$15:$L$29,6),IF(AND(H35&gt;1998,H35&lt;2002),VLOOKUP(K35,Minimas!$G$15:$L$29,5),IF(AND(H35&gt;2001,H35&lt;2004),VLOOKUP(K35,Minimas!$G$15:$L$29,4),IF(AND(H35&gt;2003,H35&lt;2006),VLOOKUP(K35,Minimas!$G$15:$L$29,3),VLOOKUP(K35,Minimas!$G$15:$L$29,2)))))))</f>
        <v>U20 F71</v>
      </c>
      <c r="W35" s="205">
        <f t="shared" si="3"/>
        <v>237.73696078416401</v>
      </c>
      <c r="X35" s="184">
        <v>43386</v>
      </c>
      <c r="Y35" s="186" t="s">
        <v>503</v>
      </c>
      <c r="Z35" s="278" t="s">
        <v>504</v>
      </c>
      <c r="AA35" s="232"/>
      <c r="AB35" s="230">
        <f>T35-HLOOKUP(V35,Minimas!$C$3:$CD$12,2,FALSE)</f>
        <v>126</v>
      </c>
      <c r="AC35" s="230">
        <f>T35-HLOOKUP(V35,Minimas!$C$3:$CD$12,3,FALSE)</f>
        <v>111</v>
      </c>
      <c r="AD35" s="230">
        <f>T35-HLOOKUP(V35,Minimas!$C$3:$CD$12,4,FALSE)</f>
        <v>96</v>
      </c>
      <c r="AE35" s="230">
        <f>T35-HLOOKUP(V35,Minimas!$C$3:$CD$12,5,FALSE)</f>
        <v>81</v>
      </c>
      <c r="AF35" s="230">
        <f>T35-HLOOKUP(V35,Minimas!$C$3:$CD$12,6,FALSE)</f>
        <v>68</v>
      </c>
      <c r="AG35" s="230">
        <f>T35-HLOOKUP(V35,Minimas!$C$3:$CD$12,7,FALSE)</f>
        <v>49</v>
      </c>
      <c r="AH35" s="230">
        <f>T35-HLOOKUP(V35,Minimas!$C$3:$CD$12,8,FALSE)</f>
        <v>29</v>
      </c>
      <c r="AI35" s="230">
        <f>T35-HLOOKUP(V35,Minimas!$C$3:$CD$12,9,FALSE)</f>
        <v>9</v>
      </c>
      <c r="AJ35" s="230">
        <f>T35-HLOOKUP(V35,Minimas!$C$3:$CD$12,10,FALSE)</f>
        <v>-34</v>
      </c>
      <c r="AK35" s="231" t="str">
        <f t="shared" si="15"/>
        <v>INTA +</v>
      </c>
      <c r="AL35" s="232"/>
      <c r="AM35" s="232" t="str">
        <f t="shared" si="4"/>
        <v>INTA +</v>
      </c>
      <c r="AN35" s="232">
        <f t="shared" si="13"/>
        <v>9</v>
      </c>
      <c r="AO35" s="237"/>
      <c r="AP35" s="237"/>
      <c r="AQ35" s="237"/>
      <c r="AR35" s="237"/>
      <c r="AS35" s="237"/>
      <c r="AT35" s="237"/>
      <c r="AU35" s="237"/>
      <c r="AV35" s="237"/>
      <c r="AW35" s="237"/>
      <c r="AX35" s="237"/>
      <c r="AY35" s="237"/>
      <c r="AZ35" s="237"/>
      <c r="BA35" s="237"/>
      <c r="BB35" s="237"/>
      <c r="BC35" s="237"/>
      <c r="BD35" s="237"/>
      <c r="BE35" s="237"/>
      <c r="BF35" s="237"/>
      <c r="BG35" s="237"/>
      <c r="BH35" s="237"/>
      <c r="BI35" s="237"/>
      <c r="BJ35" s="237"/>
      <c r="BK35" s="237"/>
      <c r="BL35" s="237"/>
      <c r="BM35" s="237"/>
      <c r="BN35" s="237"/>
      <c r="BO35" s="237"/>
      <c r="BP35" s="237"/>
      <c r="BQ35" s="237"/>
      <c r="BR35" s="237"/>
      <c r="BS35" s="237"/>
      <c r="BT35" s="237"/>
      <c r="BU35" s="237"/>
      <c r="BV35" s="237"/>
      <c r="BW35" s="237"/>
      <c r="BX35" s="237"/>
      <c r="BY35" s="237"/>
      <c r="BZ35" s="237"/>
      <c r="CA35" s="237"/>
      <c r="CB35" s="237"/>
      <c r="CC35" s="237"/>
      <c r="CD35" s="237"/>
      <c r="CE35" s="237"/>
      <c r="CF35" s="237"/>
      <c r="CG35" s="237"/>
      <c r="CH35" s="237"/>
      <c r="CI35" s="237"/>
      <c r="CJ35" s="237"/>
      <c r="CK35" s="237"/>
      <c r="CL35" s="237"/>
      <c r="CM35" s="237"/>
      <c r="CN35" s="237"/>
      <c r="CO35" s="237"/>
      <c r="CP35" s="237"/>
      <c r="CQ35" s="237"/>
      <c r="CR35" s="237"/>
      <c r="CS35" s="237"/>
      <c r="CT35" s="237"/>
      <c r="CU35" s="237"/>
      <c r="CV35" s="237"/>
      <c r="CW35" s="237"/>
      <c r="CX35" s="237"/>
      <c r="CY35" s="237"/>
      <c r="CZ35" s="237"/>
      <c r="DA35" s="237"/>
      <c r="DB35" s="237"/>
      <c r="DC35" s="237"/>
      <c r="DD35" s="237"/>
      <c r="DE35" s="237"/>
      <c r="DF35" s="237"/>
      <c r="DG35" s="237"/>
      <c r="DH35" s="237"/>
      <c r="DI35" s="237"/>
      <c r="DJ35" s="237"/>
      <c r="DK35" s="237"/>
      <c r="DL35" s="237"/>
      <c r="DM35" s="237"/>
      <c r="DN35" s="237"/>
      <c r="DO35" s="237"/>
      <c r="DP35" s="237"/>
      <c r="DQ35" s="237"/>
      <c r="DR35" s="237"/>
      <c r="DS35" s="237"/>
      <c r="DT35" s="237"/>
      <c r="DU35" s="441"/>
      <c r="DV35" s="441"/>
      <c r="DW35" s="441"/>
      <c r="DX35" s="441"/>
      <c r="DY35" s="441"/>
      <c r="DZ35" s="441"/>
      <c r="EA35" s="441"/>
      <c r="EB35" s="441"/>
      <c r="EC35" s="441"/>
      <c r="ED35" s="441"/>
      <c r="EE35" s="441"/>
      <c r="EF35" s="441"/>
      <c r="EG35" s="441"/>
      <c r="EH35" s="441"/>
      <c r="EI35" s="441"/>
      <c r="EJ35" s="441"/>
      <c r="EK35" s="441"/>
      <c r="EL35" s="441"/>
      <c r="EM35" s="441"/>
      <c r="EN35" s="441"/>
      <c r="EO35" s="441"/>
      <c r="EP35" s="441"/>
      <c r="EQ35" s="441"/>
      <c r="ER35" s="441"/>
      <c r="ES35" s="441"/>
      <c r="ET35" s="441"/>
      <c r="EU35" s="441"/>
      <c r="EV35" s="441"/>
      <c r="EW35" s="441"/>
      <c r="EX35" s="441"/>
      <c r="EY35" s="441"/>
      <c r="EZ35" s="441"/>
      <c r="FA35" s="441"/>
      <c r="FB35" s="441"/>
      <c r="FC35" s="441"/>
      <c r="FD35" s="441"/>
      <c r="FE35" s="441"/>
      <c r="FF35" s="441"/>
      <c r="FG35" s="441"/>
      <c r="FH35" s="441"/>
      <c r="FI35" s="441"/>
      <c r="FJ35" s="441"/>
      <c r="FK35" s="441"/>
      <c r="FL35" s="441"/>
      <c r="FM35" s="441"/>
      <c r="FN35" s="441"/>
      <c r="FO35" s="441"/>
      <c r="FP35" s="441"/>
      <c r="FQ35" s="441"/>
      <c r="FR35" s="441"/>
      <c r="FS35" s="441"/>
      <c r="FT35" s="441"/>
      <c r="FU35" s="441"/>
      <c r="FV35" s="441"/>
      <c r="FW35" s="441"/>
    </row>
    <row r="36" spans="1:179" s="5" customFormat="1" ht="30" customHeight="1" x14ac:dyDescent="0.5">
      <c r="B36" s="97" t="s">
        <v>543</v>
      </c>
      <c r="C36" s="447">
        <v>397293</v>
      </c>
      <c r="D36" s="99"/>
      <c r="E36" s="98" t="s">
        <v>44</v>
      </c>
      <c r="F36" s="239" t="s">
        <v>142</v>
      </c>
      <c r="G36" s="239" t="s">
        <v>143</v>
      </c>
      <c r="H36" s="98">
        <v>2001</v>
      </c>
      <c r="I36" s="198" t="s">
        <v>139</v>
      </c>
      <c r="J36" s="98" t="s">
        <v>44</v>
      </c>
      <c r="K36" s="102">
        <v>64.099999999999994</v>
      </c>
      <c r="L36" s="103">
        <v>58</v>
      </c>
      <c r="M36" s="128">
        <v>-60</v>
      </c>
      <c r="N36" s="103">
        <v>60</v>
      </c>
      <c r="O36" s="242">
        <f t="shared" si="14"/>
        <v>60</v>
      </c>
      <c r="P36" s="103">
        <v>67</v>
      </c>
      <c r="Q36" s="103">
        <v>70</v>
      </c>
      <c r="R36" s="103">
        <v>72</v>
      </c>
      <c r="S36" s="202">
        <f t="shared" si="1"/>
        <v>72</v>
      </c>
      <c r="T36" s="203">
        <f t="shared" si="16"/>
        <v>132</v>
      </c>
      <c r="U36" s="204" t="str">
        <f t="shared" si="2"/>
        <v>FED + 9</v>
      </c>
      <c r="V36" s="204" t="str">
        <f>IF(E36=0," ",IF(E36="H",IF(H36&lt;1999,VLOOKUP(K36,Minimas!$A$15:$F$29,6),IF(AND(H36&gt;1998,H36&lt;2002),VLOOKUP(K36,Minimas!$A$15:$F$29,5),IF(AND(H36&gt;2001,H36&lt;2004),VLOOKUP(K36,Minimas!$A$15:$F$29,4),IF(AND(H36&gt;2003,H36&lt;2006),VLOOKUP(K36,Minimas!$A$15:$F$29,3),VLOOKUP(K36,Minimas!$A$15:$F$29,2))))),IF(H36&lt;1999,VLOOKUP(K36,Minimas!$G$15:$L$29,6),IF(AND(H36&gt;1998,H36&lt;2002),VLOOKUP(K36,Minimas!$G$15:$L$29,5),IF(AND(H36&gt;2001,H36&lt;2004),VLOOKUP(K36,Minimas!$G$15:$L$29,4),IF(AND(H36&gt;2003,H36&lt;2006),VLOOKUP(K36,Minimas!$G$15:$L$29,3),VLOOKUP(K36,Minimas!$G$15:$L$29,2)))))))</f>
        <v>U20 F71</v>
      </c>
      <c r="W36" s="205">
        <f t="shared" si="3"/>
        <v>171.20863201171616</v>
      </c>
      <c r="X36" s="184">
        <v>43449</v>
      </c>
      <c r="Y36" s="278" t="s">
        <v>512</v>
      </c>
      <c r="Z36" s="278" t="s">
        <v>514</v>
      </c>
      <c r="AA36" s="467"/>
      <c r="AB36" s="230">
        <f>T36-HLOOKUP(V36,Minimas!$C$3:$CD$12,2,FALSE)</f>
        <v>67</v>
      </c>
      <c r="AC36" s="230">
        <f>T36-HLOOKUP(V36,Minimas!$C$3:$CD$12,3,FALSE)</f>
        <v>52</v>
      </c>
      <c r="AD36" s="230">
        <f>T36-HLOOKUP(V36,Minimas!$C$3:$CD$12,4,FALSE)</f>
        <v>37</v>
      </c>
      <c r="AE36" s="230">
        <f>T36-HLOOKUP(V36,Minimas!$C$3:$CD$12,5,FALSE)</f>
        <v>22</v>
      </c>
      <c r="AF36" s="230">
        <f>T36-HLOOKUP(V36,Minimas!$C$3:$CD$12,6,FALSE)</f>
        <v>9</v>
      </c>
      <c r="AG36" s="230">
        <f>T36-HLOOKUP(V36,Minimas!$C$3:$CD$12,7,FALSE)</f>
        <v>-10</v>
      </c>
      <c r="AH36" s="230">
        <f>T36-HLOOKUP(V36,Minimas!$C$3:$CD$12,8,FALSE)</f>
        <v>-30</v>
      </c>
      <c r="AI36" s="230">
        <f>T36-HLOOKUP(V36,Minimas!$C$3:$CD$12,9,FALSE)</f>
        <v>-50</v>
      </c>
      <c r="AJ36" s="230">
        <f>T36-HLOOKUP(V36,Minimas!$C$3:$CD$12,10,FALSE)</f>
        <v>-93</v>
      </c>
      <c r="AK36" s="231" t="str">
        <f t="shared" si="15"/>
        <v>FED +</v>
      </c>
      <c r="AL36" s="232"/>
      <c r="AM36" s="232" t="str">
        <f t="shared" si="4"/>
        <v>FED +</v>
      </c>
      <c r="AN36" s="232">
        <f t="shared" si="13"/>
        <v>9</v>
      </c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38"/>
      <c r="CG36" s="38"/>
      <c r="CH36" s="38"/>
      <c r="CI36" s="38"/>
      <c r="CJ36" s="38"/>
      <c r="CK36" s="38"/>
      <c r="CL36" s="38"/>
      <c r="CM36" s="38"/>
      <c r="CN36" s="38"/>
      <c r="CO36" s="38"/>
      <c r="CP36" s="38"/>
      <c r="CQ36" s="38"/>
      <c r="CR36" s="38"/>
      <c r="CS36" s="38"/>
      <c r="CT36" s="38"/>
      <c r="CU36" s="38"/>
      <c r="CV36" s="38"/>
      <c r="CW36" s="38"/>
      <c r="CX36" s="38"/>
      <c r="CY36" s="38"/>
      <c r="CZ36" s="38"/>
      <c r="DA36" s="38"/>
      <c r="DB36" s="38"/>
      <c r="DC36" s="38"/>
      <c r="DD36" s="38"/>
      <c r="DE36" s="38"/>
      <c r="DF36" s="38"/>
      <c r="DG36" s="38"/>
      <c r="DH36" s="38"/>
      <c r="DI36" s="38"/>
      <c r="DJ36" s="38"/>
      <c r="DK36" s="38"/>
      <c r="DL36" s="38"/>
      <c r="DM36" s="38"/>
      <c r="DN36" s="38"/>
      <c r="DO36" s="38"/>
      <c r="DP36" s="38"/>
      <c r="DQ36" s="38"/>
      <c r="DR36" s="38"/>
      <c r="DS36" s="38"/>
      <c r="DT36" s="38"/>
    </row>
    <row r="37" spans="1:179" s="5" customFormat="1" ht="30" customHeight="1" x14ac:dyDescent="0.25">
      <c r="B37" s="514" t="s">
        <v>543</v>
      </c>
      <c r="C37" s="516">
        <v>508512</v>
      </c>
      <c r="D37" s="531"/>
      <c r="E37" s="476" t="s">
        <v>44</v>
      </c>
      <c r="F37" s="217" t="s">
        <v>693</v>
      </c>
      <c r="G37" s="144" t="s">
        <v>293</v>
      </c>
      <c r="H37" s="218">
        <v>2001</v>
      </c>
      <c r="I37" s="169" t="s">
        <v>540</v>
      </c>
      <c r="J37" s="168" t="s">
        <v>44</v>
      </c>
      <c r="K37" s="579">
        <v>66.61</v>
      </c>
      <c r="L37" s="118">
        <v>45</v>
      </c>
      <c r="M37" s="118">
        <v>50</v>
      </c>
      <c r="N37" s="118">
        <v>-55</v>
      </c>
      <c r="O37" s="604">
        <f t="shared" si="14"/>
        <v>50</v>
      </c>
      <c r="P37" s="118">
        <v>65</v>
      </c>
      <c r="Q37" s="118">
        <v>67</v>
      </c>
      <c r="R37" s="118">
        <v>-70</v>
      </c>
      <c r="S37" s="601">
        <f t="shared" si="1"/>
        <v>67</v>
      </c>
      <c r="T37" s="608">
        <f t="shared" si="16"/>
        <v>117</v>
      </c>
      <c r="U37" s="612" t="str">
        <f t="shared" si="2"/>
        <v>IRG + 7</v>
      </c>
      <c r="V37" s="612" t="str">
        <f>IF(E37=0," ",IF(E37="H",IF(H37&lt;1999,VLOOKUP(K37,[9]Minimas!$A$15:$F$29,6),IF(AND(H37&gt;1998,H37&lt;2002),VLOOKUP(K37,[9]Minimas!$A$15:$F$29,5),IF(AND(H37&gt;2001,H37&lt;2004),VLOOKUP(K37,[9]Minimas!$A$15:$F$29,4),IF(AND(H37&gt;2003,H37&lt;2006),VLOOKUP(K37,[9]Minimas!$A$15:$F$29,3),VLOOKUP(K37,[9]Minimas!$A$15:$F$29,2))))),IF(H37&lt;1999,VLOOKUP(K37,[9]Minimas!$G$15:$L$29,6),IF(AND(H37&gt;1998,H37&lt;2002),VLOOKUP(K37,[9]Minimas!$G$15:$L$29,5),IF(AND(H37&gt;2001,H37&lt;2004),VLOOKUP(K37,[9]Minimas!$G$15:$L$29,4),IF(AND(H37&gt;2003,H37&lt;2006),VLOOKUP(K37,[9]Minimas!$G$15:$L$29,3),VLOOKUP(K37,[9]Minimas!$G$15:$L$29,2)))))))</f>
        <v>U20 F71</v>
      </c>
      <c r="W37" s="614">
        <f t="shared" si="3"/>
        <v>148.39889673231349</v>
      </c>
      <c r="X37" s="257">
        <v>43561</v>
      </c>
      <c r="Y37" s="261" t="s">
        <v>846</v>
      </c>
      <c r="Z37" s="261" t="s">
        <v>806</v>
      </c>
      <c r="AA37" s="232"/>
      <c r="AB37" s="230">
        <f>T37-HLOOKUP(V37,[9]Minimas!$C$3:$CD$12,2,FALSE)</f>
        <v>52</v>
      </c>
      <c r="AC37" s="230">
        <f>T37-HLOOKUP(V37,[9]Minimas!$C$3:$CD$12,3,FALSE)</f>
        <v>37</v>
      </c>
      <c r="AD37" s="230">
        <f>T37-HLOOKUP(V37,[9]Minimas!$C$3:$CD$12,4,FALSE)</f>
        <v>22</v>
      </c>
      <c r="AE37" s="230">
        <f>T37-HLOOKUP(V37,[9]Minimas!$C$3:$CD$12,5,FALSE)</f>
        <v>7</v>
      </c>
      <c r="AF37" s="230">
        <f>T37-HLOOKUP(V37,[9]Minimas!$C$3:$CD$12,6,FALSE)</f>
        <v>-6</v>
      </c>
      <c r="AG37" s="230">
        <f>T37-HLOOKUP(V37,[9]Minimas!$C$3:$CD$12,7,FALSE)</f>
        <v>-25</v>
      </c>
      <c r="AH37" s="230">
        <f>T37-HLOOKUP(V37,[9]Minimas!$C$3:$CD$12,8,FALSE)</f>
        <v>-45</v>
      </c>
      <c r="AI37" s="230">
        <f>T37-HLOOKUP(V37,[9]Minimas!$C$3:$CD$12,9,FALSE)</f>
        <v>-65</v>
      </c>
      <c r="AJ37" s="230">
        <f>T37-HLOOKUP(V37,[9]Minimas!$C$3:$CD$12,10,FALSE)</f>
        <v>-108</v>
      </c>
      <c r="AK37" s="231" t="str">
        <f t="shared" si="15"/>
        <v>IRG +</v>
      </c>
      <c r="AL37" s="232"/>
      <c r="AM37" s="232" t="str">
        <f t="shared" si="4"/>
        <v>IRG +</v>
      </c>
      <c r="AN37" s="232">
        <f t="shared" si="13"/>
        <v>7</v>
      </c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8"/>
      <c r="CE37" s="38"/>
      <c r="CF37" s="38"/>
      <c r="CG37" s="38"/>
      <c r="CH37" s="38"/>
      <c r="CI37" s="38"/>
      <c r="CJ37" s="38"/>
      <c r="CK37" s="38"/>
      <c r="CL37" s="38"/>
      <c r="CM37" s="38"/>
      <c r="CN37" s="38"/>
      <c r="CO37" s="38"/>
      <c r="CP37" s="38"/>
      <c r="CQ37" s="38"/>
      <c r="CR37" s="38"/>
      <c r="CS37" s="38"/>
      <c r="CT37" s="38"/>
      <c r="CU37" s="38"/>
      <c r="CV37" s="38"/>
      <c r="CW37" s="38"/>
      <c r="CX37" s="38"/>
      <c r="CY37" s="38"/>
      <c r="CZ37" s="38"/>
      <c r="DA37" s="38"/>
      <c r="DB37" s="38"/>
      <c r="DC37" s="38"/>
      <c r="DD37" s="38"/>
      <c r="DE37" s="38"/>
      <c r="DF37" s="38"/>
      <c r="DG37" s="38"/>
      <c r="DH37" s="38"/>
      <c r="DI37" s="38"/>
      <c r="DJ37" s="38"/>
      <c r="DK37" s="38"/>
      <c r="DL37" s="38"/>
      <c r="DM37" s="38"/>
      <c r="DN37" s="38"/>
      <c r="DO37" s="38"/>
      <c r="DP37" s="38"/>
      <c r="DQ37" s="38"/>
      <c r="DR37" s="38"/>
      <c r="DS37" s="38"/>
      <c r="DT37" s="38"/>
    </row>
    <row r="38" spans="1:179" s="5" customFormat="1" ht="30" customHeight="1" x14ac:dyDescent="0.25">
      <c r="A38" s="441"/>
      <c r="B38" s="514" t="s">
        <v>543</v>
      </c>
      <c r="C38" s="524"/>
      <c r="D38" s="530"/>
      <c r="E38" s="476" t="s">
        <v>44</v>
      </c>
      <c r="F38" s="544" t="s">
        <v>857</v>
      </c>
      <c r="G38" s="551" t="s">
        <v>858</v>
      </c>
      <c r="H38" s="215">
        <v>2001</v>
      </c>
      <c r="I38" s="564" t="s">
        <v>139</v>
      </c>
      <c r="J38" s="146" t="s">
        <v>44</v>
      </c>
      <c r="K38" s="200">
        <v>65.400000000000006</v>
      </c>
      <c r="L38" s="118">
        <v>42</v>
      </c>
      <c r="M38" s="118">
        <v>44</v>
      </c>
      <c r="N38" s="118">
        <v>-46</v>
      </c>
      <c r="O38" s="604">
        <f t="shared" si="14"/>
        <v>44</v>
      </c>
      <c r="P38" s="118">
        <v>50</v>
      </c>
      <c r="Q38" s="118">
        <v>53</v>
      </c>
      <c r="R38" s="118">
        <v>55</v>
      </c>
      <c r="S38" s="601">
        <f t="shared" si="1"/>
        <v>55</v>
      </c>
      <c r="T38" s="608">
        <f t="shared" si="16"/>
        <v>99</v>
      </c>
      <c r="U38" s="612" t="str">
        <f t="shared" si="2"/>
        <v>REG + 4</v>
      </c>
      <c r="V38" s="612" t="str">
        <f>IF(E38=0," ",IF(E38="H",IF(H38&lt;1999,VLOOKUP(K38,[3]Minimas!$A$15:$F$29,6),IF(AND(H38&gt;1998,H38&lt;2002),VLOOKUP(K38,[3]Minimas!$A$15:$F$29,5),IF(AND(H38&gt;2001,H38&lt;2004),VLOOKUP(K38,[3]Minimas!$A$15:$F$29,4),IF(AND(H38&gt;2003,H38&lt;2006),VLOOKUP(K38,[3]Minimas!$A$15:$F$29,3),VLOOKUP(K38,[3]Minimas!$A$15:$F$29,2))))),IF(H38&lt;1999,VLOOKUP(K38,[3]Minimas!$G$15:$L$29,6),IF(AND(H38&gt;1998,H38&lt;2002),VLOOKUP(K38,[3]Minimas!$G$15:$L$29,5),IF(AND(H38&gt;2001,H38&lt;2004),VLOOKUP(K38,[3]Minimas!$G$15:$L$29,4),IF(AND(H38&gt;2003,H38&lt;2006),VLOOKUP(K38,[3]Minimas!$G$15:$L$29,3),VLOOKUP(K38,[3]Minimas!$G$15:$L$29,2)))))))</f>
        <v>U20 F71</v>
      </c>
      <c r="W38" s="614">
        <f t="shared" si="3"/>
        <v>126.89909345237177</v>
      </c>
      <c r="X38" s="257">
        <v>43599</v>
      </c>
      <c r="Y38" s="261" t="s">
        <v>874</v>
      </c>
      <c r="Z38" s="261" t="s">
        <v>875</v>
      </c>
      <c r="AA38" s="232"/>
      <c r="AB38" s="230">
        <f>T38-HLOOKUP(V38,[3]Minimas!$C$3:$CD$12,2,FALSE)</f>
        <v>34</v>
      </c>
      <c r="AC38" s="230">
        <f>T38-HLOOKUP(V38,[3]Minimas!$C$3:$CD$12,3,FALSE)</f>
        <v>19</v>
      </c>
      <c r="AD38" s="230">
        <f>T38-HLOOKUP(V38,[3]Minimas!$C$3:$CD$12,4,FALSE)</f>
        <v>4</v>
      </c>
      <c r="AE38" s="230">
        <f>T38-HLOOKUP(V38,[3]Minimas!$C$3:$CD$12,5,FALSE)</f>
        <v>-11</v>
      </c>
      <c r="AF38" s="230">
        <f>T38-HLOOKUP(V38,[3]Minimas!$C$3:$CD$12,6,FALSE)</f>
        <v>-24</v>
      </c>
      <c r="AG38" s="230">
        <f>T38-HLOOKUP(V38,[3]Minimas!$C$3:$CD$12,7,FALSE)</f>
        <v>-43</v>
      </c>
      <c r="AH38" s="230">
        <f>T38-HLOOKUP(V38,[3]Minimas!$C$3:$CD$12,8,FALSE)</f>
        <v>-63</v>
      </c>
      <c r="AI38" s="230">
        <f>T38-HLOOKUP(V38,[3]Minimas!$C$3:$CD$12,9,FALSE)</f>
        <v>-83</v>
      </c>
      <c r="AJ38" s="230">
        <f>T38-HLOOKUP(V38,[3]Minimas!$C$3:$CD$12,10,FALSE)</f>
        <v>-126</v>
      </c>
      <c r="AK38" s="231" t="str">
        <f t="shared" si="15"/>
        <v>REG +</v>
      </c>
      <c r="AL38" s="232"/>
      <c r="AM38" s="232" t="str">
        <f t="shared" si="4"/>
        <v>REG +</v>
      </c>
      <c r="AN38" s="232">
        <f t="shared" si="13"/>
        <v>4</v>
      </c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8"/>
      <c r="CE38" s="38"/>
      <c r="CF38" s="38"/>
      <c r="CG38" s="38"/>
      <c r="CH38" s="38"/>
      <c r="CI38" s="38"/>
      <c r="CJ38" s="38"/>
      <c r="CK38" s="38"/>
      <c r="CL38" s="38"/>
      <c r="CM38" s="38"/>
      <c r="CN38" s="38"/>
      <c r="CO38" s="38"/>
      <c r="CP38" s="38"/>
      <c r="CQ38" s="38"/>
      <c r="CR38" s="38"/>
      <c r="CS38" s="38"/>
      <c r="CT38" s="38"/>
      <c r="CU38" s="38"/>
      <c r="CV38" s="38"/>
      <c r="CW38" s="38"/>
      <c r="CX38" s="38"/>
      <c r="CY38" s="38"/>
      <c r="CZ38" s="38"/>
      <c r="DA38" s="38"/>
      <c r="DB38" s="38"/>
      <c r="DC38" s="38"/>
      <c r="DD38" s="38"/>
      <c r="DE38" s="38"/>
      <c r="DF38" s="38"/>
      <c r="DG38" s="38"/>
      <c r="DH38" s="38"/>
      <c r="DI38" s="38"/>
      <c r="DJ38" s="38"/>
      <c r="DK38" s="38"/>
      <c r="DL38" s="38"/>
      <c r="DM38" s="38"/>
      <c r="DN38" s="38"/>
      <c r="DO38" s="38"/>
      <c r="DP38" s="38"/>
      <c r="DQ38" s="38"/>
      <c r="DR38" s="38"/>
      <c r="DS38" s="38"/>
      <c r="DT38" s="38"/>
    </row>
    <row r="39" spans="1:179" s="5" customFormat="1" ht="30" customHeight="1" x14ac:dyDescent="0.25">
      <c r="A39" s="484"/>
      <c r="B39" s="514" t="s">
        <v>543</v>
      </c>
      <c r="C39" s="524">
        <v>415787</v>
      </c>
      <c r="D39" s="530"/>
      <c r="E39" s="476" t="s">
        <v>44</v>
      </c>
      <c r="F39" s="544" t="s">
        <v>144</v>
      </c>
      <c r="G39" s="551" t="s">
        <v>145</v>
      </c>
      <c r="H39" s="215">
        <v>2000</v>
      </c>
      <c r="I39" s="564" t="s">
        <v>129</v>
      </c>
      <c r="J39" s="146" t="s">
        <v>44</v>
      </c>
      <c r="K39" s="200">
        <v>75.56</v>
      </c>
      <c r="L39" s="118">
        <v>58</v>
      </c>
      <c r="M39" s="118">
        <v>63</v>
      </c>
      <c r="N39" s="118">
        <v>65</v>
      </c>
      <c r="O39" s="604">
        <f t="shared" si="14"/>
        <v>65</v>
      </c>
      <c r="P39" s="118">
        <v>73</v>
      </c>
      <c r="Q39" s="118">
        <v>-78</v>
      </c>
      <c r="R39" s="118">
        <v>78</v>
      </c>
      <c r="S39" s="601">
        <f t="shared" si="1"/>
        <v>78</v>
      </c>
      <c r="T39" s="608">
        <f t="shared" si="16"/>
        <v>143</v>
      </c>
      <c r="U39" s="612" t="str">
        <f t="shared" si="2"/>
        <v>FED + 16</v>
      </c>
      <c r="V39" s="612" t="str">
        <f>IF(E39=0," ",IF(E39="H",IF(H39&lt;1999,VLOOKUP(K39,[3]Minimas!$A$15:$F$29,6),IF(AND(H39&gt;1998,H39&lt;2002),VLOOKUP(K39,[3]Minimas!$A$15:$F$29,5),IF(AND(H39&gt;2001,H39&lt;2004),VLOOKUP(K39,[3]Minimas!$A$15:$F$29,4),IF(AND(H39&gt;2003,H39&lt;2006),VLOOKUP(K39,[3]Minimas!$A$15:$F$29,3),VLOOKUP(K39,[3]Minimas!$A$15:$F$29,2))))),IF(H39&lt;1999,VLOOKUP(K39,[3]Minimas!$G$15:$L$29,6),IF(AND(H39&gt;1998,H39&lt;2002),VLOOKUP(K39,[3]Minimas!$G$15:$L$29,5),IF(AND(H39&gt;2001,H39&lt;2004),VLOOKUP(K39,[3]Minimas!$G$15:$L$29,4),IF(AND(H39&gt;2003,H39&lt;2006),VLOOKUP(K39,[3]Minimas!$G$15:$L$29,3),VLOOKUP(K39,[3]Minimas!$G$15:$L$29,2)))))))</f>
        <v>U20 F76</v>
      </c>
      <c r="W39" s="614">
        <f t="shared" si="3"/>
        <v>169.74021302785158</v>
      </c>
      <c r="X39" s="257">
        <v>43596</v>
      </c>
      <c r="Y39" s="261" t="s">
        <v>867</v>
      </c>
      <c r="Z39" s="261" t="s">
        <v>868</v>
      </c>
      <c r="AA39" s="232"/>
      <c r="AB39" s="230">
        <f>T39-HLOOKUP(V39,[3]Minimas!$C$3:$CD$12,2,FALSE)</f>
        <v>73</v>
      </c>
      <c r="AC39" s="230">
        <f>T39-HLOOKUP(V39,[3]Minimas!$C$3:$CD$12,3,FALSE)</f>
        <v>58</v>
      </c>
      <c r="AD39" s="230">
        <f>T39-HLOOKUP(V39,[3]Minimas!$C$3:$CD$12,4,FALSE)</f>
        <v>43</v>
      </c>
      <c r="AE39" s="230">
        <f>T39-HLOOKUP(V39,[3]Minimas!$C$3:$CD$12,5,FALSE)</f>
        <v>28</v>
      </c>
      <c r="AF39" s="230">
        <f>T39-HLOOKUP(V39,[3]Minimas!$C$3:$CD$12,6,FALSE)</f>
        <v>16</v>
      </c>
      <c r="AG39" s="230">
        <f>T39-HLOOKUP(V39,[3]Minimas!$C$3:$CD$12,7,FALSE)</f>
        <v>-4</v>
      </c>
      <c r="AH39" s="230">
        <f>T39-HLOOKUP(V39,[3]Minimas!$C$3:$CD$12,8,FALSE)</f>
        <v>-24</v>
      </c>
      <c r="AI39" s="230">
        <f>T39-HLOOKUP(V39,[3]Minimas!$C$3:$CD$12,9,FALSE)</f>
        <v>-44</v>
      </c>
      <c r="AJ39" s="230">
        <f>T39-HLOOKUP(V39,[3]Minimas!$C$3:$CD$12,10,FALSE)</f>
        <v>-82</v>
      </c>
      <c r="AK39" s="231" t="str">
        <f t="shared" si="15"/>
        <v>FED +</v>
      </c>
      <c r="AL39" s="232"/>
      <c r="AM39" s="232" t="str">
        <f t="shared" si="4"/>
        <v>FED +</v>
      </c>
      <c r="AN39" s="232">
        <f t="shared" si="13"/>
        <v>16</v>
      </c>
      <c r="AO39" s="485"/>
      <c r="AP39" s="485"/>
      <c r="AQ39" s="485"/>
      <c r="AR39" s="485"/>
      <c r="AS39" s="485"/>
      <c r="AT39" s="485"/>
      <c r="AU39" s="485"/>
      <c r="AV39" s="485"/>
      <c r="AW39" s="485"/>
      <c r="AX39" s="485"/>
      <c r="AY39" s="485"/>
      <c r="AZ39" s="485"/>
      <c r="BA39" s="485"/>
      <c r="BB39" s="485"/>
      <c r="BC39" s="485"/>
      <c r="BD39" s="485"/>
      <c r="BE39" s="485"/>
      <c r="BF39" s="485"/>
      <c r="BG39" s="485"/>
      <c r="BH39" s="485"/>
      <c r="BI39" s="485"/>
      <c r="BJ39" s="485"/>
      <c r="BK39" s="485"/>
      <c r="BL39" s="485"/>
      <c r="BM39" s="485"/>
      <c r="BN39" s="485"/>
      <c r="BO39" s="485"/>
      <c r="BP39" s="485"/>
      <c r="BQ39" s="485"/>
      <c r="BR39" s="485"/>
      <c r="BS39" s="485"/>
      <c r="BT39" s="485"/>
      <c r="BU39" s="485"/>
      <c r="BV39" s="485"/>
      <c r="BW39" s="485"/>
      <c r="BX39" s="485"/>
      <c r="BY39" s="485"/>
      <c r="BZ39" s="485"/>
      <c r="CA39" s="485"/>
      <c r="CB39" s="485"/>
      <c r="CC39" s="485"/>
      <c r="CD39" s="485"/>
      <c r="CE39" s="485"/>
      <c r="CF39" s="485"/>
      <c r="CG39" s="485"/>
      <c r="CH39" s="485"/>
      <c r="CI39" s="485"/>
      <c r="CJ39" s="485"/>
      <c r="CK39" s="485"/>
      <c r="CL39" s="485"/>
      <c r="CM39" s="485"/>
      <c r="CN39" s="485"/>
      <c r="CO39" s="485"/>
      <c r="CP39" s="485"/>
      <c r="CQ39" s="485"/>
      <c r="CR39" s="485"/>
      <c r="CS39" s="485"/>
      <c r="CT39" s="485"/>
      <c r="CU39" s="485"/>
      <c r="CV39" s="485"/>
      <c r="CW39" s="485"/>
      <c r="CX39" s="485"/>
      <c r="CY39" s="485"/>
      <c r="CZ39" s="485"/>
      <c r="DA39" s="485"/>
      <c r="DB39" s="485"/>
      <c r="DC39" s="485"/>
      <c r="DD39" s="485"/>
      <c r="DE39" s="485"/>
      <c r="DF39" s="485"/>
      <c r="DG39" s="485"/>
      <c r="DH39" s="485"/>
      <c r="DI39" s="485"/>
      <c r="DJ39" s="485"/>
      <c r="DK39" s="485"/>
      <c r="DL39" s="485"/>
      <c r="DM39" s="485"/>
      <c r="DN39" s="485"/>
      <c r="DO39" s="485"/>
      <c r="DP39" s="485"/>
      <c r="DQ39" s="485"/>
      <c r="DR39" s="485"/>
      <c r="DS39" s="485"/>
      <c r="DT39" s="485"/>
      <c r="DU39" s="484"/>
      <c r="DV39" s="484"/>
      <c r="DW39" s="484"/>
      <c r="DX39" s="484"/>
      <c r="DY39" s="484"/>
      <c r="DZ39" s="484"/>
      <c r="EA39" s="484"/>
      <c r="EB39" s="484"/>
      <c r="EC39" s="484"/>
      <c r="ED39" s="484"/>
      <c r="EE39" s="484"/>
      <c r="EF39" s="484"/>
      <c r="EG39" s="484"/>
      <c r="EH39" s="484"/>
      <c r="EI39" s="484"/>
      <c r="EJ39" s="484"/>
      <c r="EK39" s="484"/>
      <c r="EL39" s="484"/>
      <c r="EM39" s="484"/>
      <c r="EN39" s="484"/>
      <c r="EO39" s="484"/>
      <c r="EP39" s="484"/>
      <c r="EQ39" s="484"/>
      <c r="ER39" s="484"/>
      <c r="ES39" s="484"/>
      <c r="ET39" s="484"/>
      <c r="EU39" s="484"/>
      <c r="EV39" s="484"/>
      <c r="EW39" s="484"/>
      <c r="EX39" s="484"/>
      <c r="EY39" s="484"/>
      <c r="EZ39" s="484"/>
      <c r="FA39" s="484"/>
      <c r="FB39" s="484"/>
      <c r="FC39" s="484"/>
      <c r="FD39" s="484"/>
      <c r="FE39" s="484"/>
      <c r="FF39" s="484"/>
      <c r="FG39" s="484"/>
      <c r="FH39" s="484"/>
      <c r="FI39" s="484"/>
      <c r="FJ39" s="484"/>
      <c r="FK39" s="484"/>
      <c r="FL39" s="484"/>
      <c r="FM39" s="484"/>
      <c r="FN39" s="484"/>
      <c r="FO39" s="484"/>
      <c r="FP39" s="484"/>
      <c r="FQ39" s="484"/>
      <c r="FR39" s="484"/>
      <c r="FS39" s="484"/>
      <c r="FT39" s="484"/>
      <c r="FU39" s="484"/>
      <c r="FV39" s="484"/>
      <c r="FW39" s="484"/>
    </row>
    <row r="40" spans="1:179" s="5" customFormat="1" ht="30" customHeight="1" x14ac:dyDescent="0.25">
      <c r="A40" s="387"/>
      <c r="B40" s="632" t="s">
        <v>543</v>
      </c>
      <c r="C40" s="633">
        <v>444311</v>
      </c>
      <c r="D40" s="634"/>
      <c r="E40" s="175" t="s">
        <v>44</v>
      </c>
      <c r="F40" s="124" t="s">
        <v>215</v>
      </c>
      <c r="G40" s="125" t="s">
        <v>830</v>
      </c>
      <c r="H40" s="156">
        <v>1992</v>
      </c>
      <c r="I40" s="127" t="s">
        <v>214</v>
      </c>
      <c r="J40" s="104" t="s">
        <v>44</v>
      </c>
      <c r="K40" s="652">
        <v>44.2</v>
      </c>
      <c r="L40" s="109">
        <v>20</v>
      </c>
      <c r="M40" s="109">
        <v>25</v>
      </c>
      <c r="N40" s="109">
        <v>28</v>
      </c>
      <c r="O40" s="655">
        <v>28</v>
      </c>
      <c r="P40" s="109">
        <v>28</v>
      </c>
      <c r="Q40" s="109">
        <v>31</v>
      </c>
      <c r="R40" s="109">
        <v>33</v>
      </c>
      <c r="S40" s="656">
        <v>33</v>
      </c>
      <c r="T40" s="657">
        <v>61</v>
      </c>
      <c r="U40" s="658" t="s">
        <v>831</v>
      </c>
      <c r="V40" s="658" t="s">
        <v>115</v>
      </c>
      <c r="W40" s="659">
        <v>103.45468309423778</v>
      </c>
      <c r="X40" s="257">
        <v>43554</v>
      </c>
      <c r="Y40" s="261" t="s">
        <v>805</v>
      </c>
      <c r="Z40" s="261" t="s">
        <v>829</v>
      </c>
      <c r="AA40" s="464"/>
      <c r="AB40" s="465">
        <v>11</v>
      </c>
      <c r="AC40" s="465">
        <v>1</v>
      </c>
      <c r="AD40" s="465">
        <v>-9</v>
      </c>
      <c r="AE40" s="465">
        <v>-21</v>
      </c>
      <c r="AF40" s="465">
        <v>-34</v>
      </c>
      <c r="AG40" s="465">
        <v>-49</v>
      </c>
      <c r="AH40" s="465">
        <v>-64</v>
      </c>
      <c r="AI40" s="465">
        <v>-84</v>
      </c>
      <c r="AJ40" s="465">
        <v>-114</v>
      </c>
      <c r="AK40" s="466" t="s">
        <v>42</v>
      </c>
      <c r="AL40" s="464"/>
      <c r="AM40" s="464" t="s">
        <v>42</v>
      </c>
      <c r="AN40" s="464">
        <v>1</v>
      </c>
      <c r="AO40" s="388"/>
      <c r="AP40" s="388"/>
      <c r="AQ40" s="388"/>
      <c r="AR40" s="388"/>
      <c r="AS40" s="388"/>
      <c r="AT40" s="388"/>
      <c r="AU40" s="388"/>
      <c r="AV40" s="388"/>
      <c r="AW40" s="388"/>
      <c r="AX40" s="388"/>
      <c r="AY40" s="388"/>
      <c r="AZ40" s="388"/>
      <c r="BA40" s="388"/>
      <c r="BB40" s="388"/>
      <c r="BC40" s="388"/>
      <c r="BD40" s="388"/>
      <c r="BE40" s="388"/>
      <c r="BF40" s="388"/>
      <c r="BG40" s="388"/>
      <c r="BH40" s="388"/>
      <c r="BI40" s="388"/>
      <c r="BJ40" s="388"/>
      <c r="BK40" s="388"/>
      <c r="BL40" s="388"/>
      <c r="BM40" s="388"/>
      <c r="BN40" s="388"/>
      <c r="BO40" s="388"/>
      <c r="BP40" s="388"/>
      <c r="BQ40" s="388"/>
      <c r="BR40" s="388"/>
      <c r="BS40" s="388"/>
      <c r="BT40" s="388"/>
      <c r="BU40" s="388"/>
      <c r="BV40" s="388"/>
      <c r="BW40" s="388"/>
      <c r="BX40" s="388"/>
      <c r="BY40" s="388"/>
      <c r="BZ40" s="388"/>
      <c r="CA40" s="388"/>
      <c r="CB40" s="388"/>
      <c r="CC40" s="388"/>
      <c r="CD40" s="388"/>
      <c r="CE40" s="388"/>
      <c r="CF40" s="388"/>
      <c r="CG40" s="388"/>
      <c r="CH40" s="388"/>
      <c r="CI40" s="388"/>
      <c r="CJ40" s="388"/>
      <c r="CK40" s="388"/>
      <c r="CL40" s="388"/>
      <c r="CM40" s="388"/>
      <c r="CN40" s="388"/>
      <c r="CO40" s="388"/>
      <c r="CP40" s="388"/>
      <c r="CQ40" s="388"/>
      <c r="CR40" s="388"/>
      <c r="CS40" s="388"/>
      <c r="CT40" s="388"/>
      <c r="CU40" s="388"/>
      <c r="CV40" s="388"/>
      <c r="CW40" s="388"/>
      <c r="CX40" s="388"/>
      <c r="CY40" s="388"/>
      <c r="CZ40" s="388"/>
      <c r="DA40" s="388"/>
      <c r="DB40" s="388"/>
      <c r="DC40" s="388"/>
      <c r="DD40" s="388"/>
      <c r="DE40" s="388"/>
      <c r="DF40" s="388"/>
      <c r="DG40" s="388"/>
      <c r="DH40" s="388"/>
      <c r="DI40" s="388"/>
      <c r="DJ40" s="388"/>
      <c r="DK40" s="388"/>
      <c r="DL40" s="388"/>
      <c r="DM40" s="388"/>
      <c r="DN40" s="388"/>
      <c r="DO40" s="388"/>
      <c r="DP40" s="388"/>
      <c r="DQ40" s="388"/>
      <c r="DR40" s="388"/>
      <c r="DS40" s="388"/>
      <c r="DT40" s="388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</row>
    <row r="41" spans="1:179" s="5" customFormat="1" ht="30" customHeight="1" x14ac:dyDescent="0.25">
      <c r="A41" s="1"/>
      <c r="B41" s="138" t="s">
        <v>543</v>
      </c>
      <c r="C41" s="166">
        <v>363002</v>
      </c>
      <c r="D41" s="171"/>
      <c r="E41" s="476" t="s">
        <v>44</v>
      </c>
      <c r="F41" s="546" t="s">
        <v>142</v>
      </c>
      <c r="G41" s="553" t="s">
        <v>847</v>
      </c>
      <c r="H41" s="145">
        <v>1998</v>
      </c>
      <c r="I41" s="172" t="s">
        <v>139</v>
      </c>
      <c r="J41" s="146" t="s">
        <v>44</v>
      </c>
      <c r="K41" s="200">
        <v>48.5</v>
      </c>
      <c r="L41" s="664">
        <v>58</v>
      </c>
      <c r="M41" s="664">
        <v>61</v>
      </c>
      <c r="N41" s="664">
        <v>64</v>
      </c>
      <c r="O41" s="603">
        <v>64</v>
      </c>
      <c r="P41" s="664">
        <v>76</v>
      </c>
      <c r="Q41" s="664">
        <v>79</v>
      </c>
      <c r="R41" s="592">
        <v>-81</v>
      </c>
      <c r="S41" s="606">
        <v>79</v>
      </c>
      <c r="T41" s="610">
        <v>143</v>
      </c>
      <c r="U41" s="204" t="str">
        <f t="shared" ref="U41:U45" si="17">+CONCATENATE(AM41," ",AN41)</f>
        <v>INTB + 3</v>
      </c>
      <c r="V41" s="204" t="str">
        <f>IF(E41=0," ",IF(E41="H",IF(H41&lt;1999,VLOOKUP(K41,[10]Minimas!$A$15:$F$29,6),IF(AND(H41&gt;1998,H41&lt;2002),VLOOKUP(K41,[10]Minimas!$A$15:$F$29,5),IF(AND(H41&gt;2001,H41&lt;2004),VLOOKUP(K41,[10]Minimas!$A$15:$F$29,4),IF(AND(H41&gt;2003,H41&lt;2006),VLOOKUP(K41,[10]Minimas!$A$15:$F$29,3),VLOOKUP(K41,[10]Minimas!$A$15:$F$29,2))))),IF(H41&lt;1999,VLOOKUP(K41,[10]Minimas!$G$15:$L$29,6),IF(AND(H41&gt;1998,H41&lt;2002),VLOOKUP(K41,[10]Minimas!$G$15:$L$29,5),IF(AND(H41&gt;2001,H41&lt;2004),VLOOKUP(K41,[10]Minimas!$G$15:$L$29,4),IF(AND(H41&gt;2003,H41&lt;2006),VLOOKUP(K41,[10]Minimas!$G$15:$L$29,3),VLOOKUP(K41,[10]Minimas!$G$15:$L$29,2)))))))</f>
        <v>SE F49</v>
      </c>
      <c r="W41" s="614">
        <v>224.82344432314264</v>
      </c>
      <c r="X41" s="257">
        <v>43560</v>
      </c>
      <c r="Y41" s="261" t="s">
        <v>849</v>
      </c>
      <c r="Z41" s="261" t="s">
        <v>850</v>
      </c>
      <c r="AA41" s="232"/>
      <c r="AB41" s="230">
        <f>T41-HLOOKUP(V41,[10]Minimas!$C$3:$CD$12,2,FALSE)</f>
        <v>88</v>
      </c>
      <c r="AC41" s="230">
        <f>T41-HLOOKUP(V41,[10]Minimas!$C$3:$CD$12,3,FALSE)</f>
        <v>76</v>
      </c>
      <c r="AD41" s="230">
        <f>T41-HLOOKUP(V41,[10]Minimas!$C$3:$CD$12,4,FALSE)</f>
        <v>63</v>
      </c>
      <c r="AE41" s="230">
        <f>T41-HLOOKUP(V41,[10]Minimas!$C$3:$CD$12,5,FALSE)</f>
        <v>51</v>
      </c>
      <c r="AF41" s="230">
        <f>T41-HLOOKUP(V41,[10]Minimas!$C$3:$CD$12,6,FALSE)</f>
        <v>36</v>
      </c>
      <c r="AG41" s="230">
        <f>T41-HLOOKUP(V41,[10]Minimas!$C$3:$CD$12,7,FALSE)</f>
        <v>21</v>
      </c>
      <c r="AH41" s="230">
        <f>T41-HLOOKUP(V41,[10]Minimas!$C$3:$CD$12,8,FALSE)</f>
        <v>3</v>
      </c>
      <c r="AI41" s="230">
        <f>T41-HLOOKUP(V41,[10]Minimas!$C$3:$CD$12,9,FALSE)</f>
        <v>-17</v>
      </c>
      <c r="AJ41" s="230">
        <f>T41-HLOOKUP(V41,[10]Minimas!$C$3:$CD$12,10,FALSE)</f>
        <v>-32</v>
      </c>
      <c r="AK41" s="231" t="str">
        <f>IF(E41=0," ",IF(AJ41&gt;=0,MASCULINS!$AJ$5,IF(AI41&gt;=0,MASCULINS!$AI$5,IF(AH41&gt;=0,MASCULINS!$AH$5,IF(AG41&gt;=0,MASCULINS!$AG$5,IF(AF41&gt;=0,MASCULINS!$AF$5,IF(AE41&gt;=0,MASCULINS!$AE$5,IF(AD41&gt;=0,MASCULINS!$AD$5,IF(AC41&gt;=0,MASCULINS!$AC$5,MASCULINS!$AB$5)))))))))</f>
        <v>INTB +</v>
      </c>
      <c r="AL41" s="232"/>
      <c r="AM41" s="232" t="str">
        <f t="shared" ref="AM41:AM45" si="18">IF(AK41="","",AK41)</f>
        <v>INTB +</v>
      </c>
      <c r="AN41" s="232">
        <f t="shared" ref="AN41:AN45" si="19">IF(E41=0," ",IF(AJ41&gt;=0,AJ41,IF(AI41&gt;=0,AI41,IF(AH41&gt;=0,AH41,IF(AG41&gt;=0,AG41,IF(AF41&gt;=0,AF41,IF(AE41&gt;=0,AE41,IF(AD41&gt;=0,AD41,IF(AC41&gt;=0,AC41,AB41)))))))))</f>
        <v>3</v>
      </c>
      <c r="AO41" s="484"/>
      <c r="AP41" s="484"/>
      <c r="AQ41" s="484"/>
      <c r="AR41" s="484"/>
      <c r="AS41" s="484"/>
      <c r="AT41" s="484"/>
      <c r="AU41" s="484"/>
      <c r="AV41" s="484"/>
      <c r="AW41" s="484"/>
      <c r="AX41" s="484"/>
      <c r="AY41" s="484"/>
      <c r="AZ41" s="484"/>
      <c r="BA41" s="484"/>
      <c r="BB41" s="484"/>
      <c r="BC41" s="484"/>
      <c r="BD41" s="484"/>
      <c r="BE41" s="484"/>
      <c r="BF41" s="484"/>
      <c r="BG41" s="484"/>
      <c r="BH41" s="484"/>
      <c r="BI41" s="484"/>
      <c r="BJ41" s="484"/>
      <c r="BK41" s="484"/>
      <c r="BL41" s="484"/>
      <c r="BM41" s="484"/>
      <c r="BN41" s="484"/>
      <c r="BO41" s="484"/>
      <c r="BP41" s="484"/>
      <c r="BQ41" s="484"/>
      <c r="BR41" s="484"/>
      <c r="BS41" s="484"/>
      <c r="BT41" s="484"/>
      <c r="BU41" s="484"/>
      <c r="BV41" s="484"/>
      <c r="BW41" s="484"/>
      <c r="BX41" s="484"/>
      <c r="BY41" s="484"/>
      <c r="BZ41" s="484"/>
      <c r="CA41" s="484"/>
      <c r="CB41" s="484"/>
      <c r="CC41" s="484"/>
      <c r="CD41" s="484"/>
      <c r="CE41" s="484"/>
      <c r="CF41" s="484"/>
      <c r="CG41" s="484"/>
      <c r="CH41" s="484"/>
      <c r="CI41" s="484"/>
      <c r="CJ41" s="484"/>
      <c r="CK41" s="484"/>
      <c r="CL41" s="484"/>
      <c r="CM41" s="484"/>
      <c r="CN41" s="484"/>
      <c r="CO41" s="484"/>
      <c r="CP41" s="484"/>
      <c r="CQ41" s="484"/>
      <c r="CR41" s="484"/>
      <c r="CS41" s="484"/>
      <c r="CT41" s="484"/>
      <c r="CU41" s="484"/>
      <c r="CV41" s="484"/>
      <c r="CW41" s="484"/>
      <c r="CX41" s="484"/>
      <c r="CY41" s="484"/>
      <c r="CZ41" s="484"/>
      <c r="DA41" s="484"/>
      <c r="DB41" s="484"/>
      <c r="DC41" s="484"/>
      <c r="DD41" s="484"/>
      <c r="DE41" s="484"/>
      <c r="DF41" s="484"/>
      <c r="DG41" s="484"/>
      <c r="DH41" s="484"/>
      <c r="DI41" s="484"/>
      <c r="DJ41" s="484"/>
      <c r="DK41" s="484"/>
      <c r="DL41" s="484"/>
      <c r="DM41" s="484"/>
      <c r="DN41" s="484"/>
      <c r="DO41" s="484"/>
      <c r="DP41" s="484"/>
      <c r="DQ41" s="484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</row>
    <row r="42" spans="1:179" s="5" customFormat="1" ht="30" customHeight="1" x14ac:dyDescent="0.25">
      <c r="B42" s="514" t="s">
        <v>543</v>
      </c>
      <c r="C42" s="524">
        <v>417451</v>
      </c>
      <c r="D42" s="530"/>
      <c r="E42" s="476" t="s">
        <v>44</v>
      </c>
      <c r="F42" s="544" t="s">
        <v>653</v>
      </c>
      <c r="G42" s="551" t="s">
        <v>869</v>
      </c>
      <c r="H42" s="215">
        <v>1988</v>
      </c>
      <c r="I42" s="564" t="s">
        <v>418</v>
      </c>
      <c r="J42" s="146" t="s">
        <v>44</v>
      </c>
      <c r="K42" s="200">
        <v>48.38</v>
      </c>
      <c r="L42" s="118">
        <v>52</v>
      </c>
      <c r="M42" s="118">
        <v>55</v>
      </c>
      <c r="N42" s="118">
        <v>-57</v>
      </c>
      <c r="O42" s="604">
        <f t="shared" ref="O42:O45" si="20">IF(E42="","",IF(MAXA(L42:N42)&lt;=0,0,MAXA(L42:N42)))</f>
        <v>55</v>
      </c>
      <c r="P42" s="118">
        <v>63</v>
      </c>
      <c r="Q42" s="118">
        <v>67</v>
      </c>
      <c r="R42" s="118">
        <v>-70</v>
      </c>
      <c r="S42" s="601">
        <f t="shared" ref="S42:S45" si="21">IF(E42="","",IF(MAXA(P42:R42)&lt;=0,0,MAXA(P42:R42)))</f>
        <v>67</v>
      </c>
      <c r="T42" s="608">
        <f t="shared" ref="T42:T45" si="22">IF(E42="","",IF(OR(O42=0,S42=0),0,O42+S42))</f>
        <v>122</v>
      </c>
      <c r="U42" s="612" t="str">
        <f t="shared" si="17"/>
        <v>NAT + 0</v>
      </c>
      <c r="V42" s="612" t="str">
        <f>IF(E42=0," ",IF(E42="H",IF(H42&lt;1999,VLOOKUP(K42,[3]Minimas!$A$15:$F$29,6),IF(AND(H42&gt;1998,H42&lt;2002),VLOOKUP(K42,[3]Minimas!$A$15:$F$29,5),IF(AND(H42&gt;2001,H42&lt;2004),VLOOKUP(K42,[3]Minimas!$A$15:$F$29,4),IF(AND(H42&gt;2003,H42&lt;2006),VLOOKUP(K42,[3]Minimas!$A$15:$F$29,3),VLOOKUP(K42,[3]Minimas!$A$15:$F$29,2))))),IF(H42&lt;1999,VLOOKUP(K42,[3]Minimas!$G$15:$L$29,6),IF(AND(H42&gt;1998,H42&lt;2002),VLOOKUP(K42,[3]Minimas!$G$15:$L$29,5),IF(AND(H42&gt;2001,H42&lt;2004),VLOOKUP(K42,[3]Minimas!$G$15:$L$29,4),IF(AND(H42&gt;2003,H42&lt;2006),VLOOKUP(K42,[3]Minimas!$G$15:$L$29,3),VLOOKUP(K42,[3]Minimas!$G$15:$L$29,2)))))))</f>
        <v>SE F49</v>
      </c>
      <c r="W42" s="614">
        <f t="shared" ref="W42:W45" si="23">IF(E42=" "," ",IF(E42="H",10^(0.75194503*LOG(K42/175.508)^2)*T42,IF(E42="F",10^(0.783497476* LOG(K42/153.655)^2)*T42,"")))</f>
        <v>192.18106650957631</v>
      </c>
      <c r="X42" s="257">
        <v>43597</v>
      </c>
      <c r="Y42" s="261" t="s">
        <v>867</v>
      </c>
      <c r="Z42" s="261" t="s">
        <v>868</v>
      </c>
      <c r="AA42" s="232"/>
      <c r="AB42" s="230">
        <f>T42-HLOOKUP(V42,[3]Minimas!$C$3:$CD$12,2,FALSE)</f>
        <v>67</v>
      </c>
      <c r="AC42" s="230">
        <f>T42-HLOOKUP(V42,[3]Minimas!$C$3:$CD$12,3,FALSE)</f>
        <v>55</v>
      </c>
      <c r="AD42" s="230">
        <f>T42-HLOOKUP(V42,[3]Minimas!$C$3:$CD$12,4,FALSE)</f>
        <v>42</v>
      </c>
      <c r="AE42" s="230">
        <f>T42-HLOOKUP(V42,[3]Minimas!$C$3:$CD$12,5,FALSE)</f>
        <v>30</v>
      </c>
      <c r="AF42" s="230">
        <f>T42-HLOOKUP(V42,[3]Minimas!$C$3:$CD$12,6,FALSE)</f>
        <v>15</v>
      </c>
      <c r="AG42" s="230">
        <f>T42-HLOOKUP(V42,[3]Minimas!$C$3:$CD$12,7,FALSE)</f>
        <v>0</v>
      </c>
      <c r="AH42" s="230">
        <f>T42-HLOOKUP(V42,[3]Minimas!$C$3:$CD$12,8,FALSE)</f>
        <v>-18</v>
      </c>
      <c r="AI42" s="230">
        <f>T42-HLOOKUP(V42,[3]Minimas!$C$3:$CD$12,9,FALSE)</f>
        <v>-38</v>
      </c>
      <c r="AJ42" s="230">
        <f>T42-HLOOKUP(V42,[3]Minimas!$C$3:$CD$12,10,FALSE)</f>
        <v>-53</v>
      </c>
      <c r="AK42" s="231" t="str">
        <f t="shared" ref="AK42:AK45" si="24">IF(E42=0," ",IF(AJ42&gt;=0,$AJ$5,IF(AI42&gt;=0,$AI$5,IF(AH42&gt;=0,$AH$5,IF(AG42&gt;=0,$AG$5,IF(AF42&gt;=0,$AF$5,IF(AE42&gt;=0,$AE$5,IF(AD42&gt;=0,$AD$5,IF(AC42&gt;=0,$AC$5,$AB$5)))))))))</f>
        <v>NAT +</v>
      </c>
      <c r="AL42" s="232"/>
      <c r="AM42" s="232" t="str">
        <f t="shared" si="18"/>
        <v>NAT +</v>
      </c>
      <c r="AN42" s="232">
        <f t="shared" si="19"/>
        <v>0</v>
      </c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  <c r="BQ42" s="38"/>
      <c r="BR42" s="38"/>
      <c r="BS42" s="38"/>
      <c r="BT42" s="38"/>
      <c r="BU42" s="38"/>
      <c r="BV42" s="38"/>
      <c r="BW42" s="38"/>
      <c r="BX42" s="38"/>
      <c r="BY42" s="38"/>
      <c r="BZ42" s="38"/>
      <c r="CA42" s="38"/>
      <c r="CB42" s="38"/>
      <c r="CC42" s="38"/>
      <c r="CD42" s="38"/>
      <c r="CE42" s="38"/>
      <c r="CF42" s="38"/>
      <c r="CG42" s="38"/>
      <c r="CH42" s="38"/>
      <c r="CI42" s="38"/>
      <c r="CJ42" s="38"/>
      <c r="CK42" s="38"/>
      <c r="CL42" s="38"/>
      <c r="CM42" s="38"/>
      <c r="CN42" s="38"/>
      <c r="CO42" s="38"/>
      <c r="CP42" s="38"/>
      <c r="CQ42" s="38"/>
      <c r="CR42" s="38"/>
      <c r="CS42" s="38"/>
      <c r="CT42" s="38"/>
      <c r="CU42" s="38"/>
      <c r="CV42" s="38"/>
      <c r="CW42" s="38"/>
      <c r="CX42" s="38"/>
      <c r="CY42" s="38"/>
      <c r="CZ42" s="38"/>
      <c r="DA42" s="38"/>
      <c r="DB42" s="38"/>
      <c r="DC42" s="38"/>
      <c r="DD42" s="38"/>
      <c r="DE42" s="38"/>
      <c r="DF42" s="38"/>
      <c r="DG42" s="38"/>
      <c r="DH42" s="38"/>
      <c r="DI42" s="38"/>
      <c r="DJ42" s="38"/>
      <c r="DK42" s="38"/>
      <c r="DL42" s="38"/>
      <c r="DM42" s="38"/>
      <c r="DN42" s="38"/>
      <c r="DO42" s="38"/>
      <c r="DP42" s="38"/>
      <c r="DQ42" s="38"/>
      <c r="DR42" s="38"/>
      <c r="DS42" s="38"/>
      <c r="DT42" s="38"/>
    </row>
    <row r="43" spans="1:179" s="5" customFormat="1" ht="30" customHeight="1" x14ac:dyDescent="0.25">
      <c r="B43" s="518" t="s">
        <v>543</v>
      </c>
      <c r="C43" s="470">
        <v>444815</v>
      </c>
      <c r="D43" s="243"/>
      <c r="E43" s="478" t="s">
        <v>44</v>
      </c>
      <c r="F43" s="245" t="s">
        <v>809</v>
      </c>
      <c r="G43" s="150" t="s">
        <v>164</v>
      </c>
      <c r="H43" s="246">
        <v>1991</v>
      </c>
      <c r="I43" s="247" t="s">
        <v>155</v>
      </c>
      <c r="J43" s="244" t="s">
        <v>44</v>
      </c>
      <c r="K43" s="583">
        <v>46.2</v>
      </c>
      <c r="L43" s="154">
        <v>28</v>
      </c>
      <c r="M43" s="154">
        <v>30</v>
      </c>
      <c r="N43" s="153">
        <v>-32</v>
      </c>
      <c r="O43" s="242">
        <f t="shared" si="20"/>
        <v>30</v>
      </c>
      <c r="P43" s="118">
        <v>42</v>
      </c>
      <c r="Q43" s="118">
        <v>44</v>
      </c>
      <c r="R43" s="148">
        <v>-46</v>
      </c>
      <c r="S43" s="202">
        <f t="shared" si="21"/>
        <v>44</v>
      </c>
      <c r="T43" s="203">
        <f t="shared" si="22"/>
        <v>74</v>
      </c>
      <c r="U43" s="204" t="str">
        <f t="shared" si="17"/>
        <v>DPT + 7</v>
      </c>
      <c r="V43" s="204" t="str">
        <f>IF(E43=0," ",IF(E43="H",IF(H43&lt;1999,VLOOKUP(K43,[5]Minimas!$A$15:$F$29,6),IF(AND(H43&gt;1998,H43&lt;2002),VLOOKUP(K43,[5]Minimas!$A$15:$F$29,5),IF(AND(H43&gt;2001,H43&lt;2004),VLOOKUP(K43,[5]Minimas!$A$15:$F$29,4),IF(AND(H43&gt;2003,H43&lt;2006),VLOOKUP(K43,[5]Minimas!$A$15:$F$29,3),VLOOKUP(K43,[5]Minimas!$A$15:$F$29,2))))),IF(H43&lt;1999,VLOOKUP(K43,[5]Minimas!$G$15:$L$29,6),IF(AND(H43&gt;1998,H43&lt;2002),VLOOKUP(K43,[5]Minimas!$G$15:$L$29,5),IF(AND(H43&gt;2001,H43&lt;2004),VLOOKUP(K43,[5]Minimas!$G$15:$L$29,4),IF(AND(H43&gt;2003,H43&lt;2006),VLOOKUP(K43,[5]Minimas!$G$15:$L$29,3),VLOOKUP(K43,[5]Minimas!$G$15:$L$29,2)))))))</f>
        <v>SE F49</v>
      </c>
      <c r="W43" s="205">
        <f t="shared" si="23"/>
        <v>120.96070737976063</v>
      </c>
      <c r="X43" s="257">
        <v>43555</v>
      </c>
      <c r="Y43" s="261" t="s">
        <v>805</v>
      </c>
      <c r="Z43" s="261" t="s">
        <v>806</v>
      </c>
      <c r="AA43" s="232"/>
      <c r="AB43" s="230">
        <f>T43-HLOOKUP(V43,[5]Minimas!$C$3:$CD$12,2,FALSE)</f>
        <v>19</v>
      </c>
      <c r="AC43" s="230">
        <f>T43-HLOOKUP(V43,[5]Minimas!$C$3:$CD$12,3,FALSE)</f>
        <v>7</v>
      </c>
      <c r="AD43" s="230">
        <f>T43-HLOOKUP(V43,[5]Minimas!$C$3:$CD$12,4,FALSE)</f>
        <v>-6</v>
      </c>
      <c r="AE43" s="230">
        <f>T43-HLOOKUP(V43,[5]Minimas!$C$3:$CD$12,5,FALSE)</f>
        <v>-18</v>
      </c>
      <c r="AF43" s="230">
        <f>T43-HLOOKUP(V43,[5]Minimas!$C$3:$CD$12,6,FALSE)</f>
        <v>-33</v>
      </c>
      <c r="AG43" s="230">
        <f>T43-HLOOKUP(V43,[5]Minimas!$C$3:$CD$12,7,FALSE)</f>
        <v>-48</v>
      </c>
      <c r="AH43" s="230">
        <f>T43-HLOOKUP(V43,[5]Minimas!$C$3:$CD$12,8,FALSE)</f>
        <v>-66</v>
      </c>
      <c r="AI43" s="230">
        <f>T43-HLOOKUP(V43,[5]Minimas!$C$3:$CD$12,9,FALSE)</f>
        <v>-86</v>
      </c>
      <c r="AJ43" s="230">
        <f>T43-HLOOKUP(V43,[5]Minimas!$C$3:$CD$12,10,FALSE)</f>
        <v>-101</v>
      </c>
      <c r="AK43" s="231" t="str">
        <f t="shared" si="24"/>
        <v>DPT +</v>
      </c>
      <c r="AL43" s="232"/>
      <c r="AM43" s="232" t="str">
        <f t="shared" si="18"/>
        <v>DPT +</v>
      </c>
      <c r="AN43" s="232">
        <f t="shared" si="19"/>
        <v>7</v>
      </c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  <c r="BQ43" s="38"/>
      <c r="BR43" s="38"/>
      <c r="BS43" s="38"/>
      <c r="BT43" s="38"/>
      <c r="BU43" s="38"/>
      <c r="BV43" s="38"/>
      <c r="BW43" s="38"/>
      <c r="BX43" s="38"/>
      <c r="BY43" s="38"/>
      <c r="BZ43" s="38"/>
      <c r="CA43" s="38"/>
      <c r="CB43" s="38"/>
      <c r="CC43" s="38"/>
      <c r="CD43" s="38"/>
      <c r="CE43" s="38"/>
      <c r="CF43" s="38"/>
      <c r="CG43" s="38"/>
      <c r="CH43" s="38"/>
      <c r="CI43" s="38"/>
      <c r="CJ43" s="38"/>
      <c r="CK43" s="38"/>
      <c r="CL43" s="38"/>
      <c r="CM43" s="38"/>
      <c r="CN43" s="38"/>
      <c r="CO43" s="38"/>
      <c r="CP43" s="38"/>
      <c r="CQ43" s="38"/>
      <c r="CR43" s="38"/>
      <c r="CS43" s="38"/>
      <c r="CT43" s="38"/>
      <c r="CU43" s="38"/>
      <c r="CV43" s="38"/>
      <c r="CW43" s="38"/>
      <c r="CX43" s="38"/>
      <c r="CY43" s="38"/>
      <c r="CZ43" s="38"/>
      <c r="DA43" s="38"/>
      <c r="DB43" s="38"/>
      <c r="DC43" s="38"/>
      <c r="DD43" s="38"/>
      <c r="DE43" s="38"/>
      <c r="DF43" s="38"/>
      <c r="DG43" s="38"/>
      <c r="DH43" s="38"/>
      <c r="DI43" s="38"/>
      <c r="DJ43" s="38"/>
      <c r="DK43" s="38"/>
      <c r="DL43" s="38"/>
      <c r="DM43" s="38"/>
      <c r="DN43" s="38"/>
      <c r="DO43" s="38"/>
      <c r="DP43" s="38"/>
      <c r="DQ43" s="38"/>
      <c r="DR43" s="38"/>
      <c r="DS43" s="38"/>
      <c r="DT43" s="38"/>
    </row>
    <row r="44" spans="1:179" s="5" customFormat="1" ht="30" customHeight="1" x14ac:dyDescent="0.25">
      <c r="B44" s="514" t="s">
        <v>543</v>
      </c>
      <c r="C44" s="516">
        <v>405310</v>
      </c>
      <c r="D44" s="540"/>
      <c r="E44" s="168" t="s">
        <v>44</v>
      </c>
      <c r="F44" s="143" t="s">
        <v>217</v>
      </c>
      <c r="G44" s="144" t="s">
        <v>218</v>
      </c>
      <c r="H44" s="145">
        <v>1995</v>
      </c>
      <c r="I44" s="569" t="s">
        <v>219</v>
      </c>
      <c r="J44" s="146" t="s">
        <v>44</v>
      </c>
      <c r="K44" s="587">
        <v>49</v>
      </c>
      <c r="L44" s="118">
        <v>22</v>
      </c>
      <c r="M44" s="118">
        <v>25</v>
      </c>
      <c r="N44" s="118">
        <v>28</v>
      </c>
      <c r="O44" s="604">
        <f t="shared" si="20"/>
        <v>28</v>
      </c>
      <c r="P44" s="118">
        <v>30</v>
      </c>
      <c r="Q44" s="118">
        <v>35</v>
      </c>
      <c r="R44" s="118">
        <v>-38</v>
      </c>
      <c r="S44" s="601">
        <f t="shared" si="21"/>
        <v>35</v>
      </c>
      <c r="T44" s="608">
        <f t="shared" si="22"/>
        <v>63</v>
      </c>
      <c r="U44" s="612" t="str">
        <f t="shared" si="17"/>
        <v>DEB 8</v>
      </c>
      <c r="V44" s="612" t="str">
        <f>IF(E44=0," ",IF(E44="H",IF(H44&lt;1999,VLOOKUP(K44,[3]Minimas!$A$15:$F$29,6),IF(AND(H44&gt;1998,H44&lt;2002),VLOOKUP(K44,[3]Minimas!$A$15:$F$29,5),IF(AND(H44&gt;2001,H44&lt;2004),VLOOKUP(K44,[3]Minimas!$A$15:$F$29,4),IF(AND(H44&gt;2003,H44&lt;2006),VLOOKUP(K44,[3]Minimas!$A$15:$F$29,3),VLOOKUP(K44,[3]Minimas!$A$15:$F$29,2))))),IF(H44&lt;1999,VLOOKUP(K44,[3]Minimas!$G$15:$L$29,6),IF(AND(H44&gt;1998,H44&lt;2002),VLOOKUP(K44,[3]Minimas!$G$15:$L$29,5),IF(AND(H44&gt;2001,H44&lt;2004),VLOOKUP(K44,[3]Minimas!$G$15:$L$29,4),IF(AND(H44&gt;2003,H44&lt;2006),VLOOKUP(K44,[3]Minimas!$G$15:$L$29,3),VLOOKUP(K44,[3]Minimas!$G$15:$L$29,2)))))))</f>
        <v>SE F49</v>
      </c>
      <c r="W44" s="614">
        <f t="shared" si="23"/>
        <v>98.257581586359393</v>
      </c>
      <c r="X44" s="257">
        <v>43610</v>
      </c>
      <c r="Y44" s="261" t="s">
        <v>892</v>
      </c>
      <c r="Z44" s="261" t="s">
        <v>829</v>
      </c>
      <c r="AA44" s="232"/>
      <c r="AB44" s="230">
        <f>T44-HLOOKUP(V44,[3]Minimas!$C$3:$CD$12,2,FALSE)</f>
        <v>8</v>
      </c>
      <c r="AC44" s="230">
        <f>T44-HLOOKUP(V44,[3]Minimas!$C$3:$CD$12,3,FALSE)</f>
        <v>-4</v>
      </c>
      <c r="AD44" s="230">
        <f>T44-HLOOKUP(V44,[3]Minimas!$C$3:$CD$12,4,FALSE)</f>
        <v>-17</v>
      </c>
      <c r="AE44" s="230">
        <f>T44-HLOOKUP(V44,[3]Minimas!$C$3:$CD$12,5,FALSE)</f>
        <v>-29</v>
      </c>
      <c r="AF44" s="230">
        <f>T44-HLOOKUP(V44,[3]Minimas!$C$3:$CD$12,6,FALSE)</f>
        <v>-44</v>
      </c>
      <c r="AG44" s="230">
        <f>T44-HLOOKUP(V44,[3]Minimas!$C$3:$CD$12,7,FALSE)</f>
        <v>-59</v>
      </c>
      <c r="AH44" s="230">
        <f>T44-HLOOKUP(V44,[3]Minimas!$C$3:$CD$12,8,FALSE)</f>
        <v>-77</v>
      </c>
      <c r="AI44" s="230">
        <f>T44-HLOOKUP(V44,[3]Minimas!$C$3:$CD$12,9,FALSE)</f>
        <v>-97</v>
      </c>
      <c r="AJ44" s="230">
        <f>T44-HLOOKUP(V44,[3]Minimas!$C$3:$CD$12,10,FALSE)</f>
        <v>-112</v>
      </c>
      <c r="AK44" s="231" t="str">
        <f t="shared" si="24"/>
        <v>DEB</v>
      </c>
      <c r="AL44" s="232"/>
      <c r="AM44" s="232" t="str">
        <f t="shared" si="18"/>
        <v>DEB</v>
      </c>
      <c r="AN44" s="232">
        <f t="shared" si="19"/>
        <v>8</v>
      </c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8"/>
      <c r="BO44" s="38"/>
      <c r="BP44" s="38"/>
      <c r="BQ44" s="38"/>
      <c r="BR44" s="38"/>
      <c r="BS44" s="38"/>
      <c r="BT44" s="38"/>
      <c r="BU44" s="38"/>
      <c r="BV44" s="38"/>
      <c r="BW44" s="38"/>
      <c r="BX44" s="38"/>
      <c r="BY44" s="38"/>
      <c r="BZ44" s="38"/>
      <c r="CA44" s="38"/>
      <c r="CB44" s="38"/>
      <c r="CC44" s="38"/>
      <c r="CD44" s="38"/>
      <c r="CE44" s="38"/>
      <c r="CF44" s="38"/>
      <c r="CG44" s="38"/>
      <c r="CH44" s="38"/>
      <c r="CI44" s="38"/>
      <c r="CJ44" s="38"/>
      <c r="CK44" s="38"/>
      <c r="CL44" s="38"/>
      <c r="CM44" s="38"/>
      <c r="CN44" s="38"/>
      <c r="CO44" s="38"/>
      <c r="CP44" s="38"/>
      <c r="CQ44" s="38"/>
      <c r="CR44" s="38"/>
      <c r="CS44" s="38"/>
      <c r="CT44" s="38"/>
      <c r="CU44" s="38"/>
      <c r="CV44" s="38"/>
      <c r="CW44" s="38"/>
      <c r="CX44" s="38"/>
      <c r="CY44" s="38"/>
      <c r="CZ44" s="38"/>
      <c r="DA44" s="38"/>
      <c r="DB44" s="38"/>
      <c r="DC44" s="38"/>
      <c r="DD44" s="38"/>
      <c r="DE44" s="38"/>
      <c r="DF44" s="38"/>
      <c r="DG44" s="38"/>
      <c r="DH44" s="38"/>
      <c r="DI44" s="38"/>
      <c r="DJ44" s="38"/>
      <c r="DK44" s="38"/>
      <c r="DL44" s="38"/>
      <c r="DM44" s="38"/>
      <c r="DN44" s="38"/>
      <c r="DO44" s="38"/>
      <c r="DP44" s="38"/>
      <c r="DQ44" s="38"/>
      <c r="DR44" s="38"/>
      <c r="DS44" s="38"/>
      <c r="DT44" s="38"/>
    </row>
    <row r="45" spans="1:179" s="5" customFormat="1" ht="30" customHeight="1" x14ac:dyDescent="0.3">
      <c r="B45" s="97" t="s">
        <v>543</v>
      </c>
      <c r="C45" s="166">
        <v>444311</v>
      </c>
      <c r="D45" s="167"/>
      <c r="E45" s="476" t="s">
        <v>44</v>
      </c>
      <c r="F45" s="217" t="s">
        <v>215</v>
      </c>
      <c r="G45" s="144" t="s">
        <v>216</v>
      </c>
      <c r="H45" s="218">
        <v>1992</v>
      </c>
      <c r="I45" s="169" t="s">
        <v>546</v>
      </c>
      <c r="J45" s="168" t="s">
        <v>44</v>
      </c>
      <c r="K45" s="147">
        <v>46</v>
      </c>
      <c r="L45" s="118">
        <v>22</v>
      </c>
      <c r="M45" s="118">
        <v>25</v>
      </c>
      <c r="N45" s="118">
        <v>27</v>
      </c>
      <c r="O45" s="242">
        <f t="shared" si="20"/>
        <v>27</v>
      </c>
      <c r="P45" s="118">
        <v>30</v>
      </c>
      <c r="Q45" s="118">
        <v>33</v>
      </c>
      <c r="R45" s="118">
        <v>35</v>
      </c>
      <c r="S45" s="202">
        <f t="shared" si="21"/>
        <v>35</v>
      </c>
      <c r="T45" s="203">
        <f t="shared" si="22"/>
        <v>62</v>
      </c>
      <c r="U45" s="204" t="str">
        <f t="shared" si="17"/>
        <v>DEB 7</v>
      </c>
      <c r="V45" s="204" t="str">
        <f>IF(E45=0," ",IF(E45="H",IF(H45&lt;1999,VLOOKUP(K45,Minimas!$A$15:$F$29,6),IF(AND(H45&gt;1998,H45&lt;2002),VLOOKUP(K45,Minimas!$A$15:$F$29,5),IF(AND(H45&gt;2001,H45&lt;2004),VLOOKUP(K45,Minimas!$A$15:$F$29,4),IF(AND(H45&gt;2003,H45&lt;2006),VLOOKUP(K45,Minimas!$A$15:$F$29,3),VLOOKUP(K45,Minimas!$A$15:$F$29,2))))),IF(H45&lt;1999,VLOOKUP(K45,Minimas!$G$15:$L$29,6),IF(AND(H45&gt;1998,H45&lt;2002),VLOOKUP(K45,Minimas!$G$15:$L$29,5),IF(AND(H45&gt;2001,H45&lt;2004),VLOOKUP(K45,Minimas!$G$15:$L$29,4),IF(AND(H45&gt;2003,H45&lt;2006),VLOOKUP(K45,Minimas!$G$15:$L$29,3),VLOOKUP(K45,Minimas!$G$15:$L$29,2)))))))</f>
        <v>SE F49</v>
      </c>
      <c r="W45" s="205">
        <f t="shared" si="23"/>
        <v>101.70632535095046</v>
      </c>
      <c r="X45" s="184">
        <v>43484</v>
      </c>
      <c r="Y45" s="261" t="s">
        <v>580</v>
      </c>
      <c r="Z45" s="261" t="s">
        <v>511</v>
      </c>
      <c r="AA45" s="467"/>
      <c r="AB45" s="230">
        <f>T45-HLOOKUP(V45,Minimas!$C$3:$CD$12,2,FALSE)</f>
        <v>7</v>
      </c>
      <c r="AC45" s="230">
        <f>T45-HLOOKUP(V45,Minimas!$C$3:$CD$12,3,FALSE)</f>
        <v>-5</v>
      </c>
      <c r="AD45" s="230">
        <f>T45-HLOOKUP(V45,Minimas!$C$3:$CD$12,4,FALSE)</f>
        <v>-18</v>
      </c>
      <c r="AE45" s="230">
        <f>T45-HLOOKUP(V45,Minimas!$C$3:$CD$12,5,FALSE)</f>
        <v>-30</v>
      </c>
      <c r="AF45" s="230">
        <f>T45-HLOOKUP(V45,Minimas!$C$3:$CD$12,6,FALSE)</f>
        <v>-45</v>
      </c>
      <c r="AG45" s="230">
        <f>T45-HLOOKUP(V45,Minimas!$C$3:$CD$12,7,FALSE)</f>
        <v>-60</v>
      </c>
      <c r="AH45" s="230">
        <f>T45-HLOOKUP(V45,Minimas!$C$3:$CD$12,8,FALSE)</f>
        <v>-78</v>
      </c>
      <c r="AI45" s="230">
        <f>T45-HLOOKUP(V45,Minimas!$C$3:$CD$12,9,FALSE)</f>
        <v>-98</v>
      </c>
      <c r="AJ45" s="230">
        <f>T45-HLOOKUP(V45,Minimas!$C$3:$CD$12,10,FALSE)</f>
        <v>-113</v>
      </c>
      <c r="AK45" s="231" t="str">
        <f t="shared" si="24"/>
        <v>DEB</v>
      </c>
      <c r="AL45" s="232"/>
      <c r="AM45" s="232" t="str">
        <f t="shared" si="18"/>
        <v>DEB</v>
      </c>
      <c r="AN45" s="232">
        <f t="shared" si="19"/>
        <v>7</v>
      </c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  <c r="CG45" s="38"/>
      <c r="CH45" s="38"/>
      <c r="CI45" s="38"/>
      <c r="CJ45" s="38"/>
      <c r="CK45" s="38"/>
      <c r="CL45" s="38"/>
      <c r="CM45" s="38"/>
      <c r="CN45" s="38"/>
      <c r="CO45" s="38"/>
      <c r="CP45" s="38"/>
      <c r="CQ45" s="38"/>
      <c r="CR45" s="38"/>
      <c r="CS45" s="38"/>
      <c r="CT45" s="38"/>
      <c r="CU45" s="38"/>
      <c r="CV45" s="38"/>
      <c r="CW45" s="38"/>
      <c r="CX45" s="38"/>
      <c r="CY45" s="38"/>
      <c r="CZ45" s="38"/>
      <c r="DA45" s="38"/>
      <c r="DB45" s="38"/>
      <c r="DC45" s="38"/>
      <c r="DD45" s="38"/>
      <c r="DE45" s="38"/>
      <c r="DF45" s="38"/>
      <c r="DG45" s="38"/>
      <c r="DH45" s="38"/>
      <c r="DI45" s="38"/>
      <c r="DJ45" s="38"/>
      <c r="DK45" s="38"/>
      <c r="DL45" s="38"/>
      <c r="DM45" s="38"/>
      <c r="DN45" s="38"/>
      <c r="DO45" s="38"/>
      <c r="DP45" s="38"/>
      <c r="DQ45" s="38"/>
      <c r="DR45" s="38"/>
      <c r="DS45" s="38"/>
      <c r="DT45" s="38"/>
    </row>
    <row r="46" spans="1:179" s="5" customFormat="1" ht="30" customHeight="1" x14ac:dyDescent="0.25">
      <c r="B46" s="514" t="s">
        <v>543</v>
      </c>
      <c r="C46" s="524">
        <v>409113</v>
      </c>
      <c r="D46" s="530"/>
      <c r="E46" s="476" t="s">
        <v>44</v>
      </c>
      <c r="F46" s="544" t="s">
        <v>548</v>
      </c>
      <c r="G46" s="551" t="s">
        <v>888</v>
      </c>
      <c r="H46" s="215">
        <v>1997</v>
      </c>
      <c r="I46" s="564" t="s">
        <v>214</v>
      </c>
      <c r="J46" s="146" t="s">
        <v>44</v>
      </c>
      <c r="K46" s="200">
        <v>53.7</v>
      </c>
      <c r="L46" s="118">
        <v>66</v>
      </c>
      <c r="M46" s="118">
        <v>-69</v>
      </c>
      <c r="N46" s="118">
        <v>71</v>
      </c>
      <c r="O46" s="604">
        <f t="shared" ref="O46:O62" si="25">IF(E46="","",IF(MAXA(L46:N46)&lt;=0,0,MAXA(L46:N46)))</f>
        <v>71</v>
      </c>
      <c r="P46" s="118">
        <v>86</v>
      </c>
      <c r="Q46" s="118">
        <v>91</v>
      </c>
      <c r="R46" s="118">
        <v>-95</v>
      </c>
      <c r="S46" s="601">
        <f t="shared" ref="S46:S74" si="26">IF(E46="","",IF(MAXA(P46:R46)&lt;=0,0,MAXA(P46:R46)))</f>
        <v>91</v>
      </c>
      <c r="T46" s="608">
        <f t="shared" ref="T46:T60" si="27">IF(E46="","",IF(OR(O46=0,S46=0),0,O46+S46))</f>
        <v>162</v>
      </c>
      <c r="U46" s="612" t="str">
        <f t="shared" ref="U46:U74" si="28">+CONCATENATE(AM46," ",AN46)</f>
        <v>INTB + 7</v>
      </c>
      <c r="V46" s="612" t="str">
        <f>IF(E46=0," ",IF(E46="H",IF(H46&lt;1999,VLOOKUP(K46,[3]Minimas!$A$15:$F$29,6),IF(AND(H46&gt;1998,H46&lt;2002),VLOOKUP(K46,[3]Minimas!$A$15:$F$29,5),IF(AND(H46&gt;2001,H46&lt;2004),VLOOKUP(K46,[3]Minimas!$A$15:$F$29,4),IF(AND(H46&gt;2003,H46&lt;2006),VLOOKUP(K46,[3]Minimas!$A$15:$F$29,3),VLOOKUP(K46,[3]Minimas!$A$15:$F$29,2))))),IF(H46&lt;1999,VLOOKUP(K46,[3]Minimas!$G$15:$L$29,6),IF(AND(H46&gt;1998,H46&lt;2002),VLOOKUP(K46,[3]Minimas!$G$15:$L$29,5),IF(AND(H46&gt;2001,H46&lt;2004),VLOOKUP(K46,[3]Minimas!$G$15:$L$29,4),IF(AND(H46&gt;2003,H46&lt;2006),VLOOKUP(K46,[3]Minimas!$G$15:$L$29,3),VLOOKUP(K46,[3]Minimas!$G$15:$L$29,2)))))))</f>
        <v>SE F55</v>
      </c>
      <c r="W46" s="614">
        <f t="shared" ref="W46:W74" si="29">IF(E46=" "," ",IF(E46="H",10^(0.75194503*LOG(K46/175.508)^2)*T46,IF(E46="F",10^(0.783497476* LOG(K46/153.655)^2)*T46,"")))</f>
        <v>235.96175558611924</v>
      </c>
      <c r="X46" s="257">
        <v>43625</v>
      </c>
      <c r="Y46" s="261" t="s">
        <v>886</v>
      </c>
      <c r="Z46" s="261" t="s">
        <v>887</v>
      </c>
      <c r="AA46" s="232"/>
      <c r="AB46" s="230">
        <f>T46-HLOOKUP(V46,[3]Minimas!$C$3:$CD$12,2,FALSE)</f>
        <v>102</v>
      </c>
      <c r="AC46" s="230">
        <f>T46-HLOOKUP(V46,[3]Minimas!$C$3:$CD$12,3,FALSE)</f>
        <v>87</v>
      </c>
      <c r="AD46" s="230">
        <f>T46-HLOOKUP(V46,[3]Minimas!$C$3:$CD$12,4,FALSE)</f>
        <v>75</v>
      </c>
      <c r="AE46" s="230">
        <f>T46-HLOOKUP(V46,[3]Minimas!$C$3:$CD$12,5,FALSE)</f>
        <v>60</v>
      </c>
      <c r="AF46" s="230">
        <f>T46-HLOOKUP(V46,[3]Minimas!$C$3:$CD$12,6,FALSE)</f>
        <v>39</v>
      </c>
      <c r="AG46" s="230">
        <f>T46-HLOOKUP(V46,[3]Minimas!$C$3:$CD$12,7,FALSE)</f>
        <v>24</v>
      </c>
      <c r="AH46" s="230">
        <f>T46-HLOOKUP(V46,[3]Minimas!$C$3:$CD$12,8,FALSE)</f>
        <v>7</v>
      </c>
      <c r="AI46" s="230">
        <f>T46-HLOOKUP(V46,[3]Minimas!$C$3:$CD$12,9,FALSE)</f>
        <v>-13</v>
      </c>
      <c r="AJ46" s="230">
        <f>T46-HLOOKUP(V46,[3]Minimas!$C$3:$CD$12,10,FALSE)</f>
        <v>-28</v>
      </c>
      <c r="AK46" s="231" t="str">
        <f t="shared" ref="AK46:AK60" si="30">IF(E46=0," ",IF(AJ46&gt;=0,$AJ$5,IF(AI46&gt;=0,$AI$5,IF(AH46&gt;=0,$AH$5,IF(AG46&gt;=0,$AG$5,IF(AF46&gt;=0,$AF$5,IF(AE46&gt;=0,$AE$5,IF(AD46&gt;=0,$AD$5,IF(AC46&gt;=0,$AC$5,$AB$5)))))))))</f>
        <v>INTB +</v>
      </c>
      <c r="AL46" s="232"/>
      <c r="AM46" s="232" t="str">
        <f t="shared" ref="AM46:AM77" si="31">IF(AK46="","",AK46)</f>
        <v>INTB +</v>
      </c>
      <c r="AN46" s="232">
        <f t="shared" ref="AN46:AN77" si="32">IF(E46=0," ",IF(AJ46&gt;=0,AJ46,IF(AI46&gt;=0,AI46,IF(AH46&gt;=0,AH46,IF(AG46&gt;=0,AG46,IF(AF46&gt;=0,AF46,IF(AE46&gt;=0,AE46,IF(AD46&gt;=0,AD46,IF(AC46&gt;=0,AC46,AB46)))))))))</f>
        <v>7</v>
      </c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38"/>
      <c r="BI46" s="38"/>
      <c r="BJ46" s="38"/>
      <c r="BK46" s="38"/>
      <c r="BL46" s="38"/>
      <c r="BM46" s="38"/>
      <c r="BN46" s="38"/>
      <c r="BO46" s="38"/>
      <c r="BP46" s="38"/>
      <c r="BQ46" s="38"/>
      <c r="BR46" s="38"/>
      <c r="BS46" s="38"/>
      <c r="BT46" s="38"/>
      <c r="BU46" s="38"/>
      <c r="BV46" s="38"/>
      <c r="BW46" s="38"/>
      <c r="BX46" s="38"/>
      <c r="BY46" s="38"/>
      <c r="BZ46" s="38"/>
      <c r="CA46" s="38"/>
      <c r="CB46" s="38"/>
      <c r="CC46" s="38"/>
      <c r="CD46" s="38"/>
      <c r="CE46" s="38"/>
      <c r="CF46" s="38"/>
      <c r="CG46" s="38"/>
      <c r="CH46" s="38"/>
      <c r="CI46" s="38"/>
      <c r="CJ46" s="38"/>
      <c r="CK46" s="38"/>
      <c r="CL46" s="38"/>
      <c r="CM46" s="38"/>
      <c r="CN46" s="38"/>
      <c r="CO46" s="38"/>
      <c r="CP46" s="38"/>
      <c r="CQ46" s="38"/>
      <c r="CR46" s="38"/>
      <c r="CS46" s="38"/>
      <c r="CT46" s="38"/>
      <c r="CU46" s="38"/>
      <c r="CV46" s="38"/>
      <c r="CW46" s="38"/>
      <c r="CX46" s="38"/>
      <c r="CY46" s="38"/>
      <c r="CZ46" s="38"/>
      <c r="DA46" s="38"/>
      <c r="DB46" s="38"/>
      <c r="DC46" s="38"/>
      <c r="DD46" s="38"/>
      <c r="DE46" s="38"/>
      <c r="DF46" s="38"/>
      <c r="DG46" s="38"/>
      <c r="DH46" s="38"/>
      <c r="DI46" s="38"/>
      <c r="DJ46" s="38"/>
      <c r="DK46" s="38"/>
      <c r="DL46" s="38"/>
      <c r="DM46" s="38"/>
      <c r="DN46" s="38"/>
      <c r="DO46" s="38"/>
      <c r="DP46" s="38"/>
      <c r="DQ46" s="38"/>
      <c r="DR46" s="38"/>
      <c r="DS46" s="38"/>
      <c r="DT46" s="38"/>
    </row>
    <row r="47" spans="1:179" s="5" customFormat="1" ht="30" customHeight="1" x14ac:dyDescent="0.3">
      <c r="B47" s="518" t="s">
        <v>543</v>
      </c>
      <c r="C47" s="475">
        <v>250225</v>
      </c>
      <c r="D47" s="99"/>
      <c r="E47" s="98" t="s">
        <v>44</v>
      </c>
      <c r="F47" s="101" t="s">
        <v>135</v>
      </c>
      <c r="G47" s="101" t="s">
        <v>136</v>
      </c>
      <c r="H47" s="98">
        <v>1993</v>
      </c>
      <c r="I47" s="141" t="s">
        <v>324</v>
      </c>
      <c r="J47" s="98" t="s">
        <v>44</v>
      </c>
      <c r="K47" s="139">
        <v>52.4</v>
      </c>
      <c r="L47" s="118">
        <v>61</v>
      </c>
      <c r="M47" s="118">
        <v>65</v>
      </c>
      <c r="N47" s="118">
        <v>68</v>
      </c>
      <c r="O47" s="242">
        <f t="shared" si="25"/>
        <v>68</v>
      </c>
      <c r="P47" s="118">
        <v>77</v>
      </c>
      <c r="Q47" s="118">
        <v>80</v>
      </c>
      <c r="R47" s="118">
        <v>84</v>
      </c>
      <c r="S47" s="202">
        <f t="shared" si="26"/>
        <v>84</v>
      </c>
      <c r="T47" s="203">
        <f t="shared" si="27"/>
        <v>152</v>
      </c>
      <c r="U47" s="204" t="str">
        <f t="shared" si="28"/>
        <v>NAT + 14</v>
      </c>
      <c r="V47" s="204" t="str">
        <f>IF(E47=0," ",IF(E47="H",IF(H47&lt;1999,VLOOKUP(K47,[11]Minimas!$A$15:$F$29,6),IF(AND(H47&gt;1998,H47&lt;2002),VLOOKUP(K47,[11]Minimas!$A$15:$F$29,5),IF(AND(H47&gt;2001,H47&lt;2004),VLOOKUP(K47,[11]Minimas!$A$15:$F$29,4),IF(AND(H47&gt;2003,H47&lt;2006),VLOOKUP(K47,[11]Minimas!$A$15:$F$29,3),VLOOKUP(K47,[11]Minimas!$A$15:$F$29,2))))),IF(H47&lt;1999,VLOOKUP(K47,[11]Minimas!$G$15:$L$29,6),IF(AND(H47&gt;1998,H47&lt;2002),VLOOKUP(K47,[11]Minimas!$G$15:$L$29,5),IF(AND(H47&gt;2001,H47&lt;2004),VLOOKUP(K47,[11]Minimas!$G$15:$L$29,4),IF(AND(H47&gt;2003,H47&lt;2006),VLOOKUP(K47,[11]Minimas!$G$15:$L$29,3),VLOOKUP(K47,[11]Minimas!$G$15:$L$29,2)))))))</f>
        <v>SE F55</v>
      </c>
      <c r="W47" s="205">
        <f t="shared" si="29"/>
        <v>225.35823856670993</v>
      </c>
      <c r="X47" s="257">
        <v>43527</v>
      </c>
      <c r="Y47" s="261" t="s">
        <v>705</v>
      </c>
      <c r="Z47" s="261" t="s">
        <v>504</v>
      </c>
      <c r="AA47" s="232"/>
      <c r="AB47" s="230">
        <f>T47-HLOOKUP(V47,[8]Minimas!$C$3:$CD$12,2,FALSE)</f>
        <v>92</v>
      </c>
      <c r="AC47" s="230">
        <f>T47-HLOOKUP(V47,[8]Minimas!$C$3:$CD$12,3,FALSE)</f>
        <v>77</v>
      </c>
      <c r="AD47" s="230">
        <f>T47-HLOOKUP(V47,[8]Minimas!$C$3:$CD$12,4,FALSE)</f>
        <v>65</v>
      </c>
      <c r="AE47" s="230">
        <f>T47-HLOOKUP(V47,[8]Minimas!$C$3:$CD$12,5,FALSE)</f>
        <v>50</v>
      </c>
      <c r="AF47" s="230">
        <f>T47-HLOOKUP(V47,[8]Minimas!$C$3:$CD$12,6,FALSE)</f>
        <v>29</v>
      </c>
      <c r="AG47" s="230">
        <f>T47-HLOOKUP(V47,[8]Minimas!$C$3:$CD$12,7,FALSE)</f>
        <v>14</v>
      </c>
      <c r="AH47" s="230">
        <f>T47-HLOOKUP(V47,[8]Minimas!$C$3:$CD$12,8,FALSE)</f>
        <v>-3</v>
      </c>
      <c r="AI47" s="230">
        <f>T47-HLOOKUP(V47,[8]Minimas!$C$3:$CD$12,9,FALSE)</f>
        <v>-23</v>
      </c>
      <c r="AJ47" s="230">
        <f>T47-HLOOKUP(V47,[8]Minimas!$C$3:$CD$12,10,FALSE)</f>
        <v>-38</v>
      </c>
      <c r="AK47" s="231" t="str">
        <f t="shared" si="30"/>
        <v>NAT +</v>
      </c>
      <c r="AL47" s="232"/>
      <c r="AM47" s="232" t="str">
        <f t="shared" si="31"/>
        <v>NAT +</v>
      </c>
      <c r="AN47" s="232">
        <f t="shared" si="32"/>
        <v>14</v>
      </c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8"/>
      <c r="BR47" s="38"/>
      <c r="BS47" s="38"/>
      <c r="BT47" s="38"/>
      <c r="BU47" s="38"/>
      <c r="BV47" s="38"/>
      <c r="BW47" s="38"/>
      <c r="BX47" s="38"/>
      <c r="BY47" s="38"/>
      <c r="BZ47" s="38"/>
      <c r="CA47" s="38"/>
      <c r="CB47" s="38"/>
      <c r="CC47" s="38"/>
      <c r="CD47" s="38"/>
      <c r="CE47" s="38"/>
      <c r="CF47" s="38"/>
      <c r="CG47" s="38"/>
      <c r="CH47" s="38"/>
      <c r="CI47" s="38"/>
      <c r="CJ47" s="38"/>
      <c r="CK47" s="38"/>
      <c r="CL47" s="38"/>
      <c r="CM47" s="38"/>
      <c r="CN47" s="38"/>
      <c r="CO47" s="38"/>
      <c r="CP47" s="38"/>
      <c r="CQ47" s="38"/>
      <c r="CR47" s="38"/>
      <c r="CS47" s="38"/>
      <c r="CT47" s="38"/>
      <c r="CU47" s="38"/>
      <c r="CV47" s="38"/>
      <c r="CW47" s="38"/>
      <c r="CX47" s="38"/>
      <c r="CY47" s="38"/>
      <c r="CZ47" s="38"/>
      <c r="DA47" s="38"/>
      <c r="DB47" s="38"/>
      <c r="DC47" s="38"/>
      <c r="DD47" s="38"/>
      <c r="DE47" s="38"/>
      <c r="DF47" s="38"/>
      <c r="DG47" s="38"/>
      <c r="DH47" s="38"/>
      <c r="DI47" s="38"/>
      <c r="DJ47" s="38"/>
      <c r="DK47" s="38"/>
      <c r="DL47" s="38"/>
      <c r="DM47" s="38"/>
      <c r="DN47" s="38"/>
      <c r="DO47" s="38"/>
      <c r="DP47" s="38"/>
      <c r="DQ47" s="38"/>
      <c r="DR47" s="38"/>
      <c r="DS47" s="38"/>
      <c r="DT47" s="38"/>
    </row>
    <row r="48" spans="1:179" s="5" customFormat="1" ht="30" customHeight="1" x14ac:dyDescent="0.25">
      <c r="A48" s="484"/>
      <c r="B48" s="514" t="s">
        <v>543</v>
      </c>
      <c r="C48" s="665">
        <v>435579</v>
      </c>
      <c r="D48" s="666"/>
      <c r="E48" s="478" t="s">
        <v>44</v>
      </c>
      <c r="F48" s="667" t="s">
        <v>519</v>
      </c>
      <c r="G48" s="668" t="s">
        <v>717</v>
      </c>
      <c r="H48" s="669">
        <v>1988</v>
      </c>
      <c r="I48" s="671" t="s">
        <v>139</v>
      </c>
      <c r="J48" s="152" t="s">
        <v>44</v>
      </c>
      <c r="K48" s="583">
        <v>52.16</v>
      </c>
      <c r="L48" s="154">
        <v>60</v>
      </c>
      <c r="M48" s="154">
        <v>62</v>
      </c>
      <c r="N48" s="154">
        <v>64</v>
      </c>
      <c r="O48" s="601">
        <f t="shared" si="25"/>
        <v>64</v>
      </c>
      <c r="P48" s="118">
        <v>77</v>
      </c>
      <c r="Q48" s="118">
        <v>-79</v>
      </c>
      <c r="R48" s="118">
        <v>-80</v>
      </c>
      <c r="S48" s="601">
        <f t="shared" si="26"/>
        <v>77</v>
      </c>
      <c r="T48" s="608">
        <f t="shared" si="27"/>
        <v>141</v>
      </c>
      <c r="U48" s="612" t="str">
        <f t="shared" si="28"/>
        <v>NAT + 3</v>
      </c>
      <c r="V48" s="612" t="str">
        <f>IF(E48=0," ",IF(E48="H",IF(H48&lt;1999,VLOOKUP(K48,[3]Minimas!$A$15:$F$29,6),IF(AND(H48&gt;1998,H48&lt;2002),VLOOKUP(K48,[3]Minimas!$A$15:$F$29,5),IF(AND(H48&gt;2001,H48&lt;2004),VLOOKUP(K48,[3]Minimas!$A$15:$F$29,4),IF(AND(H48&gt;2003,H48&lt;2006),VLOOKUP(K48,[3]Minimas!$A$15:$F$29,3),VLOOKUP(K48,[3]Minimas!$A$15:$F$29,2))))),IF(H48&lt;1999,VLOOKUP(K48,[3]Minimas!$G$15:$L$29,6),IF(AND(H48&gt;1998,H48&lt;2002),VLOOKUP(K48,[3]Minimas!$G$15:$L$29,5),IF(AND(H48&gt;2001,H48&lt;2004),VLOOKUP(K48,[3]Minimas!$G$15:$L$29,4),IF(AND(H48&gt;2003,H48&lt;2006),VLOOKUP(K48,[3]Minimas!$G$15:$L$29,3),VLOOKUP(K48,[3]Minimas!$G$15:$L$29,2)))))))</f>
        <v>SE F55</v>
      </c>
      <c r="W48" s="614">
        <f t="shared" si="29"/>
        <v>209.75470806339524</v>
      </c>
      <c r="X48" s="257">
        <v>43625</v>
      </c>
      <c r="Y48" s="261" t="s">
        <v>886</v>
      </c>
      <c r="Z48" s="261" t="s">
        <v>887</v>
      </c>
      <c r="AA48" s="232"/>
      <c r="AB48" s="230">
        <f>T48-HLOOKUP(V48,[3]Minimas!$C$3:$CD$12,2,FALSE)</f>
        <v>81</v>
      </c>
      <c r="AC48" s="230">
        <f>T48-HLOOKUP(V48,[3]Minimas!$C$3:$CD$12,3,FALSE)</f>
        <v>66</v>
      </c>
      <c r="AD48" s="230">
        <f>T48-HLOOKUP(V48,[3]Minimas!$C$3:$CD$12,4,FALSE)</f>
        <v>54</v>
      </c>
      <c r="AE48" s="230">
        <f>T48-HLOOKUP(V48,[3]Minimas!$C$3:$CD$12,5,FALSE)</f>
        <v>39</v>
      </c>
      <c r="AF48" s="230">
        <f>T48-HLOOKUP(V48,[3]Minimas!$C$3:$CD$12,6,FALSE)</f>
        <v>18</v>
      </c>
      <c r="AG48" s="230">
        <f>T48-HLOOKUP(V48,[3]Minimas!$C$3:$CD$12,7,FALSE)</f>
        <v>3</v>
      </c>
      <c r="AH48" s="230">
        <f>T48-HLOOKUP(V48,[3]Minimas!$C$3:$CD$12,8,FALSE)</f>
        <v>-14</v>
      </c>
      <c r="AI48" s="230">
        <f>T48-HLOOKUP(V48,[3]Minimas!$C$3:$CD$12,9,FALSE)</f>
        <v>-34</v>
      </c>
      <c r="AJ48" s="230">
        <f>T48-HLOOKUP(V48,[3]Minimas!$C$3:$CD$12,10,FALSE)</f>
        <v>-49</v>
      </c>
      <c r="AK48" s="231" t="str">
        <f t="shared" si="30"/>
        <v>NAT +</v>
      </c>
      <c r="AL48" s="232"/>
      <c r="AM48" s="232" t="str">
        <f t="shared" si="31"/>
        <v>NAT +</v>
      </c>
      <c r="AN48" s="232">
        <f t="shared" si="32"/>
        <v>3</v>
      </c>
      <c r="AO48" s="485"/>
      <c r="AP48" s="485"/>
      <c r="AQ48" s="485"/>
      <c r="AR48" s="485"/>
      <c r="AS48" s="485"/>
      <c r="AT48" s="485"/>
      <c r="AU48" s="485"/>
      <c r="AV48" s="485"/>
      <c r="AW48" s="485"/>
      <c r="AX48" s="485"/>
      <c r="AY48" s="485"/>
      <c r="AZ48" s="485"/>
      <c r="BA48" s="485"/>
      <c r="BB48" s="485"/>
      <c r="BC48" s="485"/>
      <c r="BD48" s="485"/>
      <c r="BE48" s="485"/>
      <c r="BF48" s="485"/>
      <c r="BG48" s="485"/>
      <c r="BH48" s="485"/>
      <c r="BI48" s="485"/>
      <c r="BJ48" s="485"/>
      <c r="BK48" s="485"/>
      <c r="BL48" s="485"/>
      <c r="BM48" s="485"/>
      <c r="BN48" s="485"/>
      <c r="BO48" s="485"/>
      <c r="BP48" s="485"/>
      <c r="BQ48" s="485"/>
      <c r="BR48" s="485"/>
      <c r="BS48" s="485"/>
      <c r="BT48" s="485"/>
      <c r="BU48" s="485"/>
      <c r="BV48" s="485"/>
      <c r="BW48" s="485"/>
      <c r="BX48" s="485"/>
      <c r="BY48" s="485"/>
      <c r="BZ48" s="485"/>
      <c r="CA48" s="485"/>
      <c r="CB48" s="485"/>
      <c r="CC48" s="485"/>
      <c r="CD48" s="485"/>
      <c r="CE48" s="485"/>
      <c r="CF48" s="485"/>
      <c r="CG48" s="485"/>
      <c r="CH48" s="485"/>
      <c r="CI48" s="485"/>
      <c r="CJ48" s="485"/>
      <c r="CK48" s="485"/>
      <c r="CL48" s="485"/>
      <c r="CM48" s="485"/>
      <c r="CN48" s="485"/>
      <c r="CO48" s="485"/>
      <c r="CP48" s="485"/>
      <c r="CQ48" s="485"/>
      <c r="CR48" s="485"/>
      <c r="CS48" s="485"/>
      <c r="CT48" s="485"/>
      <c r="CU48" s="485"/>
      <c r="CV48" s="485"/>
      <c r="CW48" s="485"/>
      <c r="CX48" s="485"/>
      <c r="CY48" s="485"/>
      <c r="CZ48" s="485"/>
      <c r="DA48" s="485"/>
      <c r="DB48" s="485"/>
      <c r="DC48" s="485"/>
      <c r="DD48" s="485"/>
      <c r="DE48" s="485"/>
      <c r="DF48" s="485"/>
      <c r="DG48" s="485"/>
      <c r="DH48" s="485"/>
      <c r="DI48" s="485"/>
      <c r="DJ48" s="485"/>
      <c r="DK48" s="485"/>
      <c r="DL48" s="485"/>
      <c r="DM48" s="485"/>
      <c r="DN48" s="485"/>
      <c r="DO48" s="485"/>
      <c r="DP48" s="485"/>
      <c r="DQ48" s="485"/>
      <c r="DR48" s="485"/>
      <c r="DS48" s="485"/>
      <c r="DT48" s="485"/>
      <c r="DU48" s="484"/>
      <c r="DV48" s="484"/>
      <c r="DW48" s="484"/>
      <c r="DX48" s="484"/>
      <c r="DY48" s="484"/>
      <c r="DZ48" s="484"/>
      <c r="EA48" s="484"/>
      <c r="EB48" s="484"/>
      <c r="EC48" s="484"/>
      <c r="ED48" s="484"/>
      <c r="EE48" s="484"/>
      <c r="EF48" s="484"/>
      <c r="EG48" s="484"/>
      <c r="EH48" s="484"/>
      <c r="EI48" s="484"/>
      <c r="EJ48" s="484"/>
      <c r="EK48" s="484"/>
      <c r="EL48" s="484"/>
      <c r="EM48" s="484"/>
      <c r="EN48" s="484"/>
      <c r="EO48" s="484"/>
      <c r="EP48" s="484"/>
      <c r="EQ48" s="484"/>
      <c r="ER48" s="484"/>
      <c r="ES48" s="484"/>
      <c r="ET48" s="484"/>
      <c r="EU48" s="484"/>
      <c r="EV48" s="484"/>
      <c r="EW48" s="484"/>
      <c r="EX48" s="484"/>
      <c r="EY48" s="484"/>
      <c r="EZ48" s="484"/>
      <c r="FA48" s="484"/>
      <c r="FB48" s="484"/>
      <c r="FC48" s="484"/>
      <c r="FD48" s="484"/>
      <c r="FE48" s="484"/>
      <c r="FF48" s="484"/>
      <c r="FG48" s="484"/>
      <c r="FH48" s="484"/>
      <c r="FI48" s="484"/>
      <c r="FJ48" s="484"/>
      <c r="FK48" s="484"/>
      <c r="FL48" s="484"/>
      <c r="FM48" s="484"/>
      <c r="FN48" s="484"/>
      <c r="FO48" s="484"/>
      <c r="FP48" s="484"/>
      <c r="FQ48" s="484"/>
      <c r="FR48" s="484"/>
      <c r="FS48" s="484"/>
      <c r="FT48" s="484"/>
      <c r="FU48" s="484"/>
      <c r="FV48" s="484"/>
      <c r="FW48" s="484"/>
    </row>
    <row r="49" spans="1:179" s="5" customFormat="1" ht="30" customHeight="1" x14ac:dyDescent="0.25">
      <c r="A49" s="484"/>
      <c r="B49" s="514" t="s">
        <v>543</v>
      </c>
      <c r="C49" s="516">
        <v>420305</v>
      </c>
      <c r="D49" s="531"/>
      <c r="E49" s="476" t="s">
        <v>44</v>
      </c>
      <c r="F49" s="217" t="s">
        <v>656</v>
      </c>
      <c r="G49" s="144" t="s">
        <v>202</v>
      </c>
      <c r="H49" s="218">
        <v>1991</v>
      </c>
      <c r="I49" s="169" t="s">
        <v>129</v>
      </c>
      <c r="J49" s="168" t="s">
        <v>44</v>
      </c>
      <c r="K49" s="579">
        <v>51.73</v>
      </c>
      <c r="L49" s="118">
        <v>-55</v>
      </c>
      <c r="M49" s="118">
        <v>56</v>
      </c>
      <c r="N49" s="118">
        <v>-59</v>
      </c>
      <c r="O49" s="604">
        <f t="shared" si="25"/>
        <v>56</v>
      </c>
      <c r="P49" s="118">
        <v>72</v>
      </c>
      <c r="Q49" s="118">
        <v>-76</v>
      </c>
      <c r="R49" s="118">
        <v>78</v>
      </c>
      <c r="S49" s="601">
        <f t="shared" si="26"/>
        <v>78</v>
      </c>
      <c r="T49" s="608">
        <f t="shared" si="27"/>
        <v>134</v>
      </c>
      <c r="U49" s="612" t="str">
        <f t="shared" si="28"/>
        <v>FED + 11</v>
      </c>
      <c r="V49" s="612" t="str">
        <f>IF(E49=0," ",IF(E49="H",IF(H49&lt;1999,VLOOKUP(K49,[9]Minimas!$A$15:$F$29,6),IF(AND(H49&gt;1998,H49&lt;2002),VLOOKUP(K49,[9]Minimas!$A$15:$F$29,5),IF(AND(H49&gt;2001,H49&lt;2004),VLOOKUP(K49,[9]Minimas!$A$15:$F$29,4),IF(AND(H49&gt;2003,H49&lt;2006),VLOOKUP(K49,[9]Minimas!$A$15:$F$29,3),VLOOKUP(K49,[9]Minimas!$A$15:$F$29,2))))),IF(H49&lt;1999,VLOOKUP(K49,[9]Minimas!$G$15:$L$29,6),IF(AND(H49&gt;1998,H49&lt;2002),VLOOKUP(K49,[9]Minimas!$G$15:$L$29,5),IF(AND(H49&gt;2001,H49&lt;2004),VLOOKUP(K49,[9]Minimas!$G$15:$L$29,4),IF(AND(H49&gt;2003,H49&lt;2006),VLOOKUP(K49,[9]Minimas!$G$15:$L$29,3),VLOOKUP(K49,[9]Minimas!$G$15:$L$29,2)))))))</f>
        <v>SE F55</v>
      </c>
      <c r="W49" s="614">
        <f t="shared" si="29"/>
        <v>200.56300327371991</v>
      </c>
      <c r="X49" s="257">
        <v>43561</v>
      </c>
      <c r="Y49" s="261" t="s">
        <v>846</v>
      </c>
      <c r="Z49" s="261" t="s">
        <v>806</v>
      </c>
      <c r="AA49" s="232"/>
      <c r="AB49" s="230">
        <f>T49-HLOOKUP(V49,[9]Minimas!$C$3:$CD$12,2,FALSE)</f>
        <v>74</v>
      </c>
      <c r="AC49" s="230">
        <f>T49-HLOOKUP(V49,[9]Minimas!$C$3:$CD$12,3,FALSE)</f>
        <v>59</v>
      </c>
      <c r="AD49" s="230">
        <f>T49-HLOOKUP(V49,[9]Minimas!$C$3:$CD$12,4,FALSE)</f>
        <v>47</v>
      </c>
      <c r="AE49" s="230">
        <f>T49-HLOOKUP(V49,[9]Minimas!$C$3:$CD$12,5,FALSE)</f>
        <v>32</v>
      </c>
      <c r="AF49" s="230">
        <f>T49-HLOOKUP(V49,[9]Minimas!$C$3:$CD$12,6,FALSE)</f>
        <v>11</v>
      </c>
      <c r="AG49" s="230">
        <f>T49-HLOOKUP(V49,[9]Minimas!$C$3:$CD$12,7,FALSE)</f>
        <v>-4</v>
      </c>
      <c r="AH49" s="230">
        <f>T49-HLOOKUP(V49,[9]Minimas!$C$3:$CD$12,8,FALSE)</f>
        <v>-21</v>
      </c>
      <c r="AI49" s="230">
        <f>T49-HLOOKUP(V49,[9]Minimas!$C$3:$CD$12,9,FALSE)</f>
        <v>-41</v>
      </c>
      <c r="AJ49" s="230">
        <f>T49-HLOOKUP(V49,[9]Minimas!$C$3:$CD$12,10,FALSE)</f>
        <v>-56</v>
      </c>
      <c r="AK49" s="231" t="str">
        <f t="shared" si="30"/>
        <v>FED +</v>
      </c>
      <c r="AL49" s="232"/>
      <c r="AM49" s="232" t="str">
        <f t="shared" si="31"/>
        <v>FED +</v>
      </c>
      <c r="AN49" s="232">
        <f t="shared" si="32"/>
        <v>11</v>
      </c>
      <c r="AO49" s="485"/>
      <c r="AP49" s="485"/>
      <c r="AQ49" s="485"/>
      <c r="AR49" s="485"/>
      <c r="AS49" s="485"/>
      <c r="AT49" s="485"/>
      <c r="AU49" s="485"/>
      <c r="AV49" s="485"/>
      <c r="AW49" s="485"/>
      <c r="AX49" s="485"/>
      <c r="AY49" s="485"/>
      <c r="AZ49" s="485"/>
      <c r="BA49" s="485"/>
      <c r="BB49" s="485"/>
      <c r="BC49" s="485"/>
      <c r="BD49" s="485"/>
      <c r="BE49" s="485"/>
      <c r="BF49" s="485"/>
      <c r="BG49" s="485"/>
      <c r="BH49" s="485"/>
      <c r="BI49" s="485"/>
      <c r="BJ49" s="485"/>
      <c r="BK49" s="485"/>
      <c r="BL49" s="485"/>
      <c r="BM49" s="485"/>
      <c r="BN49" s="485"/>
      <c r="BO49" s="485"/>
      <c r="BP49" s="485"/>
      <c r="BQ49" s="485"/>
      <c r="BR49" s="485"/>
      <c r="BS49" s="485"/>
      <c r="BT49" s="485"/>
      <c r="BU49" s="485"/>
      <c r="BV49" s="485"/>
      <c r="BW49" s="485"/>
      <c r="BX49" s="485"/>
      <c r="BY49" s="485"/>
      <c r="BZ49" s="485"/>
      <c r="CA49" s="485"/>
      <c r="CB49" s="485"/>
      <c r="CC49" s="485"/>
      <c r="CD49" s="485"/>
      <c r="CE49" s="485"/>
      <c r="CF49" s="485"/>
      <c r="CG49" s="485"/>
      <c r="CH49" s="485"/>
      <c r="CI49" s="485"/>
      <c r="CJ49" s="485"/>
      <c r="CK49" s="485"/>
      <c r="CL49" s="485"/>
      <c r="CM49" s="485"/>
      <c r="CN49" s="485"/>
      <c r="CO49" s="485"/>
      <c r="CP49" s="485"/>
      <c r="CQ49" s="485"/>
      <c r="CR49" s="485"/>
      <c r="CS49" s="485"/>
      <c r="CT49" s="485"/>
      <c r="CU49" s="485"/>
      <c r="CV49" s="485"/>
      <c r="CW49" s="485"/>
      <c r="CX49" s="485"/>
      <c r="CY49" s="485"/>
      <c r="CZ49" s="485"/>
      <c r="DA49" s="485"/>
      <c r="DB49" s="485"/>
      <c r="DC49" s="485"/>
      <c r="DD49" s="485"/>
      <c r="DE49" s="485"/>
      <c r="DF49" s="485"/>
      <c r="DG49" s="485"/>
      <c r="DH49" s="485"/>
      <c r="DI49" s="485"/>
      <c r="DJ49" s="485"/>
      <c r="DK49" s="485"/>
      <c r="DL49" s="485"/>
      <c r="DM49" s="485"/>
      <c r="DN49" s="485"/>
      <c r="DO49" s="485"/>
      <c r="DP49" s="485"/>
      <c r="DQ49" s="485"/>
      <c r="DR49" s="485"/>
      <c r="DS49" s="485"/>
      <c r="DT49" s="485"/>
      <c r="DU49" s="484"/>
      <c r="DV49" s="484"/>
      <c r="DW49" s="484"/>
      <c r="DX49" s="484"/>
      <c r="DY49" s="484"/>
      <c r="DZ49" s="484"/>
      <c r="EA49" s="484"/>
      <c r="EB49" s="484"/>
      <c r="EC49" s="484"/>
      <c r="ED49" s="484"/>
      <c r="EE49" s="484"/>
      <c r="EF49" s="484"/>
      <c r="EG49" s="484"/>
      <c r="EH49" s="484"/>
      <c r="EI49" s="484"/>
      <c r="EJ49" s="484"/>
      <c r="EK49" s="484"/>
      <c r="EL49" s="484"/>
      <c r="EM49" s="484"/>
      <c r="EN49" s="484"/>
      <c r="EO49" s="484"/>
      <c r="EP49" s="484"/>
      <c r="EQ49" s="484"/>
      <c r="ER49" s="484"/>
      <c r="ES49" s="484"/>
      <c r="ET49" s="484"/>
      <c r="EU49" s="484"/>
      <c r="EV49" s="484"/>
      <c r="EW49" s="484"/>
      <c r="EX49" s="484"/>
      <c r="EY49" s="484"/>
      <c r="EZ49" s="484"/>
      <c r="FA49" s="484"/>
      <c r="FB49" s="484"/>
      <c r="FC49" s="484"/>
      <c r="FD49" s="484"/>
      <c r="FE49" s="484"/>
      <c r="FF49" s="484"/>
      <c r="FG49" s="484"/>
      <c r="FH49" s="484"/>
      <c r="FI49" s="484"/>
      <c r="FJ49" s="484"/>
      <c r="FK49" s="484"/>
      <c r="FL49" s="484"/>
      <c r="FM49" s="484"/>
      <c r="FN49" s="484"/>
      <c r="FO49" s="484"/>
      <c r="FP49" s="484"/>
      <c r="FQ49" s="484"/>
      <c r="FR49" s="484"/>
      <c r="FS49" s="484"/>
      <c r="FT49" s="484"/>
      <c r="FU49" s="484"/>
      <c r="FV49" s="484"/>
      <c r="FW49" s="484"/>
    </row>
    <row r="50" spans="1:179" s="5" customFormat="1" ht="30" customHeight="1" x14ac:dyDescent="0.3">
      <c r="B50" s="517" t="s">
        <v>543</v>
      </c>
      <c r="C50" s="525">
        <v>432757</v>
      </c>
      <c r="D50" s="536"/>
      <c r="E50" s="534" t="s">
        <v>44</v>
      </c>
      <c r="F50" s="549" t="s">
        <v>157</v>
      </c>
      <c r="G50" s="556" t="s">
        <v>158</v>
      </c>
      <c r="H50" s="560">
        <v>1991</v>
      </c>
      <c r="I50" s="572" t="s">
        <v>155</v>
      </c>
      <c r="J50" s="493" t="s">
        <v>44</v>
      </c>
      <c r="K50" s="584">
        <v>52.3</v>
      </c>
      <c r="L50" s="300">
        <v>48</v>
      </c>
      <c r="M50" s="301">
        <v>51</v>
      </c>
      <c r="N50" s="301">
        <v>54</v>
      </c>
      <c r="O50" s="490">
        <f t="shared" si="25"/>
        <v>54</v>
      </c>
      <c r="P50" s="300">
        <v>60</v>
      </c>
      <c r="Q50" s="301">
        <v>64</v>
      </c>
      <c r="R50" s="301">
        <v>67</v>
      </c>
      <c r="S50" s="490">
        <f t="shared" si="26"/>
        <v>67</v>
      </c>
      <c r="T50" s="489">
        <f t="shared" si="27"/>
        <v>121</v>
      </c>
      <c r="U50" s="48" t="str">
        <f t="shared" si="28"/>
        <v>IRG + 19</v>
      </c>
      <c r="V50" s="48" t="str">
        <f>IF(E50=0," ",IF(E50="H",IF(H50&lt;1999,VLOOKUP(K50,Minimas!$A$15:$F$29,6),IF(AND(H50&gt;1998,H50&lt;2002),VLOOKUP(K50,Minimas!$A$15:$F$29,5),IF(AND(H50&gt;2001,H50&lt;2004),VLOOKUP(K50,Minimas!$A$15:$F$29,4),IF(AND(H50&gt;2003,H50&lt;2006),VLOOKUP(K50,Minimas!$A$15:$F$29,3),VLOOKUP(K50,Minimas!$A$15:$F$29,2))))),IF(H50&lt;1999,VLOOKUP(K50,Minimas!$G$15:$L$29,6),IF(AND(H50&gt;1998,H50&lt;2002),VLOOKUP(K50,Minimas!$G$15:$L$29,5),IF(AND(H50&gt;2001,H50&lt;2004),VLOOKUP(K50,Minimas!$G$15:$L$29,4),IF(AND(H50&gt;2003,H50&lt;2006),VLOOKUP(K50,Minimas!$G$15:$L$29,3),VLOOKUP(K50,Minimas!$G$15:$L$29,2)))))))</f>
        <v>SE F55</v>
      </c>
      <c r="W50" s="49">
        <f t="shared" si="29"/>
        <v>179.64830747462798</v>
      </c>
      <c r="X50" s="184">
        <v>43401</v>
      </c>
      <c r="Y50" s="186" t="s">
        <v>505</v>
      </c>
      <c r="Z50" s="278" t="s">
        <v>506</v>
      </c>
      <c r="AA50" s="232"/>
      <c r="AB50" s="230">
        <f>T50-HLOOKUP(V50,Minimas!$C$3:$CD$12,2,FALSE)</f>
        <v>61</v>
      </c>
      <c r="AC50" s="230">
        <f>T50-HLOOKUP(V50,Minimas!$C$3:$CD$12,3,FALSE)</f>
        <v>46</v>
      </c>
      <c r="AD50" s="230">
        <f>T50-HLOOKUP(V50,Minimas!$C$3:$CD$12,4,FALSE)</f>
        <v>34</v>
      </c>
      <c r="AE50" s="230">
        <f>T50-HLOOKUP(V50,Minimas!$C$3:$CD$12,5,FALSE)</f>
        <v>19</v>
      </c>
      <c r="AF50" s="230">
        <f>T50-HLOOKUP(V50,Minimas!$C$3:$CD$12,6,FALSE)</f>
        <v>-2</v>
      </c>
      <c r="AG50" s="230">
        <f>T50-HLOOKUP(V50,Minimas!$C$3:$CD$12,7,FALSE)</f>
        <v>-17</v>
      </c>
      <c r="AH50" s="230">
        <f>T50-HLOOKUP(V50,Minimas!$C$3:$CD$12,8,FALSE)</f>
        <v>-34</v>
      </c>
      <c r="AI50" s="230">
        <f>T50-HLOOKUP(V50,Minimas!$C$3:$CD$12,9,FALSE)</f>
        <v>-54</v>
      </c>
      <c r="AJ50" s="230">
        <f>T50-HLOOKUP(V50,Minimas!$C$3:$CD$12,10,FALSE)</f>
        <v>-69</v>
      </c>
      <c r="AK50" s="231" t="str">
        <f t="shared" si="30"/>
        <v>IRG +</v>
      </c>
      <c r="AL50" s="232"/>
      <c r="AM50" s="232" t="str">
        <f t="shared" si="31"/>
        <v>IRG +</v>
      </c>
      <c r="AN50" s="232">
        <f t="shared" si="32"/>
        <v>19</v>
      </c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8"/>
      <c r="BX50" s="38"/>
      <c r="BY50" s="38"/>
      <c r="BZ50" s="38"/>
      <c r="CA50" s="38"/>
      <c r="CB50" s="38"/>
      <c r="CC50" s="38"/>
      <c r="CD50" s="38"/>
      <c r="CE50" s="38"/>
      <c r="CF50" s="38"/>
      <c r="CG50" s="38"/>
      <c r="CH50" s="38"/>
      <c r="CI50" s="38"/>
      <c r="CJ50" s="38"/>
      <c r="CK50" s="38"/>
      <c r="CL50" s="38"/>
      <c r="CM50" s="38"/>
      <c r="CN50" s="38"/>
      <c r="CO50" s="38"/>
      <c r="CP50" s="38"/>
      <c r="CQ50" s="38"/>
      <c r="CR50" s="38"/>
      <c r="CS50" s="38"/>
      <c r="CT50" s="38"/>
      <c r="CU50" s="38"/>
      <c r="CV50" s="38"/>
      <c r="CW50" s="38"/>
      <c r="CX50" s="38"/>
      <c r="CY50" s="38"/>
      <c r="CZ50" s="38"/>
      <c r="DA50" s="38"/>
      <c r="DB50" s="38"/>
      <c r="DC50" s="38"/>
      <c r="DD50" s="38"/>
      <c r="DE50" s="38"/>
      <c r="DF50" s="38"/>
      <c r="DG50" s="38"/>
      <c r="DH50" s="38"/>
      <c r="DI50" s="38"/>
      <c r="DJ50" s="38"/>
      <c r="DK50" s="38"/>
      <c r="DL50" s="38"/>
      <c r="DM50" s="38"/>
      <c r="DN50" s="38"/>
      <c r="DO50" s="38"/>
      <c r="DP50" s="38"/>
      <c r="DQ50" s="38"/>
      <c r="DR50" s="38"/>
      <c r="DS50" s="38"/>
      <c r="DT50" s="38"/>
    </row>
    <row r="51" spans="1:179" s="5" customFormat="1" ht="30" customHeight="1" x14ac:dyDescent="0.3">
      <c r="B51" s="517" t="s">
        <v>543</v>
      </c>
      <c r="C51" s="525">
        <v>429564</v>
      </c>
      <c r="D51" s="532"/>
      <c r="E51" s="406" t="s">
        <v>44</v>
      </c>
      <c r="F51" s="414" t="s">
        <v>567</v>
      </c>
      <c r="G51" s="415" t="s">
        <v>584</v>
      </c>
      <c r="H51" s="417">
        <v>1989</v>
      </c>
      <c r="I51" s="425" t="s">
        <v>563</v>
      </c>
      <c r="J51" s="379"/>
      <c r="K51" s="581">
        <v>52.15</v>
      </c>
      <c r="L51" s="456">
        <v>48</v>
      </c>
      <c r="M51" s="457">
        <v>50</v>
      </c>
      <c r="N51" s="457">
        <v>53</v>
      </c>
      <c r="O51" s="490">
        <f t="shared" si="25"/>
        <v>53</v>
      </c>
      <c r="P51" s="456">
        <v>58</v>
      </c>
      <c r="Q51" s="457">
        <v>61</v>
      </c>
      <c r="R51" s="457">
        <v>65</v>
      </c>
      <c r="S51" s="490">
        <f t="shared" si="26"/>
        <v>65</v>
      </c>
      <c r="T51" s="489">
        <f t="shared" si="27"/>
        <v>118</v>
      </c>
      <c r="U51" s="48" t="str">
        <f t="shared" si="28"/>
        <v>IRG + 16</v>
      </c>
      <c r="V51" s="48" t="str">
        <f>IF(E51=0," ",IF(E51="H",IF(H51&lt;1999,VLOOKUP(K51,Minimas!$A$15:$F$29,6),IF(AND(H51&gt;1998,H51&lt;2002),VLOOKUP(K51,Minimas!$A$15:$F$29,5),IF(AND(H51&gt;2001,H51&lt;2004),VLOOKUP(K51,Minimas!$A$15:$F$29,4),IF(AND(H51&gt;2003,H51&lt;2006),VLOOKUP(K51,Minimas!$A$15:$F$29,3),VLOOKUP(K51,Minimas!$A$15:$F$29,2))))),IF(H51&lt;1999,VLOOKUP(K51,Minimas!$G$15:$L$29,6),IF(AND(H51&gt;1998,H51&lt;2002),VLOOKUP(K51,Minimas!$G$15:$L$29,5),IF(AND(H51&gt;2001,H51&lt;2004),VLOOKUP(K51,Minimas!$G$15:$L$29,4),IF(AND(H51&gt;2003,H51&lt;2006),VLOOKUP(K51,Minimas!$G$15:$L$29,3),VLOOKUP(K51,Minimas!$G$15:$L$29,2)))))))</f>
        <v>SE F55</v>
      </c>
      <c r="W51" s="49">
        <f t="shared" si="29"/>
        <v>175.56415145318488</v>
      </c>
      <c r="X51" s="257">
        <v>43484</v>
      </c>
      <c r="Y51" s="261" t="s">
        <v>580</v>
      </c>
      <c r="Z51" s="261" t="s">
        <v>581</v>
      </c>
      <c r="AA51" s="232"/>
      <c r="AB51" s="230">
        <f>T51-HLOOKUP(V51,Minimas!$C$3:$CD$12,2,FALSE)</f>
        <v>58</v>
      </c>
      <c r="AC51" s="230">
        <f>T51-HLOOKUP(V51,Minimas!$C$3:$CD$12,3,FALSE)</f>
        <v>43</v>
      </c>
      <c r="AD51" s="230">
        <f>T51-HLOOKUP(V51,Minimas!$C$3:$CD$12,4,FALSE)</f>
        <v>31</v>
      </c>
      <c r="AE51" s="230">
        <f>T51-HLOOKUP(V51,Minimas!$C$3:$CD$12,5,FALSE)</f>
        <v>16</v>
      </c>
      <c r="AF51" s="230">
        <f>T51-HLOOKUP(V51,Minimas!$C$3:$CD$12,6,FALSE)</f>
        <v>-5</v>
      </c>
      <c r="AG51" s="230">
        <f>T51-HLOOKUP(V51,Minimas!$C$3:$CD$12,7,FALSE)</f>
        <v>-20</v>
      </c>
      <c r="AH51" s="230">
        <f>T51-HLOOKUP(V51,Minimas!$C$3:$CD$12,8,FALSE)</f>
        <v>-37</v>
      </c>
      <c r="AI51" s="230">
        <f>T51-HLOOKUP(V51,Minimas!$C$3:$CD$12,9,FALSE)</f>
        <v>-57</v>
      </c>
      <c r="AJ51" s="230">
        <f>T51-HLOOKUP(V51,Minimas!$C$3:$CD$12,10,FALSE)</f>
        <v>-72</v>
      </c>
      <c r="AK51" s="231" t="str">
        <f t="shared" si="30"/>
        <v>IRG +</v>
      </c>
      <c r="AL51" s="232"/>
      <c r="AM51" s="232" t="str">
        <f t="shared" si="31"/>
        <v>IRG +</v>
      </c>
      <c r="AN51" s="232">
        <f t="shared" si="32"/>
        <v>16</v>
      </c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  <c r="BF51" s="38"/>
      <c r="BG51" s="38"/>
      <c r="BH51" s="38"/>
      <c r="BI51" s="38"/>
      <c r="BJ51" s="38"/>
      <c r="BK51" s="38"/>
      <c r="BL51" s="38"/>
      <c r="BM51" s="38"/>
      <c r="BN51" s="38"/>
      <c r="BO51" s="38"/>
      <c r="BP51" s="38"/>
      <c r="BQ51" s="38"/>
      <c r="BR51" s="38"/>
      <c r="BS51" s="38"/>
      <c r="BT51" s="38"/>
      <c r="BU51" s="38"/>
      <c r="BV51" s="38"/>
      <c r="BW51" s="38"/>
      <c r="BX51" s="38"/>
      <c r="BY51" s="38"/>
      <c r="BZ51" s="38"/>
      <c r="CA51" s="38"/>
      <c r="CB51" s="38"/>
      <c r="CC51" s="38"/>
      <c r="CD51" s="38"/>
      <c r="CE51" s="38"/>
      <c r="CF51" s="38"/>
      <c r="CG51" s="38"/>
      <c r="CH51" s="38"/>
      <c r="CI51" s="38"/>
      <c r="CJ51" s="38"/>
      <c r="CK51" s="38"/>
      <c r="CL51" s="38"/>
      <c r="CM51" s="38"/>
      <c r="CN51" s="38"/>
      <c r="CO51" s="38"/>
      <c r="CP51" s="38"/>
      <c r="CQ51" s="38"/>
      <c r="CR51" s="38"/>
      <c r="CS51" s="38"/>
      <c r="CT51" s="38"/>
      <c r="CU51" s="38"/>
      <c r="CV51" s="38"/>
      <c r="CW51" s="38"/>
      <c r="CX51" s="38"/>
      <c r="CY51" s="38"/>
      <c r="CZ51" s="38"/>
      <c r="DA51" s="38"/>
      <c r="DB51" s="38"/>
      <c r="DC51" s="38"/>
      <c r="DD51" s="38"/>
      <c r="DE51" s="38"/>
      <c r="DF51" s="38"/>
      <c r="DG51" s="38"/>
      <c r="DH51" s="38"/>
      <c r="DI51" s="38"/>
      <c r="DJ51" s="38"/>
      <c r="DK51" s="38"/>
      <c r="DL51" s="38"/>
      <c r="DM51" s="38"/>
      <c r="DN51" s="38"/>
      <c r="DO51" s="38"/>
      <c r="DP51" s="38"/>
      <c r="DQ51" s="38"/>
      <c r="DR51" s="38"/>
      <c r="DS51" s="38"/>
      <c r="DT51" s="38"/>
    </row>
    <row r="52" spans="1:179" s="5" customFormat="1" ht="30" customHeight="1" x14ac:dyDescent="0.25">
      <c r="A52" s="484"/>
      <c r="B52" s="523" t="s">
        <v>543</v>
      </c>
      <c r="C52" s="474">
        <v>432964</v>
      </c>
      <c r="D52" s="542"/>
      <c r="E52" s="315" t="s">
        <v>44</v>
      </c>
      <c r="F52" s="328" t="s">
        <v>149</v>
      </c>
      <c r="G52" s="291" t="s">
        <v>150</v>
      </c>
      <c r="H52" s="559">
        <v>1970</v>
      </c>
      <c r="I52" s="571" t="s">
        <v>129</v>
      </c>
      <c r="J52" s="497" t="s">
        <v>44</v>
      </c>
      <c r="K52" s="673">
        <v>53.77</v>
      </c>
      <c r="L52" s="295">
        <v>46</v>
      </c>
      <c r="M52" s="296">
        <v>50</v>
      </c>
      <c r="N52" s="296">
        <v>53</v>
      </c>
      <c r="O52" s="363">
        <f t="shared" si="25"/>
        <v>53</v>
      </c>
      <c r="P52" s="295">
        <v>60</v>
      </c>
      <c r="Q52" s="296">
        <v>65</v>
      </c>
      <c r="R52" s="296">
        <v>-70</v>
      </c>
      <c r="S52" s="363">
        <f t="shared" si="26"/>
        <v>65</v>
      </c>
      <c r="T52" s="364">
        <f t="shared" si="27"/>
        <v>118</v>
      </c>
      <c r="U52" s="360" t="str">
        <f t="shared" si="28"/>
        <v>IRG + 16</v>
      </c>
      <c r="V52" s="360" t="str">
        <f>IF(E52=0," ",IF(E52="H",IF(H52&lt;1999,VLOOKUP(K52,[9]Minimas!$A$15:$F$29,6),IF(AND(H52&gt;1998,H52&lt;2002),VLOOKUP(K52,[9]Minimas!$A$15:$F$29,5),IF(AND(H52&gt;2001,H52&lt;2004),VLOOKUP(K52,[9]Minimas!$A$15:$F$29,4),IF(AND(H52&gt;2003,H52&lt;2006),VLOOKUP(K52,[9]Minimas!$A$15:$F$29,3),VLOOKUP(K52,[9]Minimas!$A$15:$F$29,2))))),IF(H52&lt;1999,VLOOKUP(K52,[9]Minimas!$G$15:$L$29,6),IF(AND(H52&gt;1998,H52&lt;2002),VLOOKUP(K52,[9]Minimas!$G$15:$L$29,5),IF(AND(H52&gt;2001,H52&lt;2004),VLOOKUP(K52,[9]Minimas!$G$15:$L$29,4),IF(AND(H52&gt;2003,H52&lt;2006),VLOOKUP(K52,[9]Minimas!$G$15:$L$29,3),VLOOKUP(K52,[9]Minimas!$G$15:$L$29,2)))))))</f>
        <v>SE F55</v>
      </c>
      <c r="W52" s="366">
        <f t="shared" si="29"/>
        <v>171.71336450452091</v>
      </c>
      <c r="X52" s="257">
        <v>43561</v>
      </c>
      <c r="Y52" s="261" t="s">
        <v>846</v>
      </c>
      <c r="Z52" s="261" t="s">
        <v>806</v>
      </c>
      <c r="AA52" s="232"/>
      <c r="AB52" s="230">
        <f>T52-HLOOKUP(V52,[9]Minimas!$C$3:$CD$12,2,FALSE)</f>
        <v>58</v>
      </c>
      <c r="AC52" s="230">
        <f>T52-HLOOKUP(V52,[9]Minimas!$C$3:$CD$12,3,FALSE)</f>
        <v>43</v>
      </c>
      <c r="AD52" s="230">
        <f>T52-HLOOKUP(V52,[9]Minimas!$C$3:$CD$12,4,FALSE)</f>
        <v>31</v>
      </c>
      <c r="AE52" s="230">
        <f>T52-HLOOKUP(V52,[9]Minimas!$C$3:$CD$12,5,FALSE)</f>
        <v>16</v>
      </c>
      <c r="AF52" s="230">
        <f>T52-HLOOKUP(V52,[9]Minimas!$C$3:$CD$12,6,FALSE)</f>
        <v>-5</v>
      </c>
      <c r="AG52" s="230">
        <f>T52-HLOOKUP(V52,[9]Minimas!$C$3:$CD$12,7,FALSE)</f>
        <v>-20</v>
      </c>
      <c r="AH52" s="230">
        <f>T52-HLOOKUP(V52,[9]Minimas!$C$3:$CD$12,8,FALSE)</f>
        <v>-37</v>
      </c>
      <c r="AI52" s="230">
        <f>T52-HLOOKUP(V52,[9]Minimas!$C$3:$CD$12,9,FALSE)</f>
        <v>-57</v>
      </c>
      <c r="AJ52" s="230">
        <f>T52-HLOOKUP(V52,[9]Minimas!$C$3:$CD$12,10,FALSE)</f>
        <v>-72</v>
      </c>
      <c r="AK52" s="231" t="str">
        <f t="shared" si="30"/>
        <v>IRG +</v>
      </c>
      <c r="AL52" s="232"/>
      <c r="AM52" s="232" t="str">
        <f t="shared" si="31"/>
        <v>IRG +</v>
      </c>
      <c r="AN52" s="232">
        <f t="shared" si="32"/>
        <v>16</v>
      </c>
      <c r="AO52" s="485"/>
      <c r="AP52" s="485"/>
      <c r="AQ52" s="485"/>
      <c r="AR52" s="485"/>
      <c r="AS52" s="485"/>
      <c r="AT52" s="485"/>
      <c r="AU52" s="485"/>
      <c r="AV52" s="485"/>
      <c r="AW52" s="485"/>
      <c r="AX52" s="485"/>
      <c r="AY52" s="485"/>
      <c r="AZ52" s="485"/>
      <c r="BA52" s="485"/>
      <c r="BB52" s="485"/>
      <c r="BC52" s="485"/>
      <c r="BD52" s="485"/>
      <c r="BE52" s="485"/>
      <c r="BF52" s="485"/>
      <c r="BG52" s="485"/>
      <c r="BH52" s="485"/>
      <c r="BI52" s="485"/>
      <c r="BJ52" s="485"/>
      <c r="BK52" s="485"/>
      <c r="BL52" s="485"/>
      <c r="BM52" s="485"/>
      <c r="BN52" s="485"/>
      <c r="BO52" s="485"/>
      <c r="BP52" s="485"/>
      <c r="BQ52" s="485"/>
      <c r="BR52" s="485"/>
      <c r="BS52" s="485"/>
      <c r="BT52" s="485"/>
      <c r="BU52" s="485"/>
      <c r="BV52" s="485"/>
      <c r="BW52" s="485"/>
      <c r="BX52" s="485"/>
      <c r="BY52" s="485"/>
      <c r="BZ52" s="485"/>
      <c r="CA52" s="485"/>
      <c r="CB52" s="485"/>
      <c r="CC52" s="485"/>
      <c r="CD52" s="485"/>
      <c r="CE52" s="485"/>
      <c r="CF52" s="485"/>
      <c r="CG52" s="485"/>
      <c r="CH52" s="485"/>
      <c r="CI52" s="485"/>
      <c r="CJ52" s="485"/>
      <c r="CK52" s="485"/>
      <c r="CL52" s="485"/>
      <c r="CM52" s="485"/>
      <c r="CN52" s="485"/>
      <c r="CO52" s="485"/>
      <c r="CP52" s="485"/>
      <c r="CQ52" s="485"/>
      <c r="CR52" s="485"/>
      <c r="CS52" s="485"/>
      <c r="CT52" s="485"/>
      <c r="CU52" s="485"/>
      <c r="CV52" s="485"/>
      <c r="CW52" s="485"/>
      <c r="CX52" s="485"/>
      <c r="CY52" s="485"/>
      <c r="CZ52" s="485"/>
      <c r="DA52" s="485"/>
      <c r="DB52" s="485"/>
      <c r="DC52" s="485"/>
      <c r="DD52" s="485"/>
      <c r="DE52" s="485"/>
      <c r="DF52" s="485"/>
      <c r="DG52" s="485"/>
      <c r="DH52" s="485"/>
      <c r="DI52" s="485"/>
      <c r="DJ52" s="485"/>
      <c r="DK52" s="485"/>
      <c r="DL52" s="485"/>
      <c r="DM52" s="485"/>
      <c r="DN52" s="485"/>
      <c r="DO52" s="485"/>
      <c r="DP52" s="485"/>
      <c r="DQ52" s="485"/>
      <c r="DR52" s="485"/>
      <c r="DS52" s="485"/>
      <c r="DT52" s="485"/>
      <c r="DU52" s="484"/>
      <c r="DV52" s="484"/>
      <c r="DW52" s="484"/>
      <c r="DX52" s="484"/>
      <c r="DY52" s="484"/>
      <c r="DZ52" s="484"/>
      <c r="EA52" s="484"/>
      <c r="EB52" s="484"/>
      <c r="EC52" s="484"/>
      <c r="ED52" s="484"/>
      <c r="EE52" s="484"/>
      <c r="EF52" s="484"/>
      <c r="EG52" s="484"/>
      <c r="EH52" s="484"/>
      <c r="EI52" s="484"/>
      <c r="EJ52" s="484"/>
      <c r="EK52" s="484"/>
      <c r="EL52" s="484"/>
      <c r="EM52" s="484"/>
      <c r="EN52" s="484"/>
      <c r="EO52" s="484"/>
      <c r="EP52" s="484"/>
      <c r="EQ52" s="484"/>
      <c r="ER52" s="484"/>
      <c r="ES52" s="484"/>
      <c r="ET52" s="484"/>
      <c r="EU52" s="484"/>
      <c r="EV52" s="484"/>
      <c r="EW52" s="484"/>
      <c r="EX52" s="484"/>
      <c r="EY52" s="484"/>
      <c r="EZ52" s="484"/>
      <c r="FA52" s="484"/>
      <c r="FB52" s="484"/>
      <c r="FC52" s="484"/>
      <c r="FD52" s="484"/>
      <c r="FE52" s="484"/>
      <c r="FF52" s="484"/>
      <c r="FG52" s="484"/>
      <c r="FH52" s="484"/>
      <c r="FI52" s="484"/>
      <c r="FJ52" s="484"/>
      <c r="FK52" s="484"/>
      <c r="FL52" s="484"/>
      <c r="FM52" s="484"/>
      <c r="FN52" s="484"/>
      <c r="FO52" s="484"/>
      <c r="FP52" s="484"/>
      <c r="FQ52" s="484"/>
      <c r="FR52" s="484"/>
      <c r="FS52" s="484"/>
      <c r="FT52" s="484"/>
      <c r="FU52" s="484"/>
      <c r="FV52" s="484"/>
      <c r="FW52" s="484"/>
    </row>
    <row r="53" spans="1:179" s="5" customFormat="1" ht="30" customHeight="1" x14ac:dyDescent="0.25">
      <c r="B53" s="316" t="s">
        <v>543</v>
      </c>
      <c r="C53" s="317">
        <v>447891</v>
      </c>
      <c r="D53" s="318"/>
      <c r="E53" s="323" t="s">
        <v>44</v>
      </c>
      <c r="F53" s="319" t="s">
        <v>690</v>
      </c>
      <c r="G53" s="320" t="s">
        <v>663</v>
      </c>
      <c r="H53" s="306">
        <v>1992</v>
      </c>
      <c r="I53" s="566" t="s">
        <v>170</v>
      </c>
      <c r="J53" s="672" t="s">
        <v>44</v>
      </c>
      <c r="K53" s="326">
        <v>51.7</v>
      </c>
      <c r="L53" s="300">
        <v>45</v>
      </c>
      <c r="M53" s="301">
        <v>50</v>
      </c>
      <c r="N53" s="301">
        <v>52</v>
      </c>
      <c r="O53" s="490">
        <f t="shared" si="25"/>
        <v>52</v>
      </c>
      <c r="P53" s="300">
        <v>60</v>
      </c>
      <c r="Q53" s="301">
        <v>65</v>
      </c>
      <c r="R53" s="301">
        <v>-68</v>
      </c>
      <c r="S53" s="490">
        <f t="shared" si="26"/>
        <v>65</v>
      </c>
      <c r="T53" s="489">
        <f t="shared" si="27"/>
        <v>117</v>
      </c>
      <c r="U53" s="48" t="str">
        <f t="shared" si="28"/>
        <v>IRG + 15</v>
      </c>
      <c r="V53" s="48" t="str">
        <f>IF(E53=0," ",IF(E53="H",IF(H53&lt;1999,VLOOKUP(K53,[12]Minimas!$A$15:$F$29,6),IF(AND(H53&gt;1998,H53&lt;2002),VLOOKUP(K53,[12]Minimas!$A$15:$F$29,5),IF(AND(H53&gt;2001,H53&lt;2004),VLOOKUP(K53,[12]Minimas!$A$15:$F$29,4),IF(AND(H53&gt;2003,H53&lt;2006),VLOOKUP(K53,[12]Minimas!$A$15:$F$29,3),VLOOKUP(K53,[12]Minimas!$A$15:$F$29,2))))),IF(H53&lt;1999,VLOOKUP(K53,[12]Minimas!$G$15:$L$29,6),IF(AND(H53&gt;1998,H53&lt;2002),VLOOKUP(K53,[12]Minimas!$G$15:$L$29,5),IF(AND(H53&gt;2001,H53&lt;2004),VLOOKUP(K53,[12]Minimas!$G$15:$L$29,4),IF(AND(H53&gt;2003,H53&lt;2006),VLOOKUP(K53,[12]Minimas!$G$15:$L$29,3),VLOOKUP(K53,[12]Minimas!$G$15:$L$29,2)))))))</f>
        <v>SE F55</v>
      </c>
      <c r="W53" s="49">
        <f t="shared" si="29"/>
        <v>175.19374309398449</v>
      </c>
      <c r="X53" s="257">
        <v>43492</v>
      </c>
      <c r="Y53" s="261" t="s">
        <v>694</v>
      </c>
      <c r="Z53" s="261" t="s">
        <v>701</v>
      </c>
      <c r="AA53" s="232"/>
      <c r="AB53" s="230">
        <f>T53-HLOOKUP(V53,Minimas!$C$3:$CD$12,2,FALSE)</f>
        <v>57</v>
      </c>
      <c r="AC53" s="230">
        <f>T53-HLOOKUP(V53,Minimas!$C$3:$CD$12,3,FALSE)</f>
        <v>42</v>
      </c>
      <c r="AD53" s="230">
        <f>T53-HLOOKUP(V53,Minimas!$C$3:$CD$12,4,FALSE)</f>
        <v>30</v>
      </c>
      <c r="AE53" s="230">
        <f>T53-HLOOKUP(V53,Minimas!$C$3:$CD$12,5,FALSE)</f>
        <v>15</v>
      </c>
      <c r="AF53" s="230">
        <f>T53-HLOOKUP(V53,Minimas!$C$3:$CD$12,6,FALSE)</f>
        <v>-6</v>
      </c>
      <c r="AG53" s="230">
        <f>T53-HLOOKUP(V53,Minimas!$C$3:$CD$12,7,FALSE)</f>
        <v>-21</v>
      </c>
      <c r="AH53" s="230">
        <f>T53-HLOOKUP(V53,Minimas!$C$3:$CD$12,8,FALSE)</f>
        <v>-38</v>
      </c>
      <c r="AI53" s="230">
        <f>T53-HLOOKUP(V53,Minimas!$C$3:$CD$12,9,FALSE)</f>
        <v>-58</v>
      </c>
      <c r="AJ53" s="230">
        <f>T53-HLOOKUP(V53,Minimas!$C$3:$CD$12,10,FALSE)</f>
        <v>-73</v>
      </c>
      <c r="AK53" s="231" t="str">
        <f t="shared" si="30"/>
        <v>IRG +</v>
      </c>
      <c r="AL53" s="232"/>
      <c r="AM53" s="232" t="str">
        <f t="shared" si="31"/>
        <v>IRG +</v>
      </c>
      <c r="AN53" s="232">
        <f t="shared" si="32"/>
        <v>15</v>
      </c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  <c r="BK53" s="38"/>
      <c r="BL53" s="38"/>
      <c r="BM53" s="38"/>
      <c r="BN53" s="38"/>
      <c r="BO53" s="38"/>
      <c r="BP53" s="38"/>
      <c r="BQ53" s="38"/>
      <c r="BR53" s="38"/>
      <c r="BS53" s="38"/>
      <c r="BT53" s="38"/>
      <c r="BU53" s="38"/>
      <c r="BV53" s="38"/>
      <c r="BW53" s="38"/>
      <c r="BX53" s="38"/>
      <c r="BY53" s="38"/>
      <c r="BZ53" s="38"/>
      <c r="CA53" s="38"/>
      <c r="CB53" s="38"/>
      <c r="CC53" s="38"/>
      <c r="CD53" s="38"/>
      <c r="CE53" s="38"/>
      <c r="CF53" s="38"/>
      <c r="CG53" s="38"/>
      <c r="CH53" s="38"/>
      <c r="CI53" s="38"/>
      <c r="CJ53" s="38"/>
      <c r="CK53" s="38"/>
      <c r="CL53" s="38"/>
      <c r="CM53" s="38"/>
      <c r="CN53" s="38"/>
      <c r="CO53" s="38"/>
      <c r="CP53" s="38"/>
      <c r="CQ53" s="38"/>
      <c r="CR53" s="38"/>
      <c r="CS53" s="38"/>
      <c r="CT53" s="38"/>
      <c r="CU53" s="38"/>
      <c r="CV53" s="38"/>
      <c r="CW53" s="38"/>
      <c r="CX53" s="38"/>
      <c r="CY53" s="38"/>
      <c r="CZ53" s="38"/>
      <c r="DA53" s="38"/>
      <c r="DB53" s="38"/>
      <c r="DC53" s="38"/>
      <c r="DD53" s="38"/>
      <c r="DE53" s="38"/>
      <c r="DF53" s="38"/>
      <c r="DG53" s="38"/>
      <c r="DH53" s="38"/>
      <c r="DI53" s="38"/>
      <c r="DJ53" s="38"/>
      <c r="DK53" s="38"/>
      <c r="DL53" s="38"/>
      <c r="DM53" s="38"/>
      <c r="DN53" s="38"/>
      <c r="DO53" s="38"/>
      <c r="DP53" s="38"/>
      <c r="DQ53" s="38"/>
      <c r="DR53" s="38"/>
      <c r="DS53" s="38"/>
      <c r="DT53" s="38"/>
    </row>
    <row r="54" spans="1:179" s="5" customFormat="1" ht="30" customHeight="1" x14ac:dyDescent="0.3">
      <c r="B54" s="517" t="s">
        <v>543</v>
      </c>
      <c r="C54" s="499">
        <v>441734</v>
      </c>
      <c r="D54" s="496"/>
      <c r="E54" s="323" t="s">
        <v>44</v>
      </c>
      <c r="F54" s="328" t="s">
        <v>176</v>
      </c>
      <c r="G54" s="487" t="s">
        <v>152</v>
      </c>
      <c r="H54" s="563">
        <v>1990</v>
      </c>
      <c r="I54" s="670" t="s">
        <v>173</v>
      </c>
      <c r="J54" s="498" t="s">
        <v>44</v>
      </c>
      <c r="K54" s="297">
        <v>53.3</v>
      </c>
      <c r="L54" s="300">
        <v>45</v>
      </c>
      <c r="M54" s="301">
        <v>48</v>
      </c>
      <c r="N54" s="301">
        <v>51</v>
      </c>
      <c r="O54" s="490">
        <f t="shared" si="25"/>
        <v>51</v>
      </c>
      <c r="P54" s="300">
        <v>55</v>
      </c>
      <c r="Q54" s="301">
        <v>60</v>
      </c>
      <c r="R54" s="301">
        <v>65</v>
      </c>
      <c r="S54" s="490">
        <f t="shared" si="26"/>
        <v>65</v>
      </c>
      <c r="T54" s="489">
        <f t="shared" si="27"/>
        <v>116</v>
      </c>
      <c r="U54" s="48" t="str">
        <f t="shared" si="28"/>
        <v>IRG + 14</v>
      </c>
      <c r="V54" s="48" t="str">
        <f>IF(E54=0," ",IF(E54="H",IF(H54&lt;1999,VLOOKUP(K54,Minimas!$A$15:$F$29,6),IF(AND(H54&gt;1998,H54&lt;2002),VLOOKUP(K54,Minimas!$A$15:$F$29,5),IF(AND(H54&gt;2001,H54&lt;2004),VLOOKUP(K54,Minimas!$A$15:$F$29,4),IF(AND(H54&gt;2003,H54&lt;2006),VLOOKUP(K54,Minimas!$A$15:$F$29,3),VLOOKUP(K54,Minimas!$A$15:$F$29,2))))),IF(H54&lt;1999,VLOOKUP(K54,Minimas!$G$15:$L$29,6),IF(AND(H54&gt;1998,H54&lt;2002),VLOOKUP(K54,Minimas!$G$15:$L$29,5),IF(AND(H54&gt;2001,H54&lt;2004),VLOOKUP(K54,Minimas!$G$15:$L$29,4),IF(AND(H54&gt;2003,H54&lt;2006),VLOOKUP(K54,Minimas!$G$15:$L$29,3),VLOOKUP(K54,Minimas!$G$15:$L$29,2)))))))</f>
        <v>SE F55</v>
      </c>
      <c r="W54" s="49">
        <f t="shared" si="29"/>
        <v>169.86971743980328</v>
      </c>
      <c r="X54" s="184">
        <v>43484</v>
      </c>
      <c r="Y54" s="278" t="s">
        <v>545</v>
      </c>
      <c r="Z54" s="278" t="s">
        <v>514</v>
      </c>
      <c r="AA54" s="467"/>
      <c r="AB54" s="230">
        <f>T54-HLOOKUP(V54,Minimas!$C$3:$CD$12,2,FALSE)</f>
        <v>56</v>
      </c>
      <c r="AC54" s="230">
        <f>T54-HLOOKUP(V54,Minimas!$C$3:$CD$12,3,FALSE)</f>
        <v>41</v>
      </c>
      <c r="AD54" s="230">
        <f>T54-HLOOKUP(V54,Minimas!$C$3:$CD$12,4,FALSE)</f>
        <v>29</v>
      </c>
      <c r="AE54" s="230">
        <f>T54-HLOOKUP(V54,Minimas!$C$3:$CD$12,5,FALSE)</f>
        <v>14</v>
      </c>
      <c r="AF54" s="230">
        <f>T54-HLOOKUP(V54,Minimas!$C$3:$CD$12,6,FALSE)</f>
        <v>-7</v>
      </c>
      <c r="AG54" s="230">
        <f>T54-HLOOKUP(V54,Minimas!$C$3:$CD$12,7,FALSE)</f>
        <v>-22</v>
      </c>
      <c r="AH54" s="230">
        <f>T54-HLOOKUP(V54,Minimas!$C$3:$CD$12,8,FALSE)</f>
        <v>-39</v>
      </c>
      <c r="AI54" s="230">
        <f>T54-HLOOKUP(V54,Minimas!$C$3:$CD$12,9,FALSE)</f>
        <v>-59</v>
      </c>
      <c r="AJ54" s="230">
        <f>T54-HLOOKUP(V54,Minimas!$C$3:$CD$12,10,FALSE)</f>
        <v>-74</v>
      </c>
      <c r="AK54" s="231" t="str">
        <f t="shared" si="30"/>
        <v>IRG +</v>
      </c>
      <c r="AL54" s="232"/>
      <c r="AM54" s="232" t="str">
        <f t="shared" si="31"/>
        <v>IRG +</v>
      </c>
      <c r="AN54" s="232">
        <f t="shared" si="32"/>
        <v>14</v>
      </c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  <c r="BM54" s="38"/>
      <c r="BN54" s="38"/>
      <c r="BO54" s="38"/>
      <c r="BP54" s="38"/>
      <c r="BQ54" s="38"/>
      <c r="BR54" s="38"/>
      <c r="BS54" s="38"/>
      <c r="BT54" s="38"/>
      <c r="BU54" s="38"/>
      <c r="BV54" s="38"/>
      <c r="BW54" s="38"/>
      <c r="BX54" s="38"/>
      <c r="BY54" s="38"/>
      <c r="BZ54" s="38"/>
      <c r="CA54" s="38"/>
      <c r="CB54" s="38"/>
      <c r="CC54" s="38"/>
      <c r="CD54" s="38"/>
      <c r="CE54" s="38"/>
      <c r="CF54" s="38"/>
      <c r="CG54" s="38"/>
      <c r="CH54" s="38"/>
      <c r="CI54" s="38"/>
      <c r="CJ54" s="38"/>
      <c r="CK54" s="38"/>
      <c r="CL54" s="38"/>
      <c r="CM54" s="38"/>
      <c r="CN54" s="38"/>
      <c r="CO54" s="38"/>
      <c r="CP54" s="38"/>
      <c r="CQ54" s="38"/>
      <c r="CR54" s="38"/>
      <c r="CS54" s="38"/>
      <c r="CT54" s="38"/>
      <c r="CU54" s="38"/>
      <c r="CV54" s="38"/>
      <c r="CW54" s="38"/>
      <c r="CX54" s="38"/>
      <c r="CY54" s="38"/>
      <c r="CZ54" s="38"/>
      <c r="DA54" s="38"/>
      <c r="DB54" s="38"/>
      <c r="DC54" s="38"/>
      <c r="DD54" s="38"/>
      <c r="DE54" s="38"/>
      <c r="DF54" s="38"/>
      <c r="DG54" s="38"/>
      <c r="DH54" s="38"/>
      <c r="DI54" s="38"/>
      <c r="DJ54" s="38"/>
      <c r="DK54" s="38"/>
      <c r="DL54" s="38"/>
      <c r="DM54" s="38"/>
      <c r="DN54" s="38"/>
      <c r="DO54" s="38"/>
      <c r="DP54" s="38"/>
      <c r="DQ54" s="38"/>
      <c r="DR54" s="38"/>
      <c r="DS54" s="38"/>
      <c r="DT54" s="38"/>
    </row>
    <row r="55" spans="1:179" s="5" customFormat="1" ht="30" customHeight="1" x14ac:dyDescent="0.25">
      <c r="A55" s="484"/>
      <c r="B55" s="355" t="s">
        <v>543</v>
      </c>
      <c r="C55" s="356">
        <v>443730</v>
      </c>
      <c r="D55" s="357"/>
      <c r="E55" s="323" t="s">
        <v>44</v>
      </c>
      <c r="F55" s="328" t="s">
        <v>183</v>
      </c>
      <c r="G55" s="487" t="s">
        <v>209</v>
      </c>
      <c r="H55" s="563">
        <v>1993</v>
      </c>
      <c r="I55" s="670" t="s">
        <v>566</v>
      </c>
      <c r="J55" s="498" t="s">
        <v>44</v>
      </c>
      <c r="K55" s="432">
        <v>54.6</v>
      </c>
      <c r="L55" s="300">
        <v>50</v>
      </c>
      <c r="M55" s="301">
        <v>52</v>
      </c>
      <c r="N55" s="301">
        <v>54</v>
      </c>
      <c r="O55" s="358">
        <f t="shared" si="25"/>
        <v>54</v>
      </c>
      <c r="P55" s="300">
        <v>62</v>
      </c>
      <c r="Q55" s="301">
        <v>-64</v>
      </c>
      <c r="R55" s="301">
        <v>-65</v>
      </c>
      <c r="S55" s="358">
        <f t="shared" si="26"/>
        <v>62</v>
      </c>
      <c r="T55" s="359">
        <f t="shared" si="27"/>
        <v>116</v>
      </c>
      <c r="U55" s="360" t="str">
        <f t="shared" si="28"/>
        <v>IRG + 14</v>
      </c>
      <c r="V55" s="360" t="str">
        <f>IF(E55=0," ",IF(E55="H",IF(H55&lt;1999,VLOOKUP(K55,[9]Minimas!$A$15:$F$29,6),IF(AND(H55&gt;1998,H55&lt;2002),VLOOKUP(K55,[9]Minimas!$A$15:$F$29,5),IF(AND(H55&gt;2001,H55&lt;2004),VLOOKUP(K55,[9]Minimas!$A$15:$F$29,4),IF(AND(H55&gt;2003,H55&lt;2006),VLOOKUP(K55,[9]Minimas!$A$15:$F$29,3),VLOOKUP(K55,[9]Minimas!$A$15:$F$29,2))))),IF(H55&lt;1999,VLOOKUP(K55,[9]Minimas!$G$15:$L$29,6),IF(AND(H55&gt;1998,H55&lt;2002),VLOOKUP(K55,[9]Minimas!$G$15:$L$29,5),IF(AND(H55&gt;2001,H55&lt;2004),VLOOKUP(K55,[9]Minimas!$G$15:$L$29,4),IF(AND(H55&gt;2003,H55&lt;2006),VLOOKUP(K55,[9]Minimas!$G$15:$L$29,3),VLOOKUP(K55,[9]Minimas!$G$15:$L$29,2)))))))</f>
        <v>SE F55</v>
      </c>
      <c r="W55" s="361">
        <f t="shared" si="29"/>
        <v>166.97869703326876</v>
      </c>
      <c r="X55" s="257">
        <v>43561</v>
      </c>
      <c r="Y55" s="261" t="s">
        <v>846</v>
      </c>
      <c r="Z55" s="261" t="s">
        <v>806</v>
      </c>
      <c r="AA55" s="232"/>
      <c r="AB55" s="230">
        <f>T55-HLOOKUP(V55,[9]Minimas!$C$3:$CD$12,2,FALSE)</f>
        <v>56</v>
      </c>
      <c r="AC55" s="230">
        <f>T55-HLOOKUP(V55,[9]Minimas!$C$3:$CD$12,3,FALSE)</f>
        <v>41</v>
      </c>
      <c r="AD55" s="230">
        <f>T55-HLOOKUP(V55,[9]Minimas!$C$3:$CD$12,4,FALSE)</f>
        <v>29</v>
      </c>
      <c r="AE55" s="230">
        <f>T55-HLOOKUP(V55,[9]Minimas!$C$3:$CD$12,5,FALSE)</f>
        <v>14</v>
      </c>
      <c r="AF55" s="230">
        <f>T55-HLOOKUP(V55,[9]Minimas!$C$3:$CD$12,6,FALSE)</f>
        <v>-7</v>
      </c>
      <c r="AG55" s="230">
        <f>T55-HLOOKUP(V55,[9]Minimas!$C$3:$CD$12,7,FALSE)</f>
        <v>-22</v>
      </c>
      <c r="AH55" s="230">
        <f>T55-HLOOKUP(V55,[9]Minimas!$C$3:$CD$12,8,FALSE)</f>
        <v>-39</v>
      </c>
      <c r="AI55" s="230">
        <f>T55-HLOOKUP(V55,[9]Minimas!$C$3:$CD$12,9,FALSE)</f>
        <v>-59</v>
      </c>
      <c r="AJ55" s="230">
        <f>T55-HLOOKUP(V55,[9]Minimas!$C$3:$CD$12,10,FALSE)</f>
        <v>-74</v>
      </c>
      <c r="AK55" s="231" t="str">
        <f t="shared" si="30"/>
        <v>IRG +</v>
      </c>
      <c r="AL55" s="232"/>
      <c r="AM55" s="232" t="str">
        <f t="shared" si="31"/>
        <v>IRG +</v>
      </c>
      <c r="AN55" s="232">
        <f t="shared" si="32"/>
        <v>14</v>
      </c>
      <c r="AO55" s="485"/>
      <c r="AP55" s="485"/>
      <c r="AQ55" s="485"/>
      <c r="AR55" s="485"/>
      <c r="AS55" s="485"/>
      <c r="AT55" s="485"/>
      <c r="AU55" s="485"/>
      <c r="AV55" s="485"/>
      <c r="AW55" s="485"/>
      <c r="AX55" s="485"/>
      <c r="AY55" s="485"/>
      <c r="AZ55" s="485"/>
      <c r="BA55" s="485"/>
      <c r="BB55" s="485"/>
      <c r="BC55" s="485"/>
      <c r="BD55" s="485"/>
      <c r="BE55" s="485"/>
      <c r="BF55" s="485"/>
      <c r="BG55" s="485"/>
      <c r="BH55" s="485"/>
      <c r="BI55" s="485"/>
      <c r="BJ55" s="485"/>
      <c r="BK55" s="485"/>
      <c r="BL55" s="485"/>
      <c r="BM55" s="485"/>
      <c r="BN55" s="485"/>
      <c r="BO55" s="485"/>
      <c r="BP55" s="485"/>
      <c r="BQ55" s="485"/>
      <c r="BR55" s="485"/>
      <c r="BS55" s="485"/>
      <c r="BT55" s="485"/>
      <c r="BU55" s="485"/>
      <c r="BV55" s="485"/>
      <c r="BW55" s="485"/>
      <c r="BX55" s="485"/>
      <c r="BY55" s="485"/>
      <c r="BZ55" s="485"/>
      <c r="CA55" s="485"/>
      <c r="CB55" s="485"/>
      <c r="CC55" s="485"/>
      <c r="CD55" s="485"/>
      <c r="CE55" s="485"/>
      <c r="CF55" s="485"/>
      <c r="CG55" s="485"/>
      <c r="CH55" s="485"/>
      <c r="CI55" s="485"/>
      <c r="CJ55" s="485"/>
      <c r="CK55" s="485"/>
      <c r="CL55" s="485"/>
      <c r="CM55" s="485"/>
      <c r="CN55" s="485"/>
      <c r="CO55" s="485"/>
      <c r="CP55" s="485"/>
      <c r="CQ55" s="485"/>
      <c r="CR55" s="485"/>
      <c r="CS55" s="485"/>
      <c r="CT55" s="485"/>
      <c r="CU55" s="485"/>
      <c r="CV55" s="485"/>
      <c r="CW55" s="485"/>
      <c r="CX55" s="485"/>
      <c r="CY55" s="485"/>
      <c r="CZ55" s="485"/>
      <c r="DA55" s="485"/>
      <c r="DB55" s="485"/>
      <c r="DC55" s="485"/>
      <c r="DD55" s="485"/>
      <c r="DE55" s="485"/>
      <c r="DF55" s="485"/>
      <c r="DG55" s="485"/>
      <c r="DH55" s="485"/>
      <c r="DI55" s="485"/>
      <c r="DJ55" s="485"/>
      <c r="DK55" s="485"/>
      <c r="DL55" s="485"/>
      <c r="DM55" s="485"/>
      <c r="DN55" s="485"/>
      <c r="DO55" s="485"/>
      <c r="DP55" s="485"/>
      <c r="DQ55" s="485"/>
      <c r="DR55" s="485"/>
      <c r="DS55" s="485"/>
      <c r="DT55" s="485"/>
      <c r="DU55" s="484"/>
      <c r="DV55" s="484"/>
      <c r="DW55" s="484"/>
      <c r="DX55" s="484"/>
      <c r="DY55" s="484"/>
      <c r="DZ55" s="484"/>
      <c r="EA55" s="484"/>
      <c r="EB55" s="484"/>
      <c r="EC55" s="484"/>
      <c r="ED55" s="484"/>
      <c r="EE55" s="484"/>
      <c r="EF55" s="484"/>
      <c r="EG55" s="484"/>
      <c r="EH55" s="484"/>
      <c r="EI55" s="484"/>
      <c r="EJ55" s="484"/>
      <c r="EK55" s="484"/>
      <c r="EL55" s="484"/>
      <c r="EM55" s="484"/>
      <c r="EN55" s="484"/>
      <c r="EO55" s="484"/>
      <c r="EP55" s="484"/>
      <c r="EQ55" s="484"/>
      <c r="ER55" s="484"/>
      <c r="ES55" s="484"/>
      <c r="ET55" s="484"/>
      <c r="EU55" s="484"/>
      <c r="EV55" s="484"/>
      <c r="EW55" s="484"/>
      <c r="EX55" s="484"/>
      <c r="EY55" s="484"/>
      <c r="EZ55" s="484"/>
      <c r="FA55" s="484"/>
      <c r="FB55" s="484"/>
      <c r="FC55" s="484"/>
      <c r="FD55" s="484"/>
      <c r="FE55" s="484"/>
      <c r="FF55" s="484"/>
      <c r="FG55" s="484"/>
      <c r="FH55" s="484"/>
      <c r="FI55" s="484"/>
      <c r="FJ55" s="484"/>
      <c r="FK55" s="484"/>
      <c r="FL55" s="484"/>
      <c r="FM55" s="484"/>
      <c r="FN55" s="484"/>
      <c r="FO55" s="484"/>
      <c r="FP55" s="484"/>
      <c r="FQ55" s="484"/>
      <c r="FR55" s="484"/>
      <c r="FS55" s="484"/>
      <c r="FT55" s="484"/>
      <c r="FU55" s="484"/>
      <c r="FV55" s="484"/>
      <c r="FW55" s="484"/>
    </row>
    <row r="56" spans="1:179" s="5" customFormat="1" ht="30" customHeight="1" x14ac:dyDescent="0.3">
      <c r="B56" s="517" t="s">
        <v>543</v>
      </c>
      <c r="C56" s="525">
        <v>425031</v>
      </c>
      <c r="D56" s="539"/>
      <c r="E56" s="406" t="s">
        <v>44</v>
      </c>
      <c r="F56" s="423" t="s">
        <v>377</v>
      </c>
      <c r="G56" s="415" t="s">
        <v>559</v>
      </c>
      <c r="H56" s="380">
        <v>1995</v>
      </c>
      <c r="I56" s="573" t="s">
        <v>560</v>
      </c>
      <c r="J56" s="381"/>
      <c r="K56" s="585">
        <v>53.4</v>
      </c>
      <c r="L56" s="452">
        <v>45</v>
      </c>
      <c r="M56" s="453">
        <v>49</v>
      </c>
      <c r="N56" s="597">
        <v>-53</v>
      </c>
      <c r="O56" s="490">
        <f t="shared" si="25"/>
        <v>49</v>
      </c>
      <c r="P56" s="456">
        <v>58</v>
      </c>
      <c r="Q56" s="457">
        <v>63</v>
      </c>
      <c r="R56" s="457">
        <v>65</v>
      </c>
      <c r="S56" s="490">
        <f t="shared" si="26"/>
        <v>65</v>
      </c>
      <c r="T56" s="489">
        <f t="shared" si="27"/>
        <v>114</v>
      </c>
      <c r="U56" s="48" t="str">
        <f t="shared" si="28"/>
        <v>IRG + 12</v>
      </c>
      <c r="V56" s="48" t="str">
        <f>IF(E56=0," ",IF(E56="H",IF(H56&lt;1999,VLOOKUP(K56,Minimas!$A$15:$F$29,6),IF(AND(H56&gt;1998,H56&lt;2002),VLOOKUP(K56,Minimas!$A$15:$F$29,5),IF(AND(H56&gt;2001,H56&lt;2004),VLOOKUP(K56,Minimas!$A$15:$F$29,4),IF(AND(H56&gt;2003,H56&lt;2006),VLOOKUP(K56,Minimas!$A$15:$F$29,3),VLOOKUP(K56,Minimas!$A$15:$F$29,2))))),IF(H56&lt;1999,VLOOKUP(K56,Minimas!$G$15:$L$29,6),IF(AND(H56&gt;1998,H56&lt;2002),VLOOKUP(K56,Minimas!$G$15:$L$29,5),IF(AND(H56&gt;2001,H56&lt;2004),VLOOKUP(K56,Minimas!$G$15:$L$29,4),IF(AND(H56&gt;2003,H56&lt;2006),VLOOKUP(K56,Minimas!$G$15:$L$29,3),VLOOKUP(K56,Minimas!$G$15:$L$29,2)))))))</f>
        <v>SE F55</v>
      </c>
      <c r="W56" s="49">
        <f t="shared" si="29"/>
        <v>166.71581343873225</v>
      </c>
      <c r="X56" s="257">
        <v>43484</v>
      </c>
      <c r="Y56" s="261" t="s">
        <v>580</v>
      </c>
      <c r="Z56" s="261" t="s">
        <v>581</v>
      </c>
      <c r="AA56" s="467"/>
      <c r="AB56" s="230">
        <f>T56-HLOOKUP(V56,Minimas!$C$3:$CD$12,2,FALSE)</f>
        <v>54</v>
      </c>
      <c r="AC56" s="230">
        <f>T56-HLOOKUP(V56,Minimas!$C$3:$CD$12,3,FALSE)</f>
        <v>39</v>
      </c>
      <c r="AD56" s="230">
        <f>T56-HLOOKUP(V56,Minimas!$C$3:$CD$12,4,FALSE)</f>
        <v>27</v>
      </c>
      <c r="AE56" s="230">
        <f>T56-HLOOKUP(V56,Minimas!$C$3:$CD$12,5,FALSE)</f>
        <v>12</v>
      </c>
      <c r="AF56" s="230">
        <f>T56-HLOOKUP(V56,Minimas!$C$3:$CD$12,6,FALSE)</f>
        <v>-9</v>
      </c>
      <c r="AG56" s="230">
        <f>T56-HLOOKUP(V56,Minimas!$C$3:$CD$12,7,FALSE)</f>
        <v>-24</v>
      </c>
      <c r="AH56" s="230">
        <f>T56-HLOOKUP(V56,Minimas!$C$3:$CD$12,8,FALSE)</f>
        <v>-41</v>
      </c>
      <c r="AI56" s="230">
        <f>T56-HLOOKUP(V56,Minimas!$C$3:$CD$12,9,FALSE)</f>
        <v>-61</v>
      </c>
      <c r="AJ56" s="230">
        <f>T56-HLOOKUP(V56,Minimas!$C$3:$CD$12,10,FALSE)</f>
        <v>-76</v>
      </c>
      <c r="AK56" s="231" t="str">
        <f t="shared" si="30"/>
        <v>IRG +</v>
      </c>
      <c r="AL56" s="232"/>
      <c r="AM56" s="232" t="str">
        <f t="shared" si="31"/>
        <v>IRG +</v>
      </c>
      <c r="AN56" s="232">
        <f t="shared" si="32"/>
        <v>12</v>
      </c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8"/>
      <c r="BO56" s="38"/>
      <c r="BP56" s="38"/>
      <c r="BQ56" s="38"/>
      <c r="BR56" s="38"/>
      <c r="BS56" s="38"/>
      <c r="BT56" s="38"/>
      <c r="BU56" s="38"/>
      <c r="BV56" s="38"/>
      <c r="BW56" s="38"/>
      <c r="BX56" s="38"/>
      <c r="BY56" s="38"/>
      <c r="BZ56" s="38"/>
      <c r="CA56" s="38"/>
      <c r="CB56" s="38"/>
      <c r="CC56" s="38"/>
      <c r="CD56" s="38"/>
      <c r="CE56" s="38"/>
      <c r="CF56" s="38"/>
      <c r="CG56" s="38"/>
      <c r="CH56" s="38"/>
      <c r="CI56" s="38"/>
      <c r="CJ56" s="38"/>
      <c r="CK56" s="38"/>
      <c r="CL56" s="38"/>
      <c r="CM56" s="38"/>
      <c r="CN56" s="38"/>
      <c r="CO56" s="38"/>
      <c r="CP56" s="38"/>
      <c r="CQ56" s="38"/>
      <c r="CR56" s="38"/>
      <c r="CS56" s="38"/>
      <c r="CT56" s="38"/>
      <c r="CU56" s="38"/>
      <c r="CV56" s="38"/>
      <c r="CW56" s="38"/>
      <c r="CX56" s="38"/>
      <c r="CY56" s="38"/>
      <c r="CZ56" s="38"/>
      <c r="DA56" s="38"/>
      <c r="DB56" s="38"/>
      <c r="DC56" s="38"/>
      <c r="DD56" s="38"/>
      <c r="DE56" s="38"/>
      <c r="DF56" s="38"/>
      <c r="DG56" s="38"/>
      <c r="DH56" s="38"/>
      <c r="DI56" s="38"/>
      <c r="DJ56" s="38"/>
      <c r="DK56" s="38"/>
      <c r="DL56" s="38"/>
      <c r="DM56" s="38"/>
      <c r="DN56" s="38"/>
      <c r="DO56" s="38"/>
      <c r="DP56" s="38"/>
      <c r="DQ56" s="38"/>
      <c r="DR56" s="38"/>
      <c r="DS56" s="38"/>
      <c r="DT56" s="38"/>
    </row>
    <row r="57" spans="1:179" s="5" customFormat="1" ht="30" customHeight="1" x14ac:dyDescent="0.25">
      <c r="B57" s="312" t="s">
        <v>543</v>
      </c>
      <c r="C57" s="499">
        <v>307137</v>
      </c>
      <c r="D57" s="313"/>
      <c r="E57" s="323" t="s">
        <v>44</v>
      </c>
      <c r="F57" s="486" t="s">
        <v>151</v>
      </c>
      <c r="G57" s="487" t="s">
        <v>565</v>
      </c>
      <c r="H57" s="492">
        <v>1991</v>
      </c>
      <c r="I57" s="528" t="s">
        <v>324</v>
      </c>
      <c r="J57" s="494" t="s">
        <v>44</v>
      </c>
      <c r="K57" s="488">
        <v>52.88</v>
      </c>
      <c r="L57" s="300">
        <v>47</v>
      </c>
      <c r="M57" s="301">
        <v>51</v>
      </c>
      <c r="N57" s="301">
        <v>55</v>
      </c>
      <c r="O57" s="338">
        <f t="shared" si="25"/>
        <v>55</v>
      </c>
      <c r="P57" s="300">
        <v>56</v>
      </c>
      <c r="Q57" s="461">
        <v>-58</v>
      </c>
      <c r="R57" s="461">
        <v>-58</v>
      </c>
      <c r="S57" s="490">
        <f t="shared" si="26"/>
        <v>56</v>
      </c>
      <c r="T57" s="489">
        <f t="shared" si="27"/>
        <v>111</v>
      </c>
      <c r="U57" s="48" t="str">
        <f t="shared" si="28"/>
        <v>IRG + 9</v>
      </c>
      <c r="V57" s="48" t="str">
        <f>IF(E57=0," ",IF(E57="H",IF(H57&lt;1999,VLOOKUP(K57,[4]Minimas!$A$15:$F$29,6),IF(AND(H57&gt;1998,H57&lt;2002),VLOOKUP(K57,[4]Minimas!$A$15:$F$29,5),IF(AND(H57&gt;2001,H57&lt;2004),VLOOKUP(K57,[4]Minimas!$A$15:$F$29,4),IF(AND(H57&gt;2003,H57&lt;2006),VLOOKUP(K57,[4]Minimas!$A$15:$F$29,3),VLOOKUP(K57,[4]Minimas!$A$15:$F$29,2))))),IF(H57&lt;1999,VLOOKUP(K57,[4]Minimas!$G$15:$L$29,6),IF(AND(H57&gt;1998,H57&lt;2002),VLOOKUP(K57,[4]Minimas!$G$15:$L$29,5),IF(AND(H57&gt;2001,H57&lt;2004),VLOOKUP(K57,[4]Minimas!$G$15:$L$29,4),IF(AND(H57&gt;2003,H57&lt;2006),VLOOKUP(K57,[4]Minimas!$G$15:$L$29,3),VLOOKUP(K57,[4]Minimas!$G$15:$L$29,2)))))))</f>
        <v>SE F55</v>
      </c>
      <c r="W57" s="49">
        <f t="shared" si="29"/>
        <v>163.4804367344253</v>
      </c>
      <c r="X57" s="257">
        <v>43491</v>
      </c>
      <c r="Y57" s="261" t="s">
        <v>694</v>
      </c>
      <c r="Z57" s="261" t="s">
        <v>700</v>
      </c>
      <c r="AA57" s="232"/>
      <c r="AB57" s="230">
        <f>T57-HLOOKUP(V57,Minimas!$C$3:$CD$12,2,FALSE)</f>
        <v>51</v>
      </c>
      <c r="AC57" s="230">
        <f>T57-HLOOKUP(V57,Minimas!$C$3:$CD$12,3,FALSE)</f>
        <v>36</v>
      </c>
      <c r="AD57" s="230">
        <f>T57-HLOOKUP(V57,Minimas!$C$3:$CD$12,4,FALSE)</f>
        <v>24</v>
      </c>
      <c r="AE57" s="230">
        <f>T57-HLOOKUP(V57,Minimas!$C$3:$CD$12,5,FALSE)</f>
        <v>9</v>
      </c>
      <c r="AF57" s="230">
        <f>T57-HLOOKUP(V57,Minimas!$C$3:$CD$12,6,FALSE)</f>
        <v>-12</v>
      </c>
      <c r="AG57" s="230">
        <f>T57-HLOOKUP(V57,Minimas!$C$3:$CD$12,7,FALSE)</f>
        <v>-27</v>
      </c>
      <c r="AH57" s="230">
        <f>T57-HLOOKUP(V57,Minimas!$C$3:$CD$12,8,FALSE)</f>
        <v>-44</v>
      </c>
      <c r="AI57" s="230">
        <f>T57-HLOOKUP(V57,Minimas!$C$3:$CD$12,9,FALSE)</f>
        <v>-64</v>
      </c>
      <c r="AJ57" s="230">
        <f>T57-HLOOKUP(V57,Minimas!$C$3:$CD$12,10,FALSE)</f>
        <v>-79</v>
      </c>
      <c r="AK57" s="231" t="str">
        <f t="shared" si="30"/>
        <v>IRG +</v>
      </c>
      <c r="AL57" s="232"/>
      <c r="AM57" s="232" t="str">
        <f t="shared" si="31"/>
        <v>IRG +</v>
      </c>
      <c r="AN57" s="232">
        <f t="shared" si="32"/>
        <v>9</v>
      </c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8"/>
      <c r="BO57" s="38"/>
      <c r="BP57" s="38"/>
      <c r="BQ57" s="38"/>
      <c r="BR57" s="38"/>
      <c r="BS57" s="38"/>
      <c r="BT57" s="38"/>
      <c r="BU57" s="38"/>
      <c r="BV57" s="38"/>
      <c r="BW57" s="38"/>
      <c r="BX57" s="38"/>
      <c r="BY57" s="38"/>
      <c r="BZ57" s="38"/>
      <c r="CA57" s="38"/>
      <c r="CB57" s="38"/>
      <c r="CC57" s="38"/>
      <c r="CD57" s="38"/>
      <c r="CE57" s="38"/>
      <c r="CF57" s="38"/>
      <c r="CG57" s="38"/>
      <c r="CH57" s="38"/>
      <c r="CI57" s="38"/>
      <c r="CJ57" s="38"/>
      <c r="CK57" s="38"/>
      <c r="CL57" s="38"/>
      <c r="CM57" s="38"/>
      <c r="CN57" s="38"/>
      <c r="CO57" s="38"/>
      <c r="CP57" s="38"/>
      <c r="CQ57" s="38"/>
      <c r="CR57" s="38"/>
      <c r="CS57" s="38"/>
      <c r="CT57" s="38"/>
      <c r="CU57" s="38"/>
      <c r="CV57" s="38"/>
      <c r="CW57" s="38"/>
      <c r="CX57" s="38"/>
      <c r="CY57" s="38"/>
      <c r="CZ57" s="38"/>
      <c r="DA57" s="38"/>
      <c r="DB57" s="38"/>
      <c r="DC57" s="38"/>
      <c r="DD57" s="38"/>
      <c r="DE57" s="38"/>
      <c r="DF57" s="38"/>
      <c r="DG57" s="38"/>
      <c r="DH57" s="38"/>
      <c r="DI57" s="38"/>
      <c r="DJ57" s="38"/>
      <c r="DK57" s="38"/>
      <c r="DL57" s="38"/>
      <c r="DM57" s="38"/>
      <c r="DN57" s="38"/>
      <c r="DO57" s="38"/>
      <c r="DP57" s="38"/>
      <c r="DQ57" s="38"/>
      <c r="DR57" s="38"/>
      <c r="DS57" s="38"/>
      <c r="DT57" s="38"/>
    </row>
    <row r="58" spans="1:179" s="5" customFormat="1" ht="30" customHeight="1" x14ac:dyDescent="0.3">
      <c r="B58" s="517" t="s">
        <v>543</v>
      </c>
      <c r="C58" s="525">
        <v>447431</v>
      </c>
      <c r="D58" s="539"/>
      <c r="E58" s="406" t="s">
        <v>44</v>
      </c>
      <c r="F58" s="423" t="s">
        <v>266</v>
      </c>
      <c r="G58" s="415" t="s">
        <v>562</v>
      </c>
      <c r="H58" s="380">
        <v>1986</v>
      </c>
      <c r="I58" s="425" t="s">
        <v>563</v>
      </c>
      <c r="J58" s="381" t="s">
        <v>41</v>
      </c>
      <c r="K58" s="585">
        <v>54.02</v>
      </c>
      <c r="L58" s="452">
        <v>45</v>
      </c>
      <c r="M58" s="453">
        <v>48</v>
      </c>
      <c r="N58" s="597">
        <v>-51</v>
      </c>
      <c r="O58" s="490">
        <f t="shared" si="25"/>
        <v>48</v>
      </c>
      <c r="P58" s="456">
        <v>55</v>
      </c>
      <c r="Q58" s="457">
        <v>58</v>
      </c>
      <c r="R58" s="457">
        <v>61</v>
      </c>
      <c r="S58" s="490">
        <f t="shared" si="26"/>
        <v>61</v>
      </c>
      <c r="T58" s="489">
        <f t="shared" si="27"/>
        <v>109</v>
      </c>
      <c r="U58" s="48" t="str">
        <f t="shared" si="28"/>
        <v>IRG + 7</v>
      </c>
      <c r="V58" s="48" t="str">
        <f>IF(E58=0," ",IF(E58="H",IF(H58&lt;1999,VLOOKUP(K58,Minimas!$A$15:$F$29,6),IF(AND(H58&gt;1998,H58&lt;2002),VLOOKUP(K58,Minimas!$A$15:$F$29,5),IF(AND(H58&gt;2001,H58&lt;2004),VLOOKUP(K58,Minimas!$A$15:$F$29,4),IF(AND(H58&gt;2003,H58&lt;2006),VLOOKUP(K58,Minimas!$A$15:$F$29,3),VLOOKUP(K58,Minimas!$A$15:$F$29,2))))),IF(H58&lt;1999,VLOOKUP(K58,Minimas!$G$15:$L$29,6),IF(AND(H58&gt;1998,H58&lt;2002),VLOOKUP(K58,Minimas!$G$15:$L$29,5),IF(AND(H58&gt;2001,H58&lt;2004),VLOOKUP(K58,Minimas!$G$15:$L$29,4),IF(AND(H58&gt;2003,H58&lt;2006),VLOOKUP(K58,Minimas!$G$15:$L$29,3),VLOOKUP(K58,Minimas!$G$15:$L$29,2)))))))</f>
        <v>SE F55</v>
      </c>
      <c r="W58" s="49">
        <f t="shared" si="29"/>
        <v>158.0928598340173</v>
      </c>
      <c r="X58" s="257">
        <v>43484</v>
      </c>
      <c r="Y58" s="261" t="s">
        <v>580</v>
      </c>
      <c r="Z58" s="261" t="s">
        <v>581</v>
      </c>
      <c r="AA58" s="232"/>
      <c r="AB58" s="230">
        <f>T58-HLOOKUP(V58,Minimas!$C$3:$CD$12,2,FALSE)</f>
        <v>49</v>
      </c>
      <c r="AC58" s="230">
        <f>T58-HLOOKUP(V58,Minimas!$C$3:$CD$12,3,FALSE)</f>
        <v>34</v>
      </c>
      <c r="AD58" s="230">
        <f>T58-HLOOKUP(V58,Minimas!$C$3:$CD$12,4,FALSE)</f>
        <v>22</v>
      </c>
      <c r="AE58" s="230">
        <f>T58-HLOOKUP(V58,Minimas!$C$3:$CD$12,5,FALSE)</f>
        <v>7</v>
      </c>
      <c r="AF58" s="230">
        <f>T58-HLOOKUP(V58,Minimas!$C$3:$CD$12,6,FALSE)</f>
        <v>-14</v>
      </c>
      <c r="AG58" s="230">
        <f>T58-HLOOKUP(V58,Minimas!$C$3:$CD$12,7,FALSE)</f>
        <v>-29</v>
      </c>
      <c r="AH58" s="230">
        <f>T58-HLOOKUP(V58,Minimas!$C$3:$CD$12,8,FALSE)</f>
        <v>-46</v>
      </c>
      <c r="AI58" s="230">
        <f>T58-HLOOKUP(V58,Minimas!$C$3:$CD$12,9,FALSE)</f>
        <v>-66</v>
      </c>
      <c r="AJ58" s="230">
        <f>T58-HLOOKUP(V58,Minimas!$C$3:$CD$12,10,FALSE)</f>
        <v>-81</v>
      </c>
      <c r="AK58" s="231" t="str">
        <f t="shared" si="30"/>
        <v>IRG +</v>
      </c>
      <c r="AL58" s="232"/>
      <c r="AM58" s="232" t="str">
        <f t="shared" si="31"/>
        <v>IRG +</v>
      </c>
      <c r="AN58" s="232">
        <f t="shared" si="32"/>
        <v>7</v>
      </c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  <c r="BK58" s="38"/>
      <c r="BL58" s="38"/>
      <c r="BM58" s="38"/>
      <c r="BN58" s="38"/>
      <c r="BO58" s="38"/>
      <c r="BP58" s="38"/>
      <c r="BQ58" s="38"/>
      <c r="BR58" s="38"/>
      <c r="BS58" s="38"/>
      <c r="BT58" s="38"/>
      <c r="BU58" s="38"/>
      <c r="BV58" s="38"/>
      <c r="BW58" s="38"/>
      <c r="BX58" s="38"/>
      <c r="BY58" s="38"/>
      <c r="BZ58" s="38"/>
      <c r="CA58" s="38"/>
      <c r="CB58" s="38"/>
      <c r="CC58" s="38"/>
      <c r="CD58" s="38"/>
      <c r="CE58" s="38"/>
      <c r="CF58" s="38"/>
      <c r="CG58" s="38"/>
      <c r="CH58" s="38"/>
      <c r="CI58" s="38"/>
      <c r="CJ58" s="38"/>
      <c r="CK58" s="38"/>
      <c r="CL58" s="38"/>
      <c r="CM58" s="38"/>
      <c r="CN58" s="38"/>
      <c r="CO58" s="38"/>
      <c r="CP58" s="38"/>
      <c r="CQ58" s="38"/>
      <c r="CR58" s="38"/>
      <c r="CS58" s="38"/>
      <c r="CT58" s="38"/>
      <c r="CU58" s="38"/>
      <c r="CV58" s="38"/>
      <c r="CW58" s="38"/>
      <c r="CX58" s="38"/>
      <c r="CY58" s="38"/>
      <c r="CZ58" s="38"/>
      <c r="DA58" s="38"/>
      <c r="DB58" s="38"/>
      <c r="DC58" s="38"/>
      <c r="DD58" s="38"/>
      <c r="DE58" s="38"/>
      <c r="DF58" s="38"/>
      <c r="DG58" s="38"/>
      <c r="DH58" s="38"/>
      <c r="DI58" s="38"/>
      <c r="DJ58" s="38"/>
      <c r="DK58" s="38"/>
      <c r="DL58" s="38"/>
      <c r="DM58" s="38"/>
      <c r="DN58" s="38"/>
      <c r="DO58" s="38"/>
      <c r="DP58" s="38"/>
      <c r="DQ58" s="38"/>
      <c r="DR58" s="38"/>
      <c r="DS58" s="38"/>
      <c r="DT58" s="38"/>
    </row>
    <row r="59" spans="1:179" s="5" customFormat="1" ht="30" customHeight="1" x14ac:dyDescent="0.3">
      <c r="A59" s="441"/>
      <c r="B59" s="517" t="s">
        <v>543</v>
      </c>
      <c r="C59" s="499">
        <v>323896</v>
      </c>
      <c r="D59" s="538"/>
      <c r="E59" s="323" t="s">
        <v>44</v>
      </c>
      <c r="F59" s="486" t="s">
        <v>167</v>
      </c>
      <c r="G59" s="487" t="s">
        <v>168</v>
      </c>
      <c r="H59" s="292">
        <v>1997</v>
      </c>
      <c r="I59" s="314" t="s">
        <v>139</v>
      </c>
      <c r="J59" s="290" t="s">
        <v>44</v>
      </c>
      <c r="K59" s="488">
        <v>51.6</v>
      </c>
      <c r="L59" s="300">
        <v>45</v>
      </c>
      <c r="M59" s="301">
        <v>48</v>
      </c>
      <c r="N59" s="301">
        <v>50</v>
      </c>
      <c r="O59" s="490">
        <f t="shared" si="25"/>
        <v>50</v>
      </c>
      <c r="P59" s="300">
        <v>54</v>
      </c>
      <c r="Q59" s="301">
        <v>57</v>
      </c>
      <c r="R59" s="299">
        <v>-59</v>
      </c>
      <c r="S59" s="490">
        <f t="shared" si="26"/>
        <v>57</v>
      </c>
      <c r="T59" s="489">
        <f t="shared" si="27"/>
        <v>107</v>
      </c>
      <c r="U59" s="48" t="str">
        <f t="shared" si="28"/>
        <v>IRG + 5</v>
      </c>
      <c r="V59" s="48" t="str">
        <f>IF(E59=0," ",IF(E59="H",IF(H59&lt;1999,VLOOKUP(K59,Minimas!$A$15:$F$29,6),IF(AND(H59&gt;1998,H59&lt;2002),VLOOKUP(K59,Minimas!$A$15:$F$29,5),IF(AND(H59&gt;2001,H59&lt;2004),VLOOKUP(K59,Minimas!$A$15:$F$29,4),IF(AND(H59&gt;2003,H59&lt;2006),VLOOKUP(K59,Minimas!$A$15:$F$29,3),VLOOKUP(K59,Minimas!$A$15:$F$29,2))))),IF(H59&lt;1999,VLOOKUP(K59,Minimas!$G$15:$L$29,6),IF(AND(H59&gt;1998,H59&lt;2002),VLOOKUP(K59,Minimas!$G$15:$L$29,5),IF(AND(H59&gt;2001,H59&lt;2004),VLOOKUP(K59,Minimas!$G$15:$L$29,4),IF(AND(H59&gt;2003,H59&lt;2006),VLOOKUP(K59,Minimas!$G$15:$L$29,3),VLOOKUP(K59,Minimas!$G$15:$L$29,2)))))))</f>
        <v>SE F55</v>
      </c>
      <c r="W59" s="49">
        <f t="shared" si="29"/>
        <v>160.45023503835051</v>
      </c>
      <c r="X59" s="184">
        <v>43436</v>
      </c>
      <c r="Y59" s="186" t="s">
        <v>526</v>
      </c>
      <c r="Z59" s="278" t="s">
        <v>514</v>
      </c>
      <c r="AA59" s="467"/>
      <c r="AB59" s="230">
        <f>T59-HLOOKUP(V59,Minimas!$C$3:$CD$12,2,FALSE)</f>
        <v>47</v>
      </c>
      <c r="AC59" s="230">
        <f>T59-HLOOKUP(V59,Minimas!$C$3:$CD$12,3,FALSE)</f>
        <v>32</v>
      </c>
      <c r="AD59" s="230">
        <f>T59-HLOOKUP(V59,Minimas!$C$3:$CD$12,4,FALSE)</f>
        <v>20</v>
      </c>
      <c r="AE59" s="230">
        <f>T59-HLOOKUP(V59,Minimas!$C$3:$CD$12,5,FALSE)</f>
        <v>5</v>
      </c>
      <c r="AF59" s="230">
        <f>T59-HLOOKUP(V59,Minimas!$C$3:$CD$12,6,FALSE)</f>
        <v>-16</v>
      </c>
      <c r="AG59" s="230">
        <f>T59-HLOOKUP(V59,Minimas!$C$3:$CD$12,7,FALSE)</f>
        <v>-31</v>
      </c>
      <c r="AH59" s="230">
        <f>T59-HLOOKUP(V59,Minimas!$C$3:$CD$12,8,FALSE)</f>
        <v>-48</v>
      </c>
      <c r="AI59" s="230">
        <f>T59-HLOOKUP(V59,Minimas!$C$3:$CD$12,9,FALSE)</f>
        <v>-68</v>
      </c>
      <c r="AJ59" s="230">
        <f>T59-HLOOKUP(V59,Minimas!$C$3:$CD$12,10,FALSE)</f>
        <v>-83</v>
      </c>
      <c r="AK59" s="231" t="str">
        <f t="shared" si="30"/>
        <v>IRG +</v>
      </c>
      <c r="AL59" s="232"/>
      <c r="AM59" s="232" t="str">
        <f t="shared" si="31"/>
        <v>IRG +</v>
      </c>
      <c r="AN59" s="232">
        <f t="shared" si="32"/>
        <v>5</v>
      </c>
      <c r="AO59" s="237"/>
      <c r="AP59" s="237"/>
      <c r="AQ59" s="237"/>
      <c r="AR59" s="237"/>
      <c r="AS59" s="237"/>
      <c r="AT59" s="237"/>
      <c r="AU59" s="237"/>
      <c r="AV59" s="237"/>
      <c r="AW59" s="237"/>
      <c r="AX59" s="237"/>
      <c r="AY59" s="237"/>
      <c r="AZ59" s="237"/>
      <c r="BA59" s="237"/>
      <c r="BB59" s="237"/>
      <c r="BC59" s="237"/>
      <c r="BD59" s="237"/>
      <c r="BE59" s="237"/>
      <c r="BF59" s="237"/>
      <c r="BG59" s="237"/>
      <c r="BH59" s="237"/>
      <c r="BI59" s="237"/>
      <c r="BJ59" s="237"/>
      <c r="BK59" s="237"/>
      <c r="BL59" s="237"/>
      <c r="BM59" s="237"/>
      <c r="BN59" s="237"/>
      <c r="BO59" s="237"/>
      <c r="BP59" s="237"/>
      <c r="BQ59" s="237"/>
      <c r="BR59" s="237"/>
      <c r="BS59" s="237"/>
      <c r="BT59" s="237"/>
      <c r="BU59" s="237"/>
      <c r="BV59" s="237"/>
      <c r="BW59" s="237"/>
      <c r="BX59" s="237"/>
      <c r="BY59" s="237"/>
      <c r="BZ59" s="237"/>
      <c r="CA59" s="237"/>
      <c r="CB59" s="237"/>
      <c r="CC59" s="237"/>
      <c r="CD59" s="237"/>
      <c r="CE59" s="237"/>
      <c r="CF59" s="237"/>
      <c r="CG59" s="237"/>
      <c r="CH59" s="237"/>
      <c r="CI59" s="237"/>
      <c r="CJ59" s="237"/>
      <c r="CK59" s="237"/>
      <c r="CL59" s="237"/>
      <c r="CM59" s="237"/>
      <c r="CN59" s="237"/>
      <c r="CO59" s="237"/>
      <c r="CP59" s="237"/>
      <c r="CQ59" s="237"/>
      <c r="CR59" s="237"/>
      <c r="CS59" s="237"/>
      <c r="CT59" s="237"/>
      <c r="CU59" s="237"/>
      <c r="CV59" s="237"/>
      <c r="CW59" s="237"/>
      <c r="CX59" s="237"/>
      <c r="CY59" s="237"/>
      <c r="CZ59" s="237"/>
      <c r="DA59" s="237"/>
      <c r="DB59" s="237"/>
      <c r="DC59" s="237"/>
      <c r="DD59" s="237"/>
      <c r="DE59" s="237"/>
      <c r="DF59" s="237"/>
      <c r="DG59" s="237"/>
      <c r="DH59" s="237"/>
      <c r="DI59" s="237"/>
      <c r="DJ59" s="237"/>
      <c r="DK59" s="237"/>
      <c r="DL59" s="237"/>
      <c r="DM59" s="237"/>
      <c r="DN59" s="237"/>
      <c r="DO59" s="237"/>
      <c r="DP59" s="237"/>
      <c r="DQ59" s="237"/>
      <c r="DR59" s="237"/>
      <c r="DS59" s="237"/>
      <c r="DT59" s="237"/>
      <c r="DU59" s="441"/>
      <c r="DV59" s="441"/>
      <c r="DW59" s="441"/>
      <c r="DX59" s="441"/>
      <c r="DY59" s="441"/>
      <c r="DZ59" s="441"/>
      <c r="EA59" s="441"/>
      <c r="EB59" s="441"/>
      <c r="EC59" s="441"/>
      <c r="ED59" s="441"/>
      <c r="EE59" s="441"/>
      <c r="EF59" s="441"/>
      <c r="EG59" s="441"/>
      <c r="EH59" s="441"/>
      <c r="EI59" s="441"/>
      <c r="EJ59" s="441"/>
      <c r="EK59" s="441"/>
      <c r="EL59" s="441"/>
      <c r="EM59" s="441"/>
      <c r="EN59" s="441"/>
      <c r="EO59" s="441"/>
      <c r="EP59" s="441"/>
      <c r="EQ59" s="441"/>
      <c r="ER59" s="441"/>
      <c r="ES59" s="441"/>
      <c r="ET59" s="441"/>
      <c r="EU59" s="441"/>
      <c r="EV59" s="441"/>
      <c r="EW59" s="441"/>
      <c r="EX59" s="441"/>
      <c r="EY59" s="441"/>
      <c r="EZ59" s="441"/>
      <c r="FA59" s="441"/>
      <c r="FB59" s="441"/>
      <c r="FC59" s="441"/>
      <c r="FD59" s="441"/>
      <c r="FE59" s="441"/>
      <c r="FF59" s="441"/>
      <c r="FG59" s="441"/>
      <c r="FH59" s="441"/>
      <c r="FI59" s="441"/>
      <c r="FJ59" s="441"/>
      <c r="FK59" s="441"/>
      <c r="FL59" s="441"/>
      <c r="FM59" s="441"/>
      <c r="FN59" s="441"/>
      <c r="FO59" s="441"/>
      <c r="FP59" s="441"/>
      <c r="FQ59" s="441"/>
      <c r="FR59" s="441"/>
      <c r="FS59" s="441"/>
      <c r="FT59" s="441"/>
      <c r="FU59" s="441"/>
      <c r="FV59" s="441"/>
      <c r="FW59" s="441"/>
    </row>
    <row r="60" spans="1:179" s="5" customFormat="1" ht="30" customHeight="1" x14ac:dyDescent="0.25">
      <c r="B60" s="355" t="s">
        <v>543</v>
      </c>
      <c r="C60" s="356">
        <v>448119</v>
      </c>
      <c r="D60" s="504"/>
      <c r="E60" s="497" t="s">
        <v>44</v>
      </c>
      <c r="F60" s="486" t="s">
        <v>895</v>
      </c>
      <c r="G60" s="487" t="s">
        <v>896</v>
      </c>
      <c r="H60" s="292">
        <v>1978</v>
      </c>
      <c r="I60" s="566" t="s">
        <v>440</v>
      </c>
      <c r="J60" s="290" t="s">
        <v>41</v>
      </c>
      <c r="K60" s="488">
        <v>52.4</v>
      </c>
      <c r="L60" s="295">
        <v>42</v>
      </c>
      <c r="M60" s="301">
        <v>45</v>
      </c>
      <c r="N60" s="301">
        <v>-47</v>
      </c>
      <c r="O60" s="363">
        <f t="shared" si="25"/>
        <v>45</v>
      </c>
      <c r="P60" s="300">
        <v>53</v>
      </c>
      <c r="Q60" s="301">
        <v>-57</v>
      </c>
      <c r="R60" s="301">
        <v>57</v>
      </c>
      <c r="S60" s="363">
        <f t="shared" si="26"/>
        <v>57</v>
      </c>
      <c r="T60" s="364">
        <f t="shared" si="27"/>
        <v>102</v>
      </c>
      <c r="U60" s="360" t="str">
        <f t="shared" si="28"/>
        <v>IRG + 0</v>
      </c>
      <c r="V60" s="360" t="str">
        <f>IF(E60=0," ",IF(E60="H",IF(H60&lt;1999,VLOOKUP(K60,[3]Minimas!$A$15:$F$29,6),IF(AND(H60&gt;1998,H60&lt;2002),VLOOKUP(K60,[3]Minimas!$A$15:$F$29,5),IF(AND(H60&gt;2001,H60&lt;2004),VLOOKUP(K60,[3]Minimas!$A$15:$F$29,4),IF(AND(H60&gt;2003,H60&lt;2006),VLOOKUP(K60,[3]Minimas!$A$15:$F$29,3),VLOOKUP(K60,[3]Minimas!$A$15:$F$29,2))))),IF(H60&lt;1999,VLOOKUP(K60,[3]Minimas!$G$15:$L$29,6),IF(AND(H60&gt;1998,H60&lt;2002),VLOOKUP(K60,[3]Minimas!$G$15:$L$29,5),IF(AND(H60&gt;2001,H60&lt;2004),VLOOKUP(K60,[3]Minimas!$G$15:$L$29,4),IF(AND(H60&gt;2003,H60&lt;2006),VLOOKUP(K60,[3]Minimas!$G$15:$L$29,3),VLOOKUP(K60,[3]Minimas!$G$15:$L$29,2)))))))</f>
        <v>SE F55</v>
      </c>
      <c r="W60" s="361">
        <f t="shared" si="29"/>
        <v>151.22723903818692</v>
      </c>
      <c r="X60" s="257">
        <v>43610</v>
      </c>
      <c r="Y60" s="261" t="s">
        <v>892</v>
      </c>
      <c r="Z60" s="618" t="s">
        <v>829</v>
      </c>
      <c r="AA60" s="232"/>
      <c r="AB60" s="230">
        <f>T60-HLOOKUP(V60,[3]Minimas!$C$3:$CD$12,2,FALSE)</f>
        <v>42</v>
      </c>
      <c r="AC60" s="230">
        <f>T60-HLOOKUP(V60,[3]Minimas!$C$3:$CD$12,3,FALSE)</f>
        <v>27</v>
      </c>
      <c r="AD60" s="230">
        <f>T60-HLOOKUP(V60,[3]Minimas!$C$3:$CD$12,4,FALSE)</f>
        <v>15</v>
      </c>
      <c r="AE60" s="230">
        <f>T60-HLOOKUP(V60,[3]Minimas!$C$3:$CD$12,5,FALSE)</f>
        <v>0</v>
      </c>
      <c r="AF60" s="230">
        <f>T60-HLOOKUP(V60,[3]Minimas!$C$3:$CD$12,6,FALSE)</f>
        <v>-21</v>
      </c>
      <c r="AG60" s="230">
        <f>T60-HLOOKUP(V60,[3]Minimas!$C$3:$CD$12,7,FALSE)</f>
        <v>-36</v>
      </c>
      <c r="AH60" s="230">
        <f>T60-HLOOKUP(V60,[3]Minimas!$C$3:$CD$12,8,FALSE)</f>
        <v>-53</v>
      </c>
      <c r="AI60" s="230">
        <f>T60-HLOOKUP(V60,[3]Minimas!$C$3:$CD$12,9,FALSE)</f>
        <v>-73</v>
      </c>
      <c r="AJ60" s="230">
        <f>T60-HLOOKUP(V60,[3]Minimas!$C$3:$CD$12,10,FALSE)</f>
        <v>-88</v>
      </c>
      <c r="AK60" s="231" t="str">
        <f t="shared" si="30"/>
        <v>IRG +</v>
      </c>
      <c r="AL60" s="232"/>
      <c r="AM60" s="232" t="str">
        <f t="shared" si="31"/>
        <v>IRG +</v>
      </c>
      <c r="AN60" s="232">
        <f t="shared" si="32"/>
        <v>0</v>
      </c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485"/>
      <c r="DE60" s="485"/>
      <c r="DF60" s="485"/>
      <c r="DG60" s="485"/>
      <c r="DH60" s="485"/>
      <c r="DI60" s="485"/>
      <c r="DJ60" s="485"/>
      <c r="DK60" s="485"/>
      <c r="DL60" s="485"/>
      <c r="DM60" s="485"/>
      <c r="DN60" s="485"/>
      <c r="DO60" s="485"/>
      <c r="DP60" s="485"/>
      <c r="DQ60" s="485"/>
      <c r="DR60" s="485"/>
      <c r="DS60" s="485"/>
      <c r="DT60" s="485"/>
    </row>
    <row r="61" spans="1:179" s="5" customFormat="1" ht="30" customHeight="1" x14ac:dyDescent="0.25">
      <c r="A61" s="1"/>
      <c r="B61" s="521" t="s">
        <v>543</v>
      </c>
      <c r="C61" s="166">
        <v>442055</v>
      </c>
      <c r="D61" s="167"/>
      <c r="E61" s="476" t="s">
        <v>44</v>
      </c>
      <c r="F61" s="143" t="s">
        <v>725</v>
      </c>
      <c r="G61" s="144" t="s">
        <v>726</v>
      </c>
      <c r="H61" s="145">
        <v>1996</v>
      </c>
      <c r="I61" s="172" t="s">
        <v>129</v>
      </c>
      <c r="J61" s="146" t="s">
        <v>44</v>
      </c>
      <c r="K61" s="200">
        <v>53.5</v>
      </c>
      <c r="L61" s="118">
        <v>29</v>
      </c>
      <c r="M61" s="118">
        <v>32</v>
      </c>
      <c r="N61" s="148">
        <v>-35</v>
      </c>
      <c r="O61" s="202">
        <f t="shared" si="25"/>
        <v>32</v>
      </c>
      <c r="P61" s="118">
        <v>35</v>
      </c>
      <c r="Q61" s="118">
        <v>40</v>
      </c>
      <c r="R61" s="148">
        <v>-45</v>
      </c>
      <c r="S61" s="202">
        <f t="shared" si="26"/>
        <v>40</v>
      </c>
      <c r="T61" s="203">
        <f>IF(E61="","",O61+S61)</f>
        <v>72</v>
      </c>
      <c r="U61" s="204" t="str">
        <f t="shared" si="28"/>
        <v>DEB 12</v>
      </c>
      <c r="V61" s="204" t="str">
        <f>IF(E61=0," ",IF(E61="H",IF(H61&lt;1999,VLOOKUP(K61,[13]Minimas!$A$15:$F$29,6),IF(AND(H61&gt;1998,H61&lt;2002),VLOOKUP(K61,[13]Minimas!$A$15:$F$29,5),IF(AND(H61&gt;2001,H61&lt;2004),VLOOKUP(K61,[13]Minimas!$A$15:$F$29,4),IF(AND(H61&gt;2003,H61&lt;2006),VLOOKUP(K61,[13]Minimas!$A$15:$F$29,3),VLOOKUP(K61,[13]Minimas!$A$15:$F$29,2))))),IF(H61&lt;1999,VLOOKUP(K61,[13]Minimas!$G$15:$L$29,6),IF(AND(H61&gt;1998,H61&lt;2002),VLOOKUP(K61,[13]Minimas!$G$15:$L$29,5),IF(AND(H61&gt;2001,H61&lt;2004),VLOOKUP(K61,[13]Minimas!$G$15:$L$29,4),IF(AND(H61&gt;2003,H61&lt;2006),VLOOKUP(K61,[13]Minimas!$G$15:$L$29,3),VLOOKUP(K61,[13]Minimas!$G$15:$L$29,2)))))))</f>
        <v>SE F55</v>
      </c>
      <c r="W61" s="205">
        <f t="shared" si="29"/>
        <v>105.1527274868217</v>
      </c>
      <c r="X61" s="257">
        <v>43540</v>
      </c>
      <c r="Y61" s="261" t="s">
        <v>714</v>
      </c>
      <c r="Z61" s="261" t="s">
        <v>704</v>
      </c>
      <c r="AA61" s="463"/>
      <c r="AB61" s="230">
        <f>T61-HLOOKUP(V61,Minimas!$C$3:$CD$12,2,FALSE)</f>
        <v>12</v>
      </c>
      <c r="AC61" s="230">
        <f>T61-HLOOKUP(V61,Minimas!$C$3:$CD$12,3,FALSE)</f>
        <v>-3</v>
      </c>
      <c r="AD61" s="230">
        <f>T61-HLOOKUP(V61,Minimas!$C$3:$CD$12,4,FALSE)</f>
        <v>-15</v>
      </c>
      <c r="AE61" s="230">
        <f>T61-HLOOKUP(V61,Minimas!$C$3:$CD$12,5,FALSE)</f>
        <v>-30</v>
      </c>
      <c r="AF61" s="230">
        <f>T61-HLOOKUP(V61,Minimas!$C$3:$CD$12,6,FALSE)</f>
        <v>-51</v>
      </c>
      <c r="AG61" s="230">
        <f>T61-HLOOKUP(V61,Minimas!$C$3:$CD$12,7,FALSE)</f>
        <v>-66</v>
      </c>
      <c r="AH61" s="230">
        <f>T61-HLOOKUP(V61,Minimas!$C$3:$CD$12,8,FALSE)</f>
        <v>-83</v>
      </c>
      <c r="AI61" s="230">
        <f>T61-HLOOKUP(V61,Minimas!$C$3:$CD$12,9,FALSE)</f>
        <v>-103</v>
      </c>
      <c r="AJ61" s="230">
        <f>T61-HLOOKUP(V61,Minimas!$C$3:$CD$12,10,FALSE)</f>
        <v>-118</v>
      </c>
      <c r="AK61" s="231" t="str">
        <f>IF(E61=0," ",IF(AJ61&gt;=0,MASCULINS!$AJ$5,IF(AI61&gt;=0,MASCULINS!$AI$5,IF(AH61&gt;=0,MASCULINS!$AH$5,IF(AG61&gt;=0,MASCULINS!$AG$5,IF(AF61&gt;=0,MASCULINS!$AF$5,IF(AE61&gt;=0,MASCULINS!$AE$5,IF(AD61&gt;=0,MASCULINS!$AD$5,IF(AC61&gt;=0,MASCULINS!$AC$5,MASCULINS!$AB$5)))))))))</f>
        <v>DEB</v>
      </c>
      <c r="AL61" s="232"/>
      <c r="AM61" s="232" t="str">
        <f t="shared" si="31"/>
        <v>DEB</v>
      </c>
      <c r="AN61" s="232">
        <f t="shared" si="32"/>
        <v>12</v>
      </c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34"/>
      <c r="BR61" s="34"/>
      <c r="BS61" s="34"/>
      <c r="BT61" s="34"/>
      <c r="BU61" s="34"/>
      <c r="BV61" s="34"/>
      <c r="BW61" s="34"/>
      <c r="BX61" s="34"/>
      <c r="BY61" s="34"/>
      <c r="BZ61" s="34"/>
      <c r="CA61" s="34"/>
      <c r="CB61" s="34"/>
      <c r="CC61" s="34"/>
      <c r="CD61" s="34"/>
      <c r="CE61" s="34"/>
      <c r="CF61" s="34"/>
      <c r="CG61" s="34"/>
      <c r="CH61" s="34"/>
      <c r="CI61" s="34"/>
      <c r="CJ61" s="34"/>
      <c r="CK61" s="34"/>
      <c r="CL61" s="34"/>
      <c r="CM61" s="34"/>
      <c r="CN61" s="34"/>
      <c r="CO61" s="34"/>
      <c r="CP61" s="34"/>
      <c r="CQ61" s="34"/>
      <c r="CR61" s="34"/>
      <c r="CS61" s="34"/>
      <c r="CT61" s="34"/>
      <c r="CU61" s="34"/>
      <c r="CV61" s="34"/>
      <c r="CW61" s="34"/>
      <c r="CX61" s="34"/>
      <c r="CY61" s="34"/>
      <c r="CZ61" s="34"/>
      <c r="DA61" s="34"/>
      <c r="DB61" s="34"/>
      <c r="DC61" s="34"/>
      <c r="DD61" s="34"/>
      <c r="DE61" s="34"/>
      <c r="DF61" s="34"/>
      <c r="DG61" s="34"/>
      <c r="DH61" s="34"/>
      <c r="DI61" s="34"/>
      <c r="DJ61" s="34"/>
      <c r="DK61" s="34"/>
      <c r="DL61" s="34"/>
      <c r="DM61" s="34"/>
      <c r="DN61" s="34"/>
      <c r="DO61" s="34"/>
      <c r="DP61" s="34"/>
      <c r="DQ61" s="34"/>
      <c r="DR61" s="34"/>
      <c r="DS61" s="34"/>
      <c r="DT61" s="34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</row>
    <row r="62" spans="1:179" s="5" customFormat="1" ht="30" customHeight="1" x14ac:dyDescent="0.3">
      <c r="A62" s="441"/>
      <c r="B62" s="97" t="s">
        <v>543</v>
      </c>
      <c r="C62" s="166">
        <v>439589</v>
      </c>
      <c r="D62" s="199"/>
      <c r="E62" s="476" t="s">
        <v>44</v>
      </c>
      <c r="F62" s="143" t="s">
        <v>177</v>
      </c>
      <c r="G62" s="144" t="s">
        <v>178</v>
      </c>
      <c r="H62" s="145">
        <v>1993</v>
      </c>
      <c r="I62" s="172" t="s">
        <v>139</v>
      </c>
      <c r="J62" s="146" t="s">
        <v>44</v>
      </c>
      <c r="K62" s="200">
        <v>53.1</v>
      </c>
      <c r="L62" s="118">
        <v>26</v>
      </c>
      <c r="M62" s="118">
        <v>29</v>
      </c>
      <c r="N62" s="118">
        <v>31</v>
      </c>
      <c r="O62" s="202">
        <f t="shared" si="25"/>
        <v>31</v>
      </c>
      <c r="P62" s="118">
        <v>35</v>
      </c>
      <c r="Q62" s="118">
        <v>38</v>
      </c>
      <c r="R62" s="118">
        <v>40</v>
      </c>
      <c r="S62" s="202">
        <f t="shared" si="26"/>
        <v>40</v>
      </c>
      <c r="T62" s="203">
        <f>IF(E62="","",IF(OR(O62=0,S62=0),0,O62+S62))</f>
        <v>71</v>
      </c>
      <c r="U62" s="204" t="str">
        <f t="shared" si="28"/>
        <v>DEB 11</v>
      </c>
      <c r="V62" s="204" t="str">
        <f>IF(E62=0," ",IF(E62="H",IF(H62&lt;1999,VLOOKUP(K62,Minimas!$A$15:$F$29,6),IF(AND(H62&gt;1998,H62&lt;2002),VLOOKUP(K62,Minimas!$A$15:$F$29,5),IF(AND(H62&gt;2001,H62&lt;2004),VLOOKUP(K62,Minimas!$A$15:$F$29,4),IF(AND(H62&gt;2003,H62&lt;2006),VLOOKUP(K62,Minimas!$A$15:$F$29,3),VLOOKUP(K62,Minimas!$A$15:$F$29,2))))),IF(H62&lt;1999,VLOOKUP(K62,Minimas!$G$15:$L$29,6),IF(AND(H62&gt;1998,H62&lt;2002),VLOOKUP(K62,Minimas!$G$15:$L$29,5),IF(AND(H62&gt;2001,H62&lt;2004),VLOOKUP(K62,Minimas!$G$15:$L$29,4),IF(AND(H62&gt;2003,H62&lt;2006),VLOOKUP(K62,Minimas!$G$15:$L$29,3),VLOOKUP(K62,Minimas!$G$15:$L$29,2)))))))</f>
        <v>SE F55</v>
      </c>
      <c r="W62" s="205">
        <f t="shared" si="29"/>
        <v>104.25450268025119</v>
      </c>
      <c r="X62" s="184">
        <v>43436</v>
      </c>
      <c r="Y62" s="186" t="s">
        <v>526</v>
      </c>
      <c r="Z62" s="278" t="s">
        <v>514</v>
      </c>
      <c r="AA62" s="467"/>
      <c r="AB62" s="230">
        <f>T62-HLOOKUP(V62,Minimas!$C$3:$CD$12,2,FALSE)</f>
        <v>11</v>
      </c>
      <c r="AC62" s="230">
        <f>T62-HLOOKUP(V62,Minimas!$C$3:$CD$12,3,FALSE)</f>
        <v>-4</v>
      </c>
      <c r="AD62" s="230">
        <f>T62-HLOOKUP(V62,Minimas!$C$3:$CD$12,4,FALSE)</f>
        <v>-16</v>
      </c>
      <c r="AE62" s="230">
        <f>T62-HLOOKUP(V62,Minimas!$C$3:$CD$12,5,FALSE)</f>
        <v>-31</v>
      </c>
      <c r="AF62" s="230">
        <f>T62-HLOOKUP(V62,Minimas!$C$3:$CD$12,6,FALSE)</f>
        <v>-52</v>
      </c>
      <c r="AG62" s="230">
        <f>T62-HLOOKUP(V62,Minimas!$C$3:$CD$12,7,FALSE)</f>
        <v>-67</v>
      </c>
      <c r="AH62" s="230">
        <f>T62-HLOOKUP(V62,Minimas!$C$3:$CD$12,8,FALSE)</f>
        <v>-84</v>
      </c>
      <c r="AI62" s="230">
        <f>T62-HLOOKUP(V62,Minimas!$C$3:$CD$12,9,FALSE)</f>
        <v>-104</v>
      </c>
      <c r="AJ62" s="230">
        <f>T62-HLOOKUP(V62,Minimas!$C$3:$CD$12,10,FALSE)</f>
        <v>-119</v>
      </c>
      <c r="AK62" s="231" t="str">
        <f>IF(E62=0," ",IF(AJ62&gt;=0,$AJ$5,IF(AI62&gt;=0,$AI$5,IF(AH62&gt;=0,$AH$5,IF(AG62&gt;=0,$AG$5,IF(AF62&gt;=0,$AF$5,IF(AE62&gt;=0,$AE$5,IF(AD62&gt;=0,$AD$5,IF(AC62&gt;=0,$AC$5,$AB$5)))))))))</f>
        <v>DEB</v>
      </c>
      <c r="AL62" s="232"/>
      <c r="AM62" s="232" t="str">
        <f t="shared" si="31"/>
        <v>DEB</v>
      </c>
      <c r="AN62" s="232">
        <f t="shared" si="32"/>
        <v>11</v>
      </c>
      <c r="AO62" s="485"/>
      <c r="AP62" s="485"/>
      <c r="AQ62" s="485"/>
      <c r="AR62" s="485"/>
      <c r="AS62" s="485"/>
      <c r="AT62" s="485"/>
      <c r="AU62" s="485"/>
      <c r="AV62" s="485"/>
      <c r="AW62" s="485"/>
      <c r="AX62" s="485"/>
      <c r="AY62" s="485"/>
      <c r="AZ62" s="485"/>
      <c r="BA62" s="485"/>
      <c r="BB62" s="485"/>
      <c r="BC62" s="485"/>
      <c r="BD62" s="485"/>
      <c r="BE62" s="485"/>
      <c r="BF62" s="485"/>
      <c r="BG62" s="485"/>
      <c r="BH62" s="485"/>
      <c r="BI62" s="485"/>
      <c r="BJ62" s="485"/>
      <c r="BK62" s="485"/>
      <c r="BL62" s="485"/>
      <c r="BM62" s="485"/>
      <c r="BN62" s="485"/>
      <c r="BO62" s="485"/>
      <c r="BP62" s="485"/>
      <c r="BQ62" s="485"/>
      <c r="BR62" s="485"/>
      <c r="BS62" s="485"/>
      <c r="BT62" s="485"/>
      <c r="BU62" s="485"/>
      <c r="BV62" s="485"/>
      <c r="BW62" s="485"/>
      <c r="BX62" s="485"/>
      <c r="BY62" s="485"/>
      <c r="BZ62" s="485"/>
      <c r="CA62" s="485"/>
      <c r="CB62" s="485"/>
      <c r="CC62" s="485"/>
      <c r="CD62" s="485"/>
      <c r="CE62" s="485"/>
      <c r="CF62" s="485"/>
      <c r="CG62" s="485"/>
      <c r="CH62" s="485"/>
      <c r="CI62" s="485"/>
      <c r="CJ62" s="485"/>
      <c r="CK62" s="485"/>
      <c r="CL62" s="485"/>
      <c r="CM62" s="485"/>
      <c r="CN62" s="485"/>
      <c r="CO62" s="485"/>
      <c r="CP62" s="485"/>
      <c r="CQ62" s="485"/>
      <c r="CR62" s="485"/>
      <c r="CS62" s="485"/>
      <c r="CT62" s="485"/>
      <c r="CU62" s="485"/>
      <c r="CV62" s="485"/>
      <c r="CW62" s="485"/>
      <c r="CX62" s="485"/>
      <c r="CY62" s="485"/>
      <c r="CZ62" s="485"/>
      <c r="DA62" s="485"/>
      <c r="DB62" s="485"/>
      <c r="DC62" s="485"/>
      <c r="DD62" s="485"/>
      <c r="DE62" s="485"/>
      <c r="DF62" s="485"/>
      <c r="DG62" s="485"/>
      <c r="DH62" s="485"/>
      <c r="DI62" s="485"/>
      <c r="DJ62" s="485"/>
      <c r="DK62" s="485"/>
      <c r="DL62" s="485"/>
      <c r="DM62" s="485"/>
      <c r="DN62" s="485"/>
      <c r="DO62" s="485"/>
      <c r="DP62" s="485"/>
      <c r="DQ62" s="485"/>
      <c r="DR62" s="485"/>
      <c r="DS62" s="485"/>
      <c r="DT62" s="485"/>
    </row>
    <row r="63" spans="1:179" s="5" customFormat="1" ht="30" customHeight="1" x14ac:dyDescent="0.25">
      <c r="A63" s="1"/>
      <c r="B63" s="521" t="s">
        <v>543</v>
      </c>
      <c r="C63" s="166">
        <v>438560</v>
      </c>
      <c r="D63" s="167"/>
      <c r="E63" s="476" t="s">
        <v>44</v>
      </c>
      <c r="F63" s="143" t="s">
        <v>754</v>
      </c>
      <c r="G63" s="144" t="s">
        <v>755</v>
      </c>
      <c r="H63" s="145">
        <v>1989</v>
      </c>
      <c r="I63" s="172" t="s">
        <v>129</v>
      </c>
      <c r="J63" s="146" t="s">
        <v>44</v>
      </c>
      <c r="K63" s="200">
        <v>51</v>
      </c>
      <c r="L63" s="118">
        <v>25</v>
      </c>
      <c r="M63" s="118">
        <v>28</v>
      </c>
      <c r="N63" s="118">
        <v>30</v>
      </c>
      <c r="O63" s="674">
        <v>30</v>
      </c>
      <c r="P63" s="118">
        <v>35</v>
      </c>
      <c r="Q63" s="118">
        <v>38</v>
      </c>
      <c r="R63" s="118">
        <v>40</v>
      </c>
      <c r="S63" s="202">
        <f t="shared" si="26"/>
        <v>40</v>
      </c>
      <c r="T63" s="203">
        <f>IF(E63="","",O63+S63)</f>
        <v>70</v>
      </c>
      <c r="U63" s="204" t="str">
        <f t="shared" si="28"/>
        <v>DEB 10</v>
      </c>
      <c r="V63" s="204" t="str">
        <f>IF(E63=0," ",IF(E63="H",IF(H63&lt;1999,VLOOKUP(K63,[7]Minimas!$A$15:$F$29,6),IF(AND(H63&gt;1998,H63&lt;2002),VLOOKUP(K63,[7]Minimas!$A$15:$F$29,5),IF(AND(H63&gt;2001,H63&lt;2004),VLOOKUP(K63,[7]Minimas!$A$15:$F$29,4),IF(AND(H63&gt;2003,H63&lt;2006),VLOOKUP(K63,[7]Minimas!$A$15:$F$29,3),VLOOKUP(K63,[7]Minimas!$A$15:$F$29,2))))),IF(H63&lt;1999,VLOOKUP(K63,[7]Minimas!$G$15:$L$29,6),IF(AND(H63&gt;1998,H63&lt;2002),VLOOKUP(K63,[7]Minimas!$G$15:$L$29,5),IF(AND(H63&gt;2001,H63&lt;2004),VLOOKUP(K63,[7]Minimas!$G$15:$L$29,4),IF(AND(H63&gt;2003,H63&lt;2006),VLOOKUP(K63,[7]Minimas!$G$15:$L$29,3),VLOOKUP(K63,[7]Minimas!$G$15:$L$29,2)))))))</f>
        <v>SE F55</v>
      </c>
      <c r="W63" s="205">
        <f t="shared" si="29"/>
        <v>105.88802831477217</v>
      </c>
      <c r="X63" s="257">
        <v>43540</v>
      </c>
      <c r="Y63" s="261" t="s">
        <v>714</v>
      </c>
      <c r="Z63" s="261" t="s">
        <v>704</v>
      </c>
      <c r="AA63" s="463"/>
      <c r="AB63" s="230">
        <f>T63-HLOOKUP(V63,Minimas!$C$3:$CD$12,2,FALSE)</f>
        <v>10</v>
      </c>
      <c r="AC63" s="230">
        <f>T63-HLOOKUP(V63,Minimas!$C$3:$CD$12,3,FALSE)</f>
        <v>-5</v>
      </c>
      <c r="AD63" s="230">
        <f>T63-HLOOKUP(V63,Minimas!$C$3:$CD$12,4,FALSE)</f>
        <v>-17</v>
      </c>
      <c r="AE63" s="230">
        <f>T63-HLOOKUP(V63,Minimas!$C$3:$CD$12,5,FALSE)</f>
        <v>-32</v>
      </c>
      <c r="AF63" s="230">
        <f>T63-HLOOKUP(V63,Minimas!$C$3:$CD$12,6,FALSE)</f>
        <v>-53</v>
      </c>
      <c r="AG63" s="230">
        <f>T63-HLOOKUP(V63,Minimas!$C$3:$CD$12,7,FALSE)</f>
        <v>-68</v>
      </c>
      <c r="AH63" s="230">
        <f>T63-HLOOKUP(V63,Minimas!$C$3:$CD$12,8,FALSE)</f>
        <v>-85</v>
      </c>
      <c r="AI63" s="230">
        <f>T63-HLOOKUP(V63,Minimas!$C$3:$CD$12,9,FALSE)</f>
        <v>-105</v>
      </c>
      <c r="AJ63" s="230">
        <f>T63-HLOOKUP(V63,Minimas!$C$3:$CD$12,10,FALSE)</f>
        <v>-120</v>
      </c>
      <c r="AK63" s="231" t="str">
        <f>IF(E63=0," ",IF(AJ63&gt;=0,MASCULINS!$AJ$5,IF(AI63&gt;=0,MASCULINS!$AI$5,IF(AH63&gt;=0,MASCULINS!$AH$5,IF(AG63&gt;=0,MASCULINS!$AG$5,IF(AF63&gt;=0,MASCULINS!$AF$5,IF(AE63&gt;=0,MASCULINS!$AE$5,IF(AD63&gt;=0,MASCULINS!$AD$5,IF(AC63&gt;=0,MASCULINS!$AC$5,MASCULINS!$AB$5)))))))))</f>
        <v>DEB</v>
      </c>
      <c r="AL63" s="232"/>
      <c r="AM63" s="232" t="str">
        <f t="shared" si="31"/>
        <v>DEB</v>
      </c>
      <c r="AN63" s="232">
        <f t="shared" si="32"/>
        <v>10</v>
      </c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  <c r="BL63" s="34"/>
      <c r="BM63" s="34"/>
      <c r="BN63" s="34"/>
      <c r="BO63" s="34"/>
      <c r="BP63" s="34"/>
      <c r="BQ63" s="34"/>
      <c r="BR63" s="34"/>
      <c r="BS63" s="34"/>
      <c r="BT63" s="34"/>
      <c r="BU63" s="34"/>
      <c r="BV63" s="34"/>
      <c r="BW63" s="34"/>
      <c r="BX63" s="34"/>
      <c r="BY63" s="34"/>
      <c r="BZ63" s="34"/>
      <c r="CA63" s="34"/>
      <c r="CB63" s="34"/>
      <c r="CC63" s="34"/>
      <c r="CD63" s="34"/>
      <c r="CE63" s="34"/>
      <c r="CF63" s="34"/>
      <c r="CG63" s="34"/>
      <c r="CH63" s="34"/>
      <c r="CI63" s="34"/>
      <c r="CJ63" s="34"/>
      <c r="CK63" s="34"/>
      <c r="CL63" s="34"/>
      <c r="CM63" s="34"/>
      <c r="CN63" s="34"/>
      <c r="CO63" s="34"/>
      <c r="CP63" s="34"/>
      <c r="CQ63" s="34"/>
      <c r="CR63" s="34"/>
      <c r="CS63" s="34"/>
      <c r="CT63" s="34"/>
      <c r="CU63" s="34"/>
      <c r="CV63" s="34"/>
      <c r="CW63" s="34"/>
      <c r="CX63" s="34"/>
      <c r="CY63" s="34"/>
      <c r="CZ63" s="34"/>
      <c r="DA63" s="34"/>
      <c r="DB63" s="34"/>
      <c r="DC63" s="34"/>
      <c r="DD63" s="34"/>
      <c r="DE63" s="34"/>
      <c r="DF63" s="34"/>
      <c r="DG63" s="34"/>
      <c r="DH63" s="34"/>
      <c r="DI63" s="34"/>
      <c r="DJ63" s="34"/>
      <c r="DK63" s="34"/>
      <c r="DL63" s="34"/>
      <c r="DM63" s="34"/>
      <c r="DN63" s="34"/>
      <c r="DO63" s="34"/>
      <c r="DP63" s="34"/>
      <c r="DQ63" s="34"/>
      <c r="DR63" s="34"/>
      <c r="DS63" s="34"/>
      <c r="DT63" s="34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</row>
    <row r="64" spans="1:179" s="5" customFormat="1" ht="30" customHeight="1" x14ac:dyDescent="0.25">
      <c r="A64" s="1"/>
      <c r="B64" s="521" t="s">
        <v>543</v>
      </c>
      <c r="C64" s="166">
        <v>442047</v>
      </c>
      <c r="D64" s="167"/>
      <c r="E64" s="476" t="s">
        <v>44</v>
      </c>
      <c r="F64" s="143" t="s">
        <v>730</v>
      </c>
      <c r="G64" s="144" t="s">
        <v>731</v>
      </c>
      <c r="H64" s="145">
        <v>1991</v>
      </c>
      <c r="I64" s="172" t="s">
        <v>129</v>
      </c>
      <c r="J64" s="146" t="s">
        <v>44</v>
      </c>
      <c r="K64" s="200">
        <v>51.4</v>
      </c>
      <c r="L64" s="148">
        <v>-28</v>
      </c>
      <c r="M64" s="118">
        <v>28</v>
      </c>
      <c r="N64" s="148">
        <v>-30</v>
      </c>
      <c r="O64" s="202">
        <f t="shared" ref="O64:O74" si="33">IF(E64="","",IF(MAXA(L64:N64)&lt;=0,0,MAXA(L64:N64)))</f>
        <v>28</v>
      </c>
      <c r="P64" s="118">
        <v>35</v>
      </c>
      <c r="Q64" s="118">
        <v>40</v>
      </c>
      <c r="R64" s="148">
        <v>-45</v>
      </c>
      <c r="S64" s="202">
        <f t="shared" si="26"/>
        <v>40</v>
      </c>
      <c r="T64" s="203">
        <f>IF(E64="","",O64+S64)</f>
        <v>68</v>
      </c>
      <c r="U64" s="204" t="str">
        <f t="shared" si="28"/>
        <v>DEB 8</v>
      </c>
      <c r="V64" s="204" t="str">
        <f>IF(E64=0," ",IF(E64="H",IF(H64&lt;1999,VLOOKUP(K64,[13]Minimas!$A$15:$F$29,6),IF(AND(H64&gt;1998,H64&lt;2002),VLOOKUP(K64,[13]Minimas!$A$15:$F$29,5),IF(AND(H64&gt;2001,H64&lt;2004),VLOOKUP(K64,[13]Minimas!$A$15:$F$29,4),IF(AND(H64&gt;2003,H64&lt;2006),VLOOKUP(K64,[13]Minimas!$A$15:$F$29,3),VLOOKUP(K64,[13]Minimas!$A$15:$F$29,2))))),IF(H64&lt;1999,VLOOKUP(K64,[13]Minimas!$G$15:$L$29,6),IF(AND(H64&gt;1998,H64&lt;2002),VLOOKUP(K64,[13]Minimas!$G$15:$L$29,5),IF(AND(H64&gt;2001,H64&lt;2004),VLOOKUP(K64,[13]Minimas!$G$15:$L$29,4),IF(AND(H64&gt;2003,H64&lt;2006),VLOOKUP(K64,[13]Minimas!$G$15:$L$29,3),VLOOKUP(K64,[13]Minimas!$G$15:$L$29,2)))))))</f>
        <v>SE F55</v>
      </c>
      <c r="W64" s="205">
        <f t="shared" si="29"/>
        <v>102.26338587095229</v>
      </c>
      <c r="X64" s="257">
        <v>43540</v>
      </c>
      <c r="Y64" s="261" t="s">
        <v>714</v>
      </c>
      <c r="Z64" s="261" t="s">
        <v>704</v>
      </c>
      <c r="AA64" s="463"/>
      <c r="AB64" s="230">
        <f>T64-HLOOKUP(V64,Minimas!$C$3:$CD$12,2,FALSE)</f>
        <v>8</v>
      </c>
      <c r="AC64" s="230">
        <f>T64-HLOOKUP(V64,Minimas!$C$3:$CD$12,3,FALSE)</f>
        <v>-7</v>
      </c>
      <c r="AD64" s="230">
        <f>T64-HLOOKUP(V64,Minimas!$C$3:$CD$12,4,FALSE)</f>
        <v>-19</v>
      </c>
      <c r="AE64" s="230">
        <f>T64-HLOOKUP(V64,Minimas!$C$3:$CD$12,5,FALSE)</f>
        <v>-34</v>
      </c>
      <c r="AF64" s="230">
        <f>T64-HLOOKUP(V64,Minimas!$C$3:$CD$12,6,FALSE)</f>
        <v>-55</v>
      </c>
      <c r="AG64" s="230">
        <f>T64-HLOOKUP(V64,Minimas!$C$3:$CD$12,7,FALSE)</f>
        <v>-70</v>
      </c>
      <c r="AH64" s="230">
        <f>T64-HLOOKUP(V64,Minimas!$C$3:$CD$12,8,FALSE)</f>
        <v>-87</v>
      </c>
      <c r="AI64" s="230">
        <f>T64-HLOOKUP(V64,Minimas!$C$3:$CD$12,9,FALSE)</f>
        <v>-107</v>
      </c>
      <c r="AJ64" s="230">
        <f>T64-HLOOKUP(V64,Minimas!$C$3:$CD$12,10,FALSE)</f>
        <v>-122</v>
      </c>
      <c r="AK64" s="231" t="str">
        <f>IF(E64=0," ",IF(AJ64&gt;=0,MASCULINS!$AJ$5,IF(AI64&gt;=0,MASCULINS!$AI$5,IF(AH64&gt;=0,MASCULINS!$AH$5,IF(AG64&gt;=0,MASCULINS!$AG$5,IF(AF64&gt;=0,MASCULINS!$AF$5,IF(AE64&gt;=0,MASCULINS!$AE$5,IF(AD64&gt;=0,MASCULINS!$AD$5,IF(AC64&gt;=0,MASCULINS!$AC$5,MASCULINS!$AB$5)))))))))</f>
        <v>DEB</v>
      </c>
      <c r="AL64" s="232"/>
      <c r="AM64" s="232" t="str">
        <f t="shared" si="31"/>
        <v>DEB</v>
      </c>
      <c r="AN64" s="232">
        <f t="shared" si="32"/>
        <v>8</v>
      </c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  <c r="BF64" s="34"/>
      <c r="BG64" s="34"/>
      <c r="BH64" s="34"/>
      <c r="BI64" s="34"/>
      <c r="BJ64" s="34"/>
      <c r="BK64" s="34"/>
      <c r="BL64" s="34"/>
      <c r="BM64" s="34"/>
      <c r="BN64" s="34"/>
      <c r="BO64" s="34"/>
      <c r="BP64" s="34"/>
      <c r="BQ64" s="34"/>
      <c r="BR64" s="34"/>
      <c r="BS64" s="34"/>
      <c r="BT64" s="34"/>
      <c r="BU64" s="34"/>
      <c r="BV64" s="34"/>
      <c r="BW64" s="34"/>
      <c r="BX64" s="34"/>
      <c r="BY64" s="34"/>
      <c r="BZ64" s="34"/>
      <c r="CA64" s="34"/>
      <c r="CB64" s="34"/>
      <c r="CC64" s="34"/>
      <c r="CD64" s="34"/>
      <c r="CE64" s="34"/>
      <c r="CF64" s="34"/>
      <c r="CG64" s="34"/>
      <c r="CH64" s="34"/>
      <c r="CI64" s="34"/>
      <c r="CJ64" s="34"/>
      <c r="CK64" s="34"/>
      <c r="CL64" s="34"/>
      <c r="CM64" s="34"/>
      <c r="CN64" s="34"/>
      <c r="CO64" s="34"/>
      <c r="CP64" s="34"/>
      <c r="CQ64" s="34"/>
      <c r="CR64" s="34"/>
      <c r="CS64" s="34"/>
      <c r="CT64" s="34"/>
      <c r="CU64" s="34"/>
      <c r="CV64" s="34"/>
      <c r="CW64" s="34"/>
      <c r="CX64" s="34"/>
      <c r="CY64" s="34"/>
      <c r="CZ64" s="34"/>
      <c r="DA64" s="34"/>
      <c r="DB64" s="34"/>
      <c r="DC64" s="34"/>
      <c r="DD64" s="34"/>
      <c r="DE64" s="34"/>
      <c r="DF64" s="34"/>
      <c r="DG64" s="34"/>
      <c r="DH64" s="34"/>
      <c r="DI64" s="34"/>
      <c r="DJ64" s="34"/>
      <c r="DK64" s="34"/>
      <c r="DL64" s="34"/>
      <c r="DM64" s="34"/>
      <c r="DN64" s="34"/>
      <c r="DO64" s="34"/>
      <c r="DP64" s="34"/>
      <c r="DQ64" s="34"/>
      <c r="DR64" s="34"/>
      <c r="DS64" s="34"/>
      <c r="DT64" s="34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</row>
    <row r="65" spans="1:179" s="5" customFormat="1" ht="30" customHeight="1" x14ac:dyDescent="0.25">
      <c r="A65" s="1"/>
      <c r="B65" s="521" t="s">
        <v>543</v>
      </c>
      <c r="C65" s="468">
        <v>445960</v>
      </c>
      <c r="D65" s="167"/>
      <c r="E65" s="315" t="s">
        <v>44</v>
      </c>
      <c r="F65" s="288" t="s">
        <v>756</v>
      </c>
      <c r="G65" s="491" t="s">
        <v>757</v>
      </c>
      <c r="H65" s="289">
        <v>1990</v>
      </c>
      <c r="I65" s="172" t="s">
        <v>129</v>
      </c>
      <c r="J65" s="287" t="s">
        <v>44</v>
      </c>
      <c r="K65" s="503">
        <v>50.5</v>
      </c>
      <c r="L65" s="295">
        <v>25</v>
      </c>
      <c r="M65" s="451">
        <v>-27</v>
      </c>
      <c r="N65" s="296">
        <v>27</v>
      </c>
      <c r="O65" s="501">
        <f t="shared" si="33"/>
        <v>27</v>
      </c>
      <c r="P65" s="295">
        <v>33</v>
      </c>
      <c r="Q65" s="296">
        <v>36</v>
      </c>
      <c r="R65" s="296">
        <v>40</v>
      </c>
      <c r="S65" s="501">
        <f t="shared" si="26"/>
        <v>40</v>
      </c>
      <c r="T65" s="502">
        <f>IF(E65="","",O65+S65)</f>
        <v>67</v>
      </c>
      <c r="U65" s="48" t="str">
        <f t="shared" si="28"/>
        <v>DEB 7</v>
      </c>
      <c r="V65" s="48" t="str">
        <f>IF(E65=0," ",IF(E65="H",IF(H65&lt;1999,VLOOKUP(K65,[7]Minimas!$A$15:$F$29,6),IF(AND(H65&gt;1998,H65&lt;2002),VLOOKUP(K65,[7]Minimas!$A$15:$F$29,5),IF(AND(H65&gt;2001,H65&lt;2004),VLOOKUP(K65,[7]Minimas!$A$15:$F$29,4),IF(AND(H65&gt;2003,H65&lt;2006),VLOOKUP(K65,[7]Minimas!$A$15:$F$29,3),VLOOKUP(K65,[7]Minimas!$A$15:$F$29,2))))),IF(H65&lt;1999,VLOOKUP(K65,[7]Minimas!$G$15:$L$29,6),IF(AND(H65&gt;1998,H65&lt;2002),VLOOKUP(K65,[7]Minimas!$G$15:$L$29,5),IF(AND(H65&gt;2001,H65&lt;2004),VLOOKUP(K65,[7]Minimas!$G$15:$L$29,4),IF(AND(H65&gt;2003,H65&lt;2006),VLOOKUP(K65,[7]Minimas!$G$15:$L$29,3),VLOOKUP(K65,[7]Minimas!$G$15:$L$29,2)))))))</f>
        <v>SE F55</v>
      </c>
      <c r="W65" s="60">
        <f t="shared" si="29"/>
        <v>102.10557061160988</v>
      </c>
      <c r="X65" s="257">
        <v>43540</v>
      </c>
      <c r="Y65" s="261" t="s">
        <v>714</v>
      </c>
      <c r="Z65" s="261" t="s">
        <v>704</v>
      </c>
      <c r="AA65" s="463"/>
      <c r="AB65" s="230">
        <f>T65-HLOOKUP(V65,Minimas!$C$3:$CD$12,2,FALSE)</f>
        <v>7</v>
      </c>
      <c r="AC65" s="230">
        <f>T65-HLOOKUP(V65,Minimas!$C$3:$CD$12,3,FALSE)</f>
        <v>-8</v>
      </c>
      <c r="AD65" s="230">
        <f>T65-HLOOKUP(V65,Minimas!$C$3:$CD$12,4,FALSE)</f>
        <v>-20</v>
      </c>
      <c r="AE65" s="230">
        <f>T65-HLOOKUP(V65,Minimas!$C$3:$CD$12,5,FALSE)</f>
        <v>-35</v>
      </c>
      <c r="AF65" s="230">
        <f>T65-HLOOKUP(V65,Minimas!$C$3:$CD$12,6,FALSE)</f>
        <v>-56</v>
      </c>
      <c r="AG65" s="230">
        <f>T65-HLOOKUP(V65,Minimas!$C$3:$CD$12,7,FALSE)</f>
        <v>-71</v>
      </c>
      <c r="AH65" s="230">
        <f>T65-HLOOKUP(V65,Minimas!$C$3:$CD$12,8,FALSE)</f>
        <v>-88</v>
      </c>
      <c r="AI65" s="230">
        <f>T65-HLOOKUP(V65,Minimas!$C$3:$CD$12,9,FALSE)</f>
        <v>-108</v>
      </c>
      <c r="AJ65" s="230">
        <f>T65-HLOOKUP(V65,Minimas!$C$3:$CD$12,10,FALSE)</f>
        <v>-123</v>
      </c>
      <c r="AK65" s="231" t="str">
        <f>IF(E65=0," ",IF(AJ65&gt;=0,MASCULINS!$AJ$5,IF(AI65&gt;=0,MASCULINS!$AI$5,IF(AH65&gt;=0,MASCULINS!$AH$5,IF(AG65&gt;=0,MASCULINS!$AG$5,IF(AF65&gt;=0,MASCULINS!$AF$5,IF(AE65&gt;=0,MASCULINS!$AE$5,IF(AD65&gt;=0,MASCULINS!$AD$5,IF(AC65&gt;=0,MASCULINS!$AC$5,MASCULINS!$AB$5)))))))))</f>
        <v>DEB</v>
      </c>
      <c r="AL65" s="232"/>
      <c r="AM65" s="232" t="str">
        <f t="shared" si="31"/>
        <v>DEB</v>
      </c>
      <c r="AN65" s="232">
        <f t="shared" si="32"/>
        <v>7</v>
      </c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  <c r="BF65" s="34"/>
      <c r="BG65" s="34"/>
      <c r="BH65" s="34"/>
      <c r="BI65" s="34"/>
      <c r="BJ65" s="34"/>
      <c r="BK65" s="34"/>
      <c r="BL65" s="34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  <c r="BY65" s="34"/>
      <c r="BZ65" s="34"/>
      <c r="CA65" s="34"/>
      <c r="CB65" s="34"/>
      <c r="CC65" s="34"/>
      <c r="CD65" s="34"/>
      <c r="CE65" s="34"/>
      <c r="CF65" s="34"/>
      <c r="CG65" s="34"/>
      <c r="CH65" s="34"/>
      <c r="CI65" s="34"/>
      <c r="CJ65" s="34"/>
      <c r="CK65" s="34"/>
      <c r="CL65" s="34"/>
      <c r="CM65" s="34"/>
      <c r="CN65" s="34"/>
      <c r="CO65" s="34"/>
      <c r="CP65" s="34"/>
      <c r="CQ65" s="34"/>
      <c r="CR65" s="34"/>
      <c r="CS65" s="34"/>
      <c r="CT65" s="34"/>
      <c r="CU65" s="34"/>
      <c r="CV65" s="34"/>
      <c r="CW65" s="34"/>
      <c r="CX65" s="34"/>
      <c r="CY65" s="34"/>
      <c r="CZ65" s="34"/>
      <c r="DA65" s="34"/>
      <c r="DB65" s="34"/>
      <c r="DC65" s="34"/>
      <c r="DD65" s="34"/>
      <c r="DE65" s="34"/>
      <c r="DF65" s="34"/>
      <c r="DG65" s="34"/>
      <c r="DH65" s="34"/>
      <c r="DI65" s="34"/>
      <c r="DJ65" s="34"/>
      <c r="DK65" s="34"/>
      <c r="DL65" s="34"/>
      <c r="DM65" s="34"/>
      <c r="DN65" s="34"/>
      <c r="DO65" s="34"/>
      <c r="DP65" s="34"/>
      <c r="DQ65" s="34"/>
      <c r="DR65" s="34"/>
      <c r="DS65" s="34"/>
      <c r="DT65" s="34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</row>
    <row r="66" spans="1:179" s="5" customFormat="1" ht="30" customHeight="1" x14ac:dyDescent="0.25">
      <c r="B66" s="522" t="s">
        <v>543</v>
      </c>
      <c r="C66" s="317">
        <v>405310</v>
      </c>
      <c r="D66" s="537"/>
      <c r="E66" s="323" t="s">
        <v>44</v>
      </c>
      <c r="F66" s="319" t="s">
        <v>217</v>
      </c>
      <c r="G66" s="320" t="s">
        <v>218</v>
      </c>
      <c r="H66" s="306">
        <v>1995</v>
      </c>
      <c r="I66" s="564" t="s">
        <v>219</v>
      </c>
      <c r="J66" s="672" t="s">
        <v>44</v>
      </c>
      <c r="K66" s="326">
        <v>51.2</v>
      </c>
      <c r="L66" s="300">
        <v>22</v>
      </c>
      <c r="M66" s="301">
        <v>25</v>
      </c>
      <c r="N66" s="301">
        <v>28</v>
      </c>
      <c r="O66" s="490">
        <f t="shared" si="33"/>
        <v>28</v>
      </c>
      <c r="P66" s="300">
        <v>30</v>
      </c>
      <c r="Q66" s="301">
        <v>34</v>
      </c>
      <c r="R66" s="301">
        <v>36</v>
      </c>
      <c r="S66" s="490">
        <f t="shared" si="26"/>
        <v>36</v>
      </c>
      <c r="T66" s="502">
        <f>IF(E66="","",IF(OR(O66=0,S66=0),0,O66+S66))</f>
        <v>64</v>
      </c>
      <c r="U66" s="48" t="str">
        <f t="shared" si="28"/>
        <v>DEB 4</v>
      </c>
      <c r="V66" s="48" t="str">
        <f>IF(E66=0," ",IF(E66="H",IF(H66&lt;1999,VLOOKUP(K66,[12]Minimas!$A$15:$F$29,6),IF(AND(H66&gt;1998,H66&lt;2002),VLOOKUP(K66,[12]Minimas!$A$15:$F$29,5),IF(AND(H66&gt;2001,H66&lt;2004),VLOOKUP(K66,[12]Minimas!$A$15:$F$29,4),IF(AND(H66&gt;2003,H66&lt;2006),VLOOKUP(K66,[12]Minimas!$A$15:$F$29,3),VLOOKUP(K66,[12]Minimas!$A$15:$F$29,2))))),IF(H66&lt;1999,VLOOKUP(K66,[12]Minimas!$G$15:$L$29,6),IF(AND(H66&gt;1998,H66&lt;2002),VLOOKUP(K66,[12]Minimas!$G$15:$L$29,5),IF(AND(H66&gt;2001,H66&lt;2004),VLOOKUP(K66,[12]Minimas!$G$15:$L$29,4),IF(AND(H66&gt;2003,H66&lt;2006),VLOOKUP(K66,[12]Minimas!$G$15:$L$29,3),VLOOKUP(K66,[12]Minimas!$G$15:$L$29,2)))))))</f>
        <v>SE F55</v>
      </c>
      <c r="W66" s="49">
        <f t="shared" si="29"/>
        <v>96.528438163351694</v>
      </c>
      <c r="X66" s="257">
        <v>43492</v>
      </c>
      <c r="Y66" s="261" t="s">
        <v>525</v>
      </c>
      <c r="Z66" s="261" t="s">
        <v>701</v>
      </c>
      <c r="AA66" s="232"/>
      <c r="AB66" s="230">
        <f>T66-HLOOKUP(V66,Minimas!$C$3:$CD$12,2,FALSE)</f>
        <v>4</v>
      </c>
      <c r="AC66" s="230">
        <f>T66-HLOOKUP(V66,Minimas!$C$3:$CD$12,3,FALSE)</f>
        <v>-11</v>
      </c>
      <c r="AD66" s="230">
        <f>T66-HLOOKUP(V66,Minimas!$C$3:$CD$12,4,FALSE)</f>
        <v>-23</v>
      </c>
      <c r="AE66" s="230">
        <f>T66-HLOOKUP(V66,Minimas!$C$3:$CD$12,5,FALSE)</f>
        <v>-38</v>
      </c>
      <c r="AF66" s="230">
        <f>T66-HLOOKUP(V66,Minimas!$C$3:$CD$12,6,FALSE)</f>
        <v>-59</v>
      </c>
      <c r="AG66" s="230">
        <f>T66-HLOOKUP(V66,Minimas!$C$3:$CD$12,7,FALSE)</f>
        <v>-74</v>
      </c>
      <c r="AH66" s="230">
        <f>T66-HLOOKUP(V66,Minimas!$C$3:$CD$12,8,FALSE)</f>
        <v>-91</v>
      </c>
      <c r="AI66" s="230">
        <f>T66-HLOOKUP(V66,Minimas!$C$3:$CD$12,9,FALSE)</f>
        <v>-111</v>
      </c>
      <c r="AJ66" s="230">
        <f>T66-HLOOKUP(V66,Minimas!$C$3:$CD$12,10,FALSE)</f>
        <v>-126</v>
      </c>
      <c r="AK66" s="231" t="str">
        <f>IF(E66=0," ",IF(AJ66&gt;=0,$AJ$5,IF(AI66&gt;=0,$AI$5,IF(AH66&gt;=0,$AH$5,IF(AG66&gt;=0,$AG$5,IF(AF66&gt;=0,$AF$5,IF(AE66&gt;=0,$AE$5,IF(AD66&gt;=0,$AD$5,IF(AC66&gt;=0,$AC$5,$AB$5)))))))))</f>
        <v>DEB</v>
      </c>
      <c r="AL66" s="232"/>
      <c r="AM66" s="232" t="str">
        <f t="shared" si="31"/>
        <v>DEB</v>
      </c>
      <c r="AN66" s="232">
        <f t="shared" si="32"/>
        <v>4</v>
      </c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BM66" s="38"/>
      <c r="BN66" s="38"/>
      <c r="BO66" s="38"/>
      <c r="BP66" s="38"/>
      <c r="BQ66" s="38"/>
      <c r="BR66" s="38"/>
      <c r="BS66" s="38"/>
      <c r="BT66" s="38"/>
      <c r="BU66" s="38"/>
      <c r="BV66" s="38"/>
      <c r="BW66" s="38"/>
      <c r="BX66" s="38"/>
      <c r="BY66" s="38"/>
      <c r="BZ66" s="38"/>
      <c r="CA66" s="38"/>
      <c r="CB66" s="38"/>
      <c r="CC66" s="38"/>
      <c r="CD66" s="38"/>
      <c r="CE66" s="38"/>
      <c r="CF66" s="38"/>
      <c r="CG66" s="38"/>
      <c r="CH66" s="38"/>
      <c r="CI66" s="38"/>
      <c r="CJ66" s="38"/>
      <c r="CK66" s="38"/>
      <c r="CL66" s="38"/>
      <c r="CM66" s="38"/>
      <c r="CN66" s="38"/>
      <c r="CO66" s="38"/>
      <c r="CP66" s="38"/>
      <c r="CQ66" s="38"/>
      <c r="CR66" s="38"/>
      <c r="CS66" s="38"/>
      <c r="CT66" s="38"/>
      <c r="CU66" s="38"/>
      <c r="CV66" s="38"/>
      <c r="CW66" s="38"/>
      <c r="CX66" s="38"/>
      <c r="CY66" s="38"/>
      <c r="CZ66" s="38"/>
      <c r="DA66" s="38"/>
      <c r="DB66" s="38"/>
      <c r="DC66" s="38"/>
      <c r="DD66" s="38"/>
      <c r="DE66" s="38"/>
      <c r="DF66" s="38"/>
      <c r="DG66" s="38"/>
      <c r="DH66" s="38"/>
      <c r="DI66" s="38"/>
      <c r="DJ66" s="38"/>
      <c r="DK66" s="38"/>
      <c r="DL66" s="38"/>
      <c r="DM66" s="38"/>
      <c r="DN66" s="38"/>
      <c r="DO66" s="38"/>
      <c r="DP66" s="38"/>
      <c r="DQ66" s="38"/>
      <c r="DR66" s="38"/>
      <c r="DS66" s="38"/>
      <c r="DT66" s="38"/>
    </row>
    <row r="67" spans="1:179" s="5" customFormat="1" ht="30" customHeight="1" x14ac:dyDescent="0.25">
      <c r="A67" s="1"/>
      <c r="B67" s="521" t="s">
        <v>543</v>
      </c>
      <c r="C67" s="499">
        <v>445977</v>
      </c>
      <c r="D67" s="167"/>
      <c r="E67" s="323" t="s">
        <v>44</v>
      </c>
      <c r="F67" s="486" t="s">
        <v>763</v>
      </c>
      <c r="G67" s="487" t="s">
        <v>764</v>
      </c>
      <c r="H67" s="292">
        <v>1984</v>
      </c>
      <c r="I67" s="172" t="s">
        <v>129</v>
      </c>
      <c r="J67" s="290" t="s">
        <v>44</v>
      </c>
      <c r="K67" s="488">
        <v>52.1</v>
      </c>
      <c r="L67" s="300">
        <v>27</v>
      </c>
      <c r="M67" s="301">
        <v>29</v>
      </c>
      <c r="N67" s="449">
        <v>-30</v>
      </c>
      <c r="O67" s="490">
        <f t="shared" si="33"/>
        <v>29</v>
      </c>
      <c r="P67" s="300">
        <v>35</v>
      </c>
      <c r="Q67" s="449">
        <v>-38</v>
      </c>
      <c r="R67" s="449">
        <v>-40</v>
      </c>
      <c r="S67" s="490">
        <f t="shared" si="26"/>
        <v>35</v>
      </c>
      <c r="T67" s="502">
        <f>IF(E67="","",O67+S67)</f>
        <v>64</v>
      </c>
      <c r="U67" s="48" t="str">
        <f t="shared" si="28"/>
        <v>DEB 4</v>
      </c>
      <c r="V67" s="48" t="str">
        <f>IF(E67=0," ",IF(E67="H",IF(H67&lt;1999,VLOOKUP(K67,[7]Minimas!$A$15:$F$29,6),IF(AND(H67&gt;1998,H67&lt;2002),VLOOKUP(K67,[7]Minimas!$A$15:$F$29,5),IF(AND(H67&gt;2001,H67&lt;2004),VLOOKUP(K67,[7]Minimas!$A$15:$F$29,4),IF(AND(H67&gt;2003,H67&lt;2006),VLOOKUP(K67,[7]Minimas!$A$15:$F$29,3),VLOOKUP(K67,[7]Minimas!$A$15:$F$29,2))))),IF(H67&lt;1999,VLOOKUP(K67,[7]Minimas!$G$15:$L$29,6),IF(AND(H67&gt;1998,H67&lt;2002),VLOOKUP(K67,[7]Minimas!$G$15:$L$29,5),IF(AND(H67&gt;2001,H67&lt;2004),VLOOKUP(K67,[7]Minimas!$G$15:$L$29,4),IF(AND(H67&gt;2003,H67&lt;2006),VLOOKUP(K67,[7]Minimas!$G$15:$L$29,3),VLOOKUP(K67,[7]Minimas!$G$15:$L$29,2)))))))</f>
        <v>SE F55</v>
      </c>
      <c r="W67" s="49">
        <f t="shared" si="29"/>
        <v>95.288457216323451</v>
      </c>
      <c r="X67" s="257">
        <v>43540</v>
      </c>
      <c r="Y67" s="261" t="s">
        <v>714</v>
      </c>
      <c r="Z67" s="261" t="s">
        <v>704</v>
      </c>
      <c r="AA67" s="463"/>
      <c r="AB67" s="230">
        <f>T67-HLOOKUP(V67,Minimas!$C$3:$CD$12,2,FALSE)</f>
        <v>4</v>
      </c>
      <c r="AC67" s="230">
        <f>T67-HLOOKUP(V67,Minimas!$C$3:$CD$12,3,FALSE)</f>
        <v>-11</v>
      </c>
      <c r="AD67" s="230">
        <f>T67-HLOOKUP(V67,Minimas!$C$3:$CD$12,4,FALSE)</f>
        <v>-23</v>
      </c>
      <c r="AE67" s="230">
        <f>T67-HLOOKUP(V67,Minimas!$C$3:$CD$12,5,FALSE)</f>
        <v>-38</v>
      </c>
      <c r="AF67" s="230">
        <f>T67-HLOOKUP(V67,Minimas!$C$3:$CD$12,6,FALSE)</f>
        <v>-59</v>
      </c>
      <c r="AG67" s="230">
        <f>T67-HLOOKUP(V67,Minimas!$C$3:$CD$12,7,FALSE)</f>
        <v>-74</v>
      </c>
      <c r="AH67" s="230">
        <f>T67-HLOOKUP(V67,Minimas!$C$3:$CD$12,8,FALSE)</f>
        <v>-91</v>
      </c>
      <c r="AI67" s="230">
        <f>T67-HLOOKUP(V67,Minimas!$C$3:$CD$12,9,FALSE)</f>
        <v>-111</v>
      </c>
      <c r="AJ67" s="230">
        <f>T67-HLOOKUP(V67,Minimas!$C$3:$CD$12,10,FALSE)</f>
        <v>-126</v>
      </c>
      <c r="AK67" s="231" t="str">
        <f>IF(E67=0," ",IF(AJ67&gt;=0,MASCULINS!$AJ$5,IF(AI67&gt;=0,MASCULINS!$AI$5,IF(AH67&gt;=0,MASCULINS!$AH$5,IF(AG67&gt;=0,MASCULINS!$AG$5,IF(AF67&gt;=0,MASCULINS!$AF$5,IF(AE67&gt;=0,MASCULINS!$AE$5,IF(AD67&gt;=0,MASCULINS!$AD$5,IF(AC67&gt;=0,MASCULINS!$AC$5,MASCULINS!$AB$5)))))))))</f>
        <v>DEB</v>
      </c>
      <c r="AL67" s="232"/>
      <c r="AM67" s="232" t="str">
        <f t="shared" si="31"/>
        <v>DEB</v>
      </c>
      <c r="AN67" s="232">
        <f t="shared" si="32"/>
        <v>4</v>
      </c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  <c r="BY67" s="34"/>
      <c r="BZ67" s="34"/>
      <c r="CA67" s="34"/>
      <c r="CB67" s="34"/>
      <c r="CC67" s="34"/>
      <c r="CD67" s="34"/>
      <c r="CE67" s="34"/>
      <c r="CF67" s="34"/>
      <c r="CG67" s="34"/>
      <c r="CH67" s="34"/>
      <c r="CI67" s="34"/>
      <c r="CJ67" s="34"/>
      <c r="CK67" s="34"/>
      <c r="CL67" s="34"/>
      <c r="CM67" s="34"/>
      <c r="CN67" s="34"/>
      <c r="CO67" s="34"/>
      <c r="CP67" s="34"/>
      <c r="CQ67" s="34"/>
      <c r="CR67" s="34"/>
      <c r="CS67" s="34"/>
      <c r="CT67" s="34"/>
      <c r="CU67" s="34"/>
      <c r="CV67" s="34"/>
      <c r="CW67" s="34"/>
      <c r="CX67" s="34"/>
      <c r="CY67" s="34"/>
      <c r="CZ67" s="34"/>
      <c r="DA67" s="34"/>
      <c r="DB67" s="34"/>
      <c r="DC67" s="34"/>
      <c r="DD67" s="34"/>
      <c r="DE67" s="34"/>
      <c r="DF67" s="34"/>
      <c r="DG67" s="34"/>
      <c r="DH67" s="34"/>
      <c r="DI67" s="34"/>
      <c r="DJ67" s="34"/>
      <c r="DK67" s="34"/>
      <c r="DL67" s="34"/>
      <c r="DM67" s="34"/>
      <c r="DN67" s="34"/>
      <c r="DO67" s="34"/>
      <c r="DP67" s="34"/>
      <c r="DQ67" s="34"/>
      <c r="DR67" s="34"/>
      <c r="DS67" s="34"/>
      <c r="DT67" s="34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</row>
    <row r="68" spans="1:179" s="5" customFormat="1" ht="30" customHeight="1" x14ac:dyDescent="0.3">
      <c r="A68" s="484"/>
      <c r="B68" s="97" t="s">
        <v>543</v>
      </c>
      <c r="C68" s="499">
        <v>637</v>
      </c>
      <c r="D68" s="167"/>
      <c r="E68" s="315" t="s">
        <v>44</v>
      </c>
      <c r="F68" s="328" t="s">
        <v>340</v>
      </c>
      <c r="G68" s="487" t="s">
        <v>547</v>
      </c>
      <c r="H68" s="559">
        <v>1953</v>
      </c>
      <c r="I68" s="169" t="s">
        <v>546</v>
      </c>
      <c r="J68" s="498" t="s">
        <v>44</v>
      </c>
      <c r="K68" s="294">
        <v>54.8</v>
      </c>
      <c r="L68" s="295">
        <v>23</v>
      </c>
      <c r="M68" s="301">
        <v>25</v>
      </c>
      <c r="N68" s="301">
        <v>27</v>
      </c>
      <c r="O68" s="490">
        <f t="shared" si="33"/>
        <v>27</v>
      </c>
      <c r="P68" s="295">
        <v>33</v>
      </c>
      <c r="Q68" s="301">
        <v>35</v>
      </c>
      <c r="R68" s="301">
        <v>37</v>
      </c>
      <c r="S68" s="490">
        <f t="shared" si="26"/>
        <v>37</v>
      </c>
      <c r="T68" s="502">
        <f t="shared" ref="T68:T74" si="34">IF(E68="","",IF(OR(O68=0,S68=0),0,O68+S68))</f>
        <v>64</v>
      </c>
      <c r="U68" s="48" t="str">
        <f t="shared" si="28"/>
        <v>DEB 4</v>
      </c>
      <c r="V68" s="48" t="str">
        <f>IF(E68=0," ",IF(E68="H",IF(H68&lt;1999,VLOOKUP(K68,Minimas!$A$15:$F$29,6),IF(AND(H68&gt;1998,H68&lt;2002),VLOOKUP(K68,Minimas!$A$15:$F$29,5),IF(AND(H68&gt;2001,H68&lt;2004),VLOOKUP(K68,Minimas!$A$15:$F$29,4),IF(AND(H68&gt;2003,H68&lt;2006),VLOOKUP(K68,Minimas!$A$15:$F$29,3),VLOOKUP(K68,Minimas!$A$15:$F$29,2))))),IF(H68&lt;1999,VLOOKUP(K68,Minimas!$G$15:$L$29,6),IF(AND(H68&gt;1998,H68&lt;2002),VLOOKUP(K68,Minimas!$G$15:$L$29,5),IF(AND(H68&gt;2001,H68&lt;2004),VLOOKUP(K68,Minimas!$G$15:$L$29,4),IF(AND(H68&gt;2003,H68&lt;2006),VLOOKUP(K68,Minimas!$G$15:$L$29,3),VLOOKUP(K68,Minimas!$G$15:$L$29,2)))))))</f>
        <v>SE F55</v>
      </c>
      <c r="W68" s="49">
        <f t="shared" si="29"/>
        <v>91.889718322725713</v>
      </c>
      <c r="X68" s="184">
        <v>43484</v>
      </c>
      <c r="Y68" s="261" t="s">
        <v>580</v>
      </c>
      <c r="Z68" s="261" t="s">
        <v>511</v>
      </c>
      <c r="AA68" s="467"/>
      <c r="AB68" s="230">
        <f>T68-HLOOKUP(V68,Minimas!$C$3:$CD$12,2,FALSE)</f>
        <v>4</v>
      </c>
      <c r="AC68" s="230">
        <f>T68-HLOOKUP(V68,Minimas!$C$3:$CD$12,3,FALSE)</f>
        <v>-11</v>
      </c>
      <c r="AD68" s="230">
        <f>T68-HLOOKUP(V68,Minimas!$C$3:$CD$12,4,FALSE)</f>
        <v>-23</v>
      </c>
      <c r="AE68" s="230">
        <f>T68-HLOOKUP(V68,Minimas!$C$3:$CD$12,5,FALSE)</f>
        <v>-38</v>
      </c>
      <c r="AF68" s="230">
        <f>T68-HLOOKUP(V68,Minimas!$C$3:$CD$12,6,FALSE)</f>
        <v>-59</v>
      </c>
      <c r="AG68" s="230">
        <f>T68-HLOOKUP(V68,Minimas!$C$3:$CD$12,7,FALSE)</f>
        <v>-74</v>
      </c>
      <c r="AH68" s="230">
        <f>T68-HLOOKUP(V68,Minimas!$C$3:$CD$12,8,FALSE)</f>
        <v>-91</v>
      </c>
      <c r="AI68" s="230">
        <f>T68-HLOOKUP(V68,Minimas!$C$3:$CD$12,9,FALSE)</f>
        <v>-111</v>
      </c>
      <c r="AJ68" s="230">
        <f>T68-HLOOKUP(V68,Minimas!$C$3:$CD$12,10,FALSE)</f>
        <v>-126</v>
      </c>
      <c r="AK68" s="231" t="str">
        <f t="shared" ref="AK68:AK88" si="35">IF(E68=0," ",IF(AJ68&gt;=0,$AJ$5,IF(AI68&gt;=0,$AI$5,IF(AH68&gt;=0,$AH$5,IF(AG68&gt;=0,$AG$5,IF(AF68&gt;=0,$AF$5,IF(AE68&gt;=0,$AE$5,IF(AD68&gt;=0,$AD$5,IF(AC68&gt;=0,$AC$5,$AB$5)))))))))</f>
        <v>DEB</v>
      </c>
      <c r="AL68" s="232"/>
      <c r="AM68" s="232" t="str">
        <f t="shared" si="31"/>
        <v>DEB</v>
      </c>
      <c r="AN68" s="232">
        <f t="shared" si="32"/>
        <v>4</v>
      </c>
      <c r="AO68" s="485"/>
      <c r="AP68" s="485"/>
      <c r="AQ68" s="485"/>
      <c r="AR68" s="485"/>
      <c r="AS68" s="485"/>
      <c r="AT68" s="485"/>
      <c r="AU68" s="485"/>
      <c r="AV68" s="485"/>
      <c r="AW68" s="485"/>
      <c r="AX68" s="485"/>
      <c r="AY68" s="485"/>
      <c r="AZ68" s="485"/>
      <c r="BA68" s="485"/>
      <c r="BB68" s="485"/>
      <c r="BC68" s="485"/>
      <c r="BD68" s="485"/>
      <c r="BE68" s="485"/>
      <c r="BF68" s="485"/>
      <c r="BG68" s="485"/>
      <c r="BH68" s="485"/>
      <c r="BI68" s="485"/>
      <c r="BJ68" s="485"/>
      <c r="BK68" s="485"/>
      <c r="BL68" s="485"/>
      <c r="BM68" s="485"/>
      <c r="BN68" s="485"/>
      <c r="BO68" s="485"/>
      <c r="BP68" s="485"/>
      <c r="BQ68" s="485"/>
      <c r="BR68" s="485"/>
      <c r="BS68" s="485"/>
      <c r="BT68" s="485"/>
      <c r="BU68" s="485"/>
      <c r="BV68" s="485"/>
      <c r="BW68" s="485"/>
      <c r="BX68" s="485"/>
      <c r="BY68" s="485"/>
      <c r="BZ68" s="485"/>
      <c r="CA68" s="485"/>
      <c r="CB68" s="485"/>
      <c r="CC68" s="485"/>
      <c r="CD68" s="485"/>
      <c r="CE68" s="485"/>
      <c r="CF68" s="485"/>
      <c r="CG68" s="485"/>
      <c r="CH68" s="485"/>
      <c r="CI68" s="485"/>
      <c r="CJ68" s="485"/>
      <c r="CK68" s="485"/>
      <c r="CL68" s="485"/>
      <c r="CM68" s="485"/>
      <c r="CN68" s="485"/>
      <c r="CO68" s="485"/>
      <c r="CP68" s="485"/>
      <c r="CQ68" s="485"/>
      <c r="CR68" s="485"/>
      <c r="CS68" s="485"/>
      <c r="CT68" s="485"/>
      <c r="CU68" s="485"/>
      <c r="CV68" s="485"/>
      <c r="CW68" s="485"/>
      <c r="CX68" s="485"/>
      <c r="CY68" s="485"/>
      <c r="CZ68" s="485"/>
      <c r="DA68" s="485"/>
      <c r="DB68" s="485"/>
      <c r="DC68" s="485"/>
      <c r="DD68" s="485"/>
      <c r="DE68" s="485"/>
      <c r="DF68" s="485"/>
      <c r="DG68" s="485"/>
      <c r="DH68" s="485"/>
      <c r="DI68" s="485"/>
      <c r="DJ68" s="485"/>
      <c r="DK68" s="485"/>
      <c r="DL68" s="485"/>
      <c r="DM68" s="485"/>
      <c r="DN68" s="485"/>
      <c r="DO68" s="485"/>
      <c r="DP68" s="485"/>
      <c r="DQ68" s="485"/>
      <c r="DR68" s="485"/>
      <c r="DS68" s="485"/>
      <c r="DT68" s="485"/>
      <c r="DU68" s="484"/>
      <c r="DV68" s="484"/>
      <c r="DW68" s="484"/>
      <c r="DX68" s="484"/>
      <c r="DY68" s="484"/>
      <c r="DZ68" s="484"/>
      <c r="EA68" s="484"/>
      <c r="EB68" s="484"/>
      <c r="EC68" s="484"/>
      <c r="ED68" s="484"/>
      <c r="EE68" s="484"/>
      <c r="EF68" s="484"/>
      <c r="EG68" s="484"/>
      <c r="EH68" s="484"/>
      <c r="EI68" s="484"/>
      <c r="EJ68" s="484"/>
      <c r="EK68" s="484"/>
      <c r="EL68" s="484"/>
      <c r="EM68" s="484"/>
      <c r="EN68" s="484"/>
      <c r="EO68" s="484"/>
      <c r="EP68" s="484"/>
      <c r="EQ68" s="484"/>
      <c r="ER68" s="484"/>
      <c r="ES68" s="484"/>
      <c r="ET68" s="484"/>
      <c r="EU68" s="484"/>
      <c r="EV68" s="484"/>
      <c r="EW68" s="484"/>
      <c r="EX68" s="484"/>
      <c r="EY68" s="484"/>
      <c r="EZ68" s="484"/>
      <c r="FA68" s="484"/>
      <c r="FB68" s="484"/>
      <c r="FC68" s="484"/>
      <c r="FD68" s="484"/>
      <c r="FE68" s="484"/>
      <c r="FF68" s="484"/>
      <c r="FG68" s="484"/>
      <c r="FH68" s="484"/>
      <c r="FI68" s="484"/>
      <c r="FJ68" s="484"/>
      <c r="FK68" s="484"/>
      <c r="FL68" s="484"/>
      <c r="FM68" s="484"/>
      <c r="FN68" s="484"/>
      <c r="FO68" s="484"/>
      <c r="FP68" s="484"/>
      <c r="FQ68" s="484"/>
      <c r="FR68" s="484"/>
      <c r="FS68" s="484"/>
      <c r="FT68" s="484"/>
      <c r="FU68" s="484"/>
      <c r="FV68" s="484"/>
      <c r="FW68" s="484"/>
    </row>
    <row r="69" spans="1:179" s="5" customFormat="1" ht="30" customHeight="1" x14ac:dyDescent="0.3">
      <c r="B69" s="97" t="s">
        <v>543</v>
      </c>
      <c r="C69" s="525">
        <v>444358</v>
      </c>
      <c r="D69" s="119"/>
      <c r="E69" s="406" t="s">
        <v>44</v>
      </c>
      <c r="F69" s="414" t="s">
        <v>220</v>
      </c>
      <c r="G69" s="415" t="s">
        <v>221</v>
      </c>
      <c r="H69" s="561">
        <v>1992</v>
      </c>
      <c r="I69" s="127" t="s">
        <v>219</v>
      </c>
      <c r="J69" s="578" t="s">
        <v>44</v>
      </c>
      <c r="K69" s="580">
        <v>55</v>
      </c>
      <c r="L69" s="456">
        <v>22</v>
      </c>
      <c r="M69" s="457">
        <v>24</v>
      </c>
      <c r="N69" s="457">
        <v>26</v>
      </c>
      <c r="O69" s="490">
        <f t="shared" si="33"/>
        <v>26</v>
      </c>
      <c r="P69" s="456">
        <v>27</v>
      </c>
      <c r="Q69" s="457">
        <v>30</v>
      </c>
      <c r="R69" s="457">
        <v>33</v>
      </c>
      <c r="S69" s="490">
        <f t="shared" si="26"/>
        <v>33</v>
      </c>
      <c r="T69" s="502">
        <f t="shared" si="34"/>
        <v>59</v>
      </c>
      <c r="U69" s="48" t="str">
        <f t="shared" si="28"/>
        <v>DEB -1</v>
      </c>
      <c r="V69" s="48" t="str">
        <f>IF(E69=0," ",IF(E69="H",IF(H69&lt;1999,VLOOKUP(K69,Minimas!$A$15:$F$29,6),IF(AND(H69&gt;1998,H69&lt;2002),VLOOKUP(K69,Minimas!$A$15:$F$29,5),IF(AND(H69&gt;2001,H69&lt;2004),VLOOKUP(K69,Minimas!$A$15:$F$29,4),IF(AND(H69&gt;2003,H69&lt;2006),VLOOKUP(K69,Minimas!$A$15:$F$29,3),VLOOKUP(K69,Minimas!$A$15:$F$29,2))))),IF(H69&lt;1999,VLOOKUP(K69,Minimas!$G$15:$L$29,6),IF(AND(H69&gt;1998,H69&lt;2002),VLOOKUP(K69,Minimas!$G$15:$L$29,5),IF(AND(H69&gt;2001,H69&lt;2004),VLOOKUP(K69,Minimas!$G$15:$L$29,4),IF(AND(H69&gt;2003,H69&lt;2006),VLOOKUP(K69,Minimas!$G$15:$L$29,3),VLOOKUP(K69,Minimas!$G$15:$L$29,2)))))))</f>
        <v>SE F55</v>
      </c>
      <c r="W69" s="49">
        <f t="shared" si="29"/>
        <v>84.49496320954637</v>
      </c>
      <c r="X69" s="184">
        <v>43435</v>
      </c>
      <c r="Y69" s="278" t="s">
        <v>509</v>
      </c>
      <c r="Z69" s="278" t="s">
        <v>511</v>
      </c>
      <c r="AA69" s="232"/>
      <c r="AB69" s="230">
        <f>T69-HLOOKUP(V69,Minimas!$C$3:$CD$12,2,FALSE)</f>
        <v>-1</v>
      </c>
      <c r="AC69" s="230">
        <f>T69-HLOOKUP(V69,Minimas!$C$3:$CD$12,3,FALSE)</f>
        <v>-16</v>
      </c>
      <c r="AD69" s="230">
        <f>T69-HLOOKUP(V69,Minimas!$C$3:$CD$12,4,FALSE)</f>
        <v>-28</v>
      </c>
      <c r="AE69" s="230">
        <f>T69-HLOOKUP(V69,Minimas!$C$3:$CD$12,5,FALSE)</f>
        <v>-43</v>
      </c>
      <c r="AF69" s="230">
        <f>T69-HLOOKUP(V69,Minimas!$C$3:$CD$12,6,FALSE)</f>
        <v>-64</v>
      </c>
      <c r="AG69" s="230">
        <f>T69-HLOOKUP(V69,Minimas!$C$3:$CD$12,7,FALSE)</f>
        <v>-79</v>
      </c>
      <c r="AH69" s="230">
        <f>T69-HLOOKUP(V69,Minimas!$C$3:$CD$12,8,FALSE)</f>
        <v>-96</v>
      </c>
      <c r="AI69" s="230">
        <f>T69-HLOOKUP(V69,Minimas!$C$3:$CD$12,9,FALSE)</f>
        <v>-116</v>
      </c>
      <c r="AJ69" s="230">
        <f>T69-HLOOKUP(V69,Minimas!$C$3:$CD$12,10,FALSE)</f>
        <v>-131</v>
      </c>
      <c r="AK69" s="231" t="str">
        <f t="shared" si="35"/>
        <v>DEB</v>
      </c>
      <c r="AL69" s="232"/>
      <c r="AM69" s="232" t="str">
        <f t="shared" si="31"/>
        <v>DEB</v>
      </c>
      <c r="AN69" s="232">
        <f t="shared" si="32"/>
        <v>-1</v>
      </c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  <c r="BK69" s="38"/>
      <c r="BL69" s="38"/>
      <c r="BM69" s="38"/>
      <c r="BN69" s="38"/>
      <c r="BO69" s="38"/>
      <c r="BP69" s="38"/>
      <c r="BQ69" s="38"/>
      <c r="BR69" s="38"/>
      <c r="BS69" s="38"/>
      <c r="BT69" s="38"/>
      <c r="BU69" s="38"/>
      <c r="BV69" s="38"/>
      <c r="BW69" s="38"/>
      <c r="BX69" s="38"/>
      <c r="BY69" s="38"/>
      <c r="BZ69" s="38"/>
      <c r="CA69" s="38"/>
      <c r="CB69" s="38"/>
      <c r="CC69" s="38"/>
      <c r="CD69" s="38"/>
      <c r="CE69" s="38"/>
      <c r="CF69" s="38"/>
      <c r="CG69" s="38"/>
      <c r="CH69" s="38"/>
      <c r="CI69" s="38"/>
      <c r="CJ69" s="38"/>
      <c r="CK69" s="38"/>
      <c r="CL69" s="38"/>
      <c r="CM69" s="38"/>
      <c r="CN69" s="38"/>
      <c r="CO69" s="38"/>
      <c r="CP69" s="38"/>
      <c r="CQ69" s="38"/>
      <c r="CR69" s="38"/>
      <c r="CS69" s="38"/>
      <c r="CT69" s="38"/>
      <c r="CU69" s="38"/>
      <c r="CV69" s="38"/>
      <c r="CW69" s="38"/>
      <c r="CX69" s="38"/>
      <c r="CY69" s="38"/>
      <c r="CZ69" s="38"/>
      <c r="DA69" s="38"/>
      <c r="DB69" s="38"/>
      <c r="DC69" s="38"/>
      <c r="DD69" s="38"/>
      <c r="DE69" s="38"/>
      <c r="DF69" s="38"/>
      <c r="DG69" s="38"/>
      <c r="DH69" s="38"/>
      <c r="DI69" s="38"/>
      <c r="DJ69" s="38"/>
      <c r="DK69" s="38"/>
      <c r="DL69" s="38"/>
      <c r="DM69" s="38"/>
      <c r="DN69" s="38"/>
      <c r="DO69" s="38"/>
      <c r="DP69" s="38"/>
      <c r="DQ69" s="38"/>
      <c r="DR69" s="38"/>
      <c r="DS69" s="38"/>
      <c r="DT69" s="38"/>
    </row>
    <row r="70" spans="1:179" s="5" customFormat="1" ht="30" customHeight="1" x14ac:dyDescent="0.3">
      <c r="B70" s="97" t="s">
        <v>543</v>
      </c>
      <c r="C70" s="525">
        <v>299777</v>
      </c>
      <c r="D70" s="265"/>
      <c r="E70" s="406" t="s">
        <v>44</v>
      </c>
      <c r="F70" s="423" t="s">
        <v>475</v>
      </c>
      <c r="G70" s="415" t="s">
        <v>561</v>
      </c>
      <c r="H70" s="424">
        <v>1994</v>
      </c>
      <c r="I70" s="127" t="s">
        <v>477</v>
      </c>
      <c r="J70" s="576" t="s">
        <v>41</v>
      </c>
      <c r="K70" s="585">
        <v>52.4</v>
      </c>
      <c r="L70" s="452">
        <v>23</v>
      </c>
      <c r="M70" s="597">
        <v>-26</v>
      </c>
      <c r="N70" s="597">
        <v>-26</v>
      </c>
      <c r="O70" s="490">
        <f t="shared" si="33"/>
        <v>23</v>
      </c>
      <c r="P70" s="456">
        <v>26</v>
      </c>
      <c r="Q70" s="457">
        <v>29</v>
      </c>
      <c r="R70" s="457">
        <v>32</v>
      </c>
      <c r="S70" s="490">
        <f t="shared" si="26"/>
        <v>32</v>
      </c>
      <c r="T70" s="502">
        <f t="shared" si="34"/>
        <v>55</v>
      </c>
      <c r="U70" s="48" t="str">
        <f t="shared" si="28"/>
        <v>DEB -5</v>
      </c>
      <c r="V70" s="48" t="str">
        <f>IF(E70=0," ",IF(E70="H",IF(H70&lt;1999,VLOOKUP(K70,Minimas!$A$15:$F$29,6),IF(AND(H70&gt;1998,H70&lt;2002),VLOOKUP(K70,Minimas!$A$15:$F$29,5),IF(AND(H70&gt;2001,H70&lt;2004),VLOOKUP(K70,Minimas!$A$15:$F$29,4),IF(AND(H70&gt;2003,H70&lt;2006),VLOOKUP(K70,Minimas!$A$15:$F$29,3),VLOOKUP(K70,Minimas!$A$15:$F$29,2))))),IF(H70&lt;1999,VLOOKUP(K70,Minimas!$G$15:$L$29,6),IF(AND(H70&gt;1998,H70&lt;2002),VLOOKUP(K70,Minimas!$G$15:$L$29,5),IF(AND(H70&gt;2001,H70&lt;2004),VLOOKUP(K70,Minimas!$G$15:$L$29,4),IF(AND(H70&gt;2003,H70&lt;2006),VLOOKUP(K70,Minimas!$G$15:$L$29,3),VLOOKUP(K70,Minimas!$G$15:$L$29,2)))))))</f>
        <v>SE F55</v>
      </c>
      <c r="W70" s="49">
        <f t="shared" si="29"/>
        <v>81.544099481375298</v>
      </c>
      <c r="X70" s="257">
        <v>43484</v>
      </c>
      <c r="Y70" s="261" t="s">
        <v>580</v>
      </c>
      <c r="Z70" s="261" t="s">
        <v>581</v>
      </c>
      <c r="AA70" s="232"/>
      <c r="AB70" s="230">
        <f>T70-HLOOKUP(V70,Minimas!$C$3:$CD$12,2,FALSE)</f>
        <v>-5</v>
      </c>
      <c r="AC70" s="230">
        <f>T70-HLOOKUP(V70,Minimas!$C$3:$CD$12,3,FALSE)</f>
        <v>-20</v>
      </c>
      <c r="AD70" s="230">
        <f>T70-HLOOKUP(V70,Minimas!$C$3:$CD$12,4,FALSE)</f>
        <v>-32</v>
      </c>
      <c r="AE70" s="230">
        <f>T70-HLOOKUP(V70,Minimas!$C$3:$CD$12,5,FALSE)</f>
        <v>-47</v>
      </c>
      <c r="AF70" s="230">
        <f>T70-HLOOKUP(V70,Minimas!$C$3:$CD$12,6,FALSE)</f>
        <v>-68</v>
      </c>
      <c r="AG70" s="230">
        <f>T70-HLOOKUP(V70,Minimas!$C$3:$CD$12,7,FALSE)</f>
        <v>-83</v>
      </c>
      <c r="AH70" s="230">
        <f>T70-HLOOKUP(V70,Minimas!$C$3:$CD$12,8,FALSE)</f>
        <v>-100</v>
      </c>
      <c r="AI70" s="230">
        <f>T70-HLOOKUP(V70,Minimas!$C$3:$CD$12,9,FALSE)</f>
        <v>-120</v>
      </c>
      <c r="AJ70" s="230">
        <f>T70-HLOOKUP(V70,Minimas!$C$3:$CD$12,10,FALSE)</f>
        <v>-135</v>
      </c>
      <c r="AK70" s="231" t="str">
        <f t="shared" si="35"/>
        <v>DEB</v>
      </c>
      <c r="AL70" s="232"/>
      <c r="AM70" s="232" t="str">
        <f t="shared" si="31"/>
        <v>DEB</v>
      </c>
      <c r="AN70" s="232">
        <f t="shared" si="32"/>
        <v>-5</v>
      </c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  <c r="BJ70" s="38"/>
      <c r="BK70" s="38"/>
      <c r="BL70" s="38"/>
      <c r="BM70" s="38"/>
      <c r="BN70" s="38"/>
      <c r="BO70" s="38"/>
      <c r="BP70" s="38"/>
      <c r="BQ70" s="38"/>
      <c r="BR70" s="38"/>
      <c r="BS70" s="38"/>
      <c r="BT70" s="38"/>
      <c r="BU70" s="38"/>
      <c r="BV70" s="38"/>
      <c r="BW70" s="38"/>
      <c r="BX70" s="38"/>
      <c r="BY70" s="38"/>
      <c r="BZ70" s="38"/>
      <c r="CA70" s="38"/>
      <c r="CB70" s="38"/>
      <c r="CC70" s="38"/>
      <c r="CD70" s="38"/>
      <c r="CE70" s="38"/>
      <c r="CF70" s="38"/>
      <c r="CG70" s="38"/>
      <c r="CH70" s="38"/>
      <c r="CI70" s="38"/>
      <c r="CJ70" s="38"/>
      <c r="CK70" s="38"/>
      <c r="CL70" s="38"/>
      <c r="CM70" s="38"/>
      <c r="CN70" s="38"/>
      <c r="CO70" s="38"/>
      <c r="CP70" s="38"/>
      <c r="CQ70" s="38"/>
      <c r="CR70" s="38"/>
      <c r="CS70" s="38"/>
      <c r="CT70" s="38"/>
      <c r="CU70" s="38"/>
      <c r="CV70" s="38"/>
      <c r="CW70" s="38"/>
      <c r="CX70" s="38"/>
      <c r="CY70" s="38"/>
      <c r="CZ70" s="38"/>
      <c r="DA70" s="38"/>
      <c r="DB70" s="38"/>
      <c r="DC70" s="38"/>
      <c r="DD70" s="38"/>
      <c r="DE70" s="38"/>
      <c r="DF70" s="38"/>
      <c r="DG70" s="38"/>
      <c r="DH70" s="38"/>
      <c r="DI70" s="38"/>
      <c r="DJ70" s="38"/>
      <c r="DK70" s="38"/>
      <c r="DL70" s="38"/>
      <c r="DM70" s="38"/>
      <c r="DN70" s="38"/>
      <c r="DO70" s="38"/>
      <c r="DP70" s="38"/>
      <c r="DQ70" s="38"/>
      <c r="DR70" s="38"/>
      <c r="DS70" s="38"/>
      <c r="DT70" s="38"/>
    </row>
    <row r="71" spans="1:179" s="5" customFormat="1" ht="30" customHeight="1" x14ac:dyDescent="0.25">
      <c r="B71" s="355" t="s">
        <v>543</v>
      </c>
      <c r="C71" s="524">
        <v>430811</v>
      </c>
      <c r="D71" s="530"/>
      <c r="E71" s="476" t="s">
        <v>44</v>
      </c>
      <c r="F71" s="544" t="s">
        <v>585</v>
      </c>
      <c r="G71" s="551" t="s">
        <v>190</v>
      </c>
      <c r="H71" s="215">
        <v>1995</v>
      </c>
      <c r="I71" s="564" t="s">
        <v>170</v>
      </c>
      <c r="J71" s="146" t="s">
        <v>44</v>
      </c>
      <c r="K71" s="200">
        <v>58.04</v>
      </c>
      <c r="L71" s="300">
        <v>68</v>
      </c>
      <c r="M71" s="301">
        <v>-71</v>
      </c>
      <c r="N71" s="301">
        <v>71</v>
      </c>
      <c r="O71" s="358">
        <f t="shared" si="33"/>
        <v>71</v>
      </c>
      <c r="P71" s="300">
        <v>-86</v>
      </c>
      <c r="Q71" s="301">
        <v>88</v>
      </c>
      <c r="R71" s="301">
        <v>-92</v>
      </c>
      <c r="S71" s="358">
        <f t="shared" si="26"/>
        <v>88</v>
      </c>
      <c r="T71" s="359">
        <f t="shared" si="34"/>
        <v>159</v>
      </c>
      <c r="U71" s="360" t="str">
        <f t="shared" si="28"/>
        <v>NAT + 14</v>
      </c>
      <c r="V71" s="360" t="str">
        <f>IF(E71=0," ",IF(E71="H",IF(H71&lt;1999,VLOOKUP(K71,[3]Minimas!$A$15:$F$29,6),IF(AND(H71&gt;1998,H71&lt;2002),VLOOKUP(K71,[3]Minimas!$A$15:$F$29,5),IF(AND(H71&gt;2001,H71&lt;2004),VLOOKUP(K71,[3]Minimas!$A$15:$F$29,4),IF(AND(H71&gt;2003,H71&lt;2006),VLOOKUP(K71,[3]Minimas!$A$15:$F$29,3),VLOOKUP(K71,[3]Minimas!$A$15:$F$29,2))))),IF(H71&lt;1999,VLOOKUP(K71,[3]Minimas!$G$15:$L$29,6),IF(AND(H71&gt;1998,H71&lt;2002),VLOOKUP(K71,[3]Minimas!$G$15:$L$29,5),IF(AND(H71&gt;2001,H71&lt;2004),VLOOKUP(K71,[3]Minimas!$G$15:$L$29,4),IF(AND(H71&gt;2003,H71&lt;2006),VLOOKUP(K71,[3]Minimas!$G$15:$L$29,3),VLOOKUP(K71,[3]Minimas!$G$15:$L$29,2)))))))</f>
        <v>SE F59</v>
      </c>
      <c r="W71" s="361">
        <f t="shared" si="29"/>
        <v>219.51681371425917</v>
      </c>
      <c r="X71" s="257">
        <v>43625</v>
      </c>
      <c r="Y71" s="261" t="s">
        <v>886</v>
      </c>
      <c r="Z71" s="261" t="s">
        <v>887</v>
      </c>
      <c r="AA71" s="232"/>
      <c r="AB71" s="230">
        <f>T71-HLOOKUP(V71,[3]Minimas!$C$3:$CD$12,2,FALSE)</f>
        <v>94</v>
      </c>
      <c r="AC71" s="230">
        <f>T71-HLOOKUP(V71,[3]Minimas!$C$3:$CD$12,3,FALSE)</f>
        <v>79</v>
      </c>
      <c r="AD71" s="230">
        <f>T71-HLOOKUP(V71,[3]Minimas!$C$3:$CD$12,4,FALSE)</f>
        <v>67</v>
      </c>
      <c r="AE71" s="230">
        <f>T71-HLOOKUP(V71,[3]Minimas!$C$3:$CD$12,5,FALSE)</f>
        <v>52</v>
      </c>
      <c r="AF71" s="230">
        <f>T71-HLOOKUP(V71,[3]Minimas!$C$3:$CD$12,6,FALSE)</f>
        <v>29</v>
      </c>
      <c r="AG71" s="230">
        <f>T71-HLOOKUP(V71,[3]Minimas!$C$3:$CD$12,7,FALSE)</f>
        <v>14</v>
      </c>
      <c r="AH71" s="230">
        <f>T71-HLOOKUP(V71,[3]Minimas!$C$3:$CD$12,8,FALSE)</f>
        <v>-6</v>
      </c>
      <c r="AI71" s="230">
        <f>T71-HLOOKUP(V71,[3]Minimas!$C$3:$CD$12,9,FALSE)</f>
        <v>-26</v>
      </c>
      <c r="AJ71" s="230">
        <f>T71-HLOOKUP(V71,[3]Minimas!$C$3:$CD$12,10,FALSE)</f>
        <v>-41</v>
      </c>
      <c r="AK71" s="231" t="str">
        <f t="shared" si="35"/>
        <v>NAT +</v>
      </c>
      <c r="AL71" s="232"/>
      <c r="AM71" s="232" t="str">
        <f t="shared" si="31"/>
        <v>NAT +</v>
      </c>
      <c r="AN71" s="232">
        <f t="shared" si="32"/>
        <v>14</v>
      </c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/>
      <c r="BI71" s="38"/>
      <c r="BJ71" s="38"/>
      <c r="BK71" s="38"/>
      <c r="BL71" s="38"/>
      <c r="BM71" s="38"/>
      <c r="BN71" s="38"/>
      <c r="BO71" s="38"/>
      <c r="BP71" s="38"/>
      <c r="BQ71" s="38"/>
      <c r="BR71" s="38"/>
      <c r="BS71" s="38"/>
      <c r="BT71" s="38"/>
      <c r="BU71" s="38"/>
      <c r="BV71" s="38"/>
      <c r="BW71" s="38"/>
      <c r="BX71" s="38"/>
      <c r="BY71" s="38"/>
      <c r="BZ71" s="38"/>
      <c r="CA71" s="38"/>
      <c r="CB71" s="38"/>
      <c r="CC71" s="38"/>
      <c r="CD71" s="38"/>
      <c r="CE71" s="38"/>
      <c r="CF71" s="38"/>
      <c r="CG71" s="38"/>
      <c r="CH71" s="38"/>
      <c r="CI71" s="38"/>
      <c r="CJ71" s="38"/>
      <c r="CK71" s="38"/>
      <c r="CL71" s="38"/>
      <c r="CM71" s="38"/>
      <c r="CN71" s="38"/>
      <c r="CO71" s="38"/>
      <c r="CP71" s="38"/>
      <c r="CQ71" s="38"/>
      <c r="CR71" s="38"/>
      <c r="CS71" s="38"/>
      <c r="CT71" s="38"/>
      <c r="CU71" s="38"/>
      <c r="CV71" s="38"/>
      <c r="CW71" s="38"/>
      <c r="CX71" s="38"/>
      <c r="CY71" s="38"/>
      <c r="CZ71" s="38"/>
      <c r="DA71" s="38"/>
      <c r="DB71" s="38"/>
      <c r="DC71" s="38"/>
      <c r="DD71" s="38"/>
      <c r="DE71" s="38"/>
      <c r="DF71" s="38"/>
      <c r="DG71" s="38"/>
      <c r="DH71" s="38"/>
      <c r="DI71" s="38"/>
      <c r="DJ71" s="38"/>
      <c r="DK71" s="38"/>
      <c r="DL71" s="38"/>
      <c r="DM71" s="38"/>
      <c r="DN71" s="38"/>
      <c r="DO71" s="38"/>
      <c r="DP71" s="38"/>
      <c r="DQ71" s="38"/>
      <c r="DR71" s="38"/>
      <c r="DS71" s="38"/>
      <c r="DT71" s="38"/>
    </row>
    <row r="72" spans="1:179" s="5" customFormat="1" ht="34.5" customHeight="1" x14ac:dyDescent="0.25">
      <c r="B72" s="355" t="s">
        <v>543</v>
      </c>
      <c r="C72" s="524">
        <v>431354</v>
      </c>
      <c r="D72" s="530"/>
      <c r="E72" s="476" t="s">
        <v>44</v>
      </c>
      <c r="F72" s="544" t="s">
        <v>592</v>
      </c>
      <c r="G72" s="551" t="s">
        <v>878</v>
      </c>
      <c r="H72" s="215">
        <v>1997</v>
      </c>
      <c r="I72" s="564" t="s">
        <v>336</v>
      </c>
      <c r="J72" s="146" t="s">
        <v>44</v>
      </c>
      <c r="K72" s="200">
        <v>58.3</v>
      </c>
      <c r="L72" s="300">
        <v>68</v>
      </c>
      <c r="M72" s="301">
        <v>71</v>
      </c>
      <c r="N72" s="301">
        <v>-73</v>
      </c>
      <c r="O72" s="358">
        <f t="shared" si="33"/>
        <v>71</v>
      </c>
      <c r="P72" s="300">
        <v>80</v>
      </c>
      <c r="Q72" s="301">
        <v>-84</v>
      </c>
      <c r="R72" s="301">
        <v>-84</v>
      </c>
      <c r="S72" s="358">
        <f t="shared" si="26"/>
        <v>80</v>
      </c>
      <c r="T72" s="359">
        <f t="shared" si="34"/>
        <v>151</v>
      </c>
      <c r="U72" s="360" t="str">
        <f t="shared" si="28"/>
        <v>NAT + 6</v>
      </c>
      <c r="V72" s="360" t="str">
        <f>IF(E72=0," ",IF(E72="H",IF(H72&lt;1999,VLOOKUP(K72,[3]Minimas!$A$15:$F$29,6),IF(AND(H72&gt;1998,H72&lt;2002),VLOOKUP(K72,[3]Minimas!$A$15:$F$29,5),IF(AND(H72&gt;2001,H72&lt;2004),VLOOKUP(K72,[3]Minimas!$A$15:$F$29,4),IF(AND(H72&gt;2003,H72&lt;2006),VLOOKUP(K72,[3]Minimas!$A$15:$F$29,3),VLOOKUP(K72,[3]Minimas!$A$15:$F$29,2))))),IF(H72&lt;1999,VLOOKUP(K72,[3]Minimas!$G$15:$L$29,6),IF(AND(H72&gt;1998,H72&lt;2002),VLOOKUP(K72,[3]Minimas!$G$15:$L$29,5),IF(AND(H72&gt;2001,H72&lt;2004),VLOOKUP(K72,[3]Minimas!$G$15:$L$29,4),IF(AND(H72&gt;2003,H72&lt;2006),VLOOKUP(K72,[3]Minimas!$G$15:$L$29,3),VLOOKUP(K72,[3]Minimas!$G$15:$L$29,2)))))))</f>
        <v>SE F59</v>
      </c>
      <c r="W72" s="361">
        <f t="shared" si="29"/>
        <v>207.85689952034821</v>
      </c>
      <c r="X72" s="257">
        <v>43625</v>
      </c>
      <c r="Y72" s="261" t="s">
        <v>886</v>
      </c>
      <c r="Z72" s="261" t="s">
        <v>887</v>
      </c>
      <c r="AA72" s="232"/>
      <c r="AB72" s="230">
        <f>T72-HLOOKUP(V72,[3]Minimas!$C$3:$CD$12,2,FALSE)</f>
        <v>86</v>
      </c>
      <c r="AC72" s="230">
        <f>T72-HLOOKUP(V72,[3]Minimas!$C$3:$CD$12,3,FALSE)</f>
        <v>71</v>
      </c>
      <c r="AD72" s="230">
        <f>T72-HLOOKUP(V72,[3]Minimas!$C$3:$CD$12,4,FALSE)</f>
        <v>59</v>
      </c>
      <c r="AE72" s="230">
        <f>T72-HLOOKUP(V72,[3]Minimas!$C$3:$CD$12,5,FALSE)</f>
        <v>44</v>
      </c>
      <c r="AF72" s="230">
        <f>T72-HLOOKUP(V72,[3]Minimas!$C$3:$CD$12,6,FALSE)</f>
        <v>21</v>
      </c>
      <c r="AG72" s="230">
        <f>T72-HLOOKUP(V72,[3]Minimas!$C$3:$CD$12,7,FALSE)</f>
        <v>6</v>
      </c>
      <c r="AH72" s="230">
        <f>T72-HLOOKUP(V72,[3]Minimas!$C$3:$CD$12,8,FALSE)</f>
        <v>-14</v>
      </c>
      <c r="AI72" s="230">
        <f>T72-HLOOKUP(V72,[3]Minimas!$C$3:$CD$12,9,FALSE)</f>
        <v>-34</v>
      </c>
      <c r="AJ72" s="230">
        <f>T72-HLOOKUP(V72,[3]Minimas!$C$3:$CD$12,10,FALSE)</f>
        <v>-49</v>
      </c>
      <c r="AK72" s="231" t="str">
        <f t="shared" si="35"/>
        <v>NAT +</v>
      </c>
      <c r="AL72" s="232"/>
      <c r="AM72" s="232" t="str">
        <f t="shared" si="31"/>
        <v>NAT +</v>
      </c>
      <c r="AN72" s="232">
        <f t="shared" si="32"/>
        <v>6</v>
      </c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  <c r="BM72" s="38"/>
      <c r="BN72" s="38"/>
      <c r="BO72" s="38"/>
      <c r="BP72" s="38"/>
      <c r="BQ72" s="38"/>
      <c r="BR72" s="38"/>
      <c r="BS72" s="38"/>
      <c r="BT72" s="38"/>
      <c r="BU72" s="38"/>
      <c r="BV72" s="38"/>
      <c r="BW72" s="38"/>
      <c r="BX72" s="38"/>
      <c r="BY72" s="38"/>
      <c r="BZ72" s="38"/>
      <c r="CA72" s="38"/>
      <c r="CB72" s="38"/>
      <c r="CC72" s="38"/>
      <c r="CD72" s="38"/>
      <c r="CE72" s="38"/>
      <c r="CF72" s="38"/>
      <c r="CG72" s="38"/>
      <c r="CH72" s="38"/>
      <c r="CI72" s="38"/>
      <c r="CJ72" s="38"/>
      <c r="CK72" s="38"/>
      <c r="CL72" s="38"/>
      <c r="CM72" s="38"/>
      <c r="CN72" s="38"/>
      <c r="CO72" s="38"/>
      <c r="CP72" s="38"/>
      <c r="CQ72" s="38"/>
      <c r="CR72" s="38"/>
      <c r="CS72" s="38"/>
      <c r="CT72" s="38"/>
      <c r="CU72" s="38"/>
      <c r="CV72" s="38"/>
      <c r="CW72" s="38"/>
      <c r="CX72" s="38"/>
      <c r="CY72" s="38"/>
      <c r="CZ72" s="38"/>
      <c r="DA72" s="38"/>
      <c r="DB72" s="38"/>
      <c r="DC72" s="38"/>
      <c r="DD72" s="38"/>
      <c r="DE72" s="38"/>
      <c r="DF72" s="38"/>
      <c r="DG72" s="38"/>
      <c r="DH72" s="38"/>
      <c r="DI72" s="38"/>
      <c r="DJ72" s="38"/>
      <c r="DK72" s="38"/>
      <c r="DL72" s="38"/>
      <c r="DM72" s="38"/>
      <c r="DN72" s="38"/>
      <c r="DO72" s="38"/>
      <c r="DP72" s="38"/>
      <c r="DQ72" s="38"/>
      <c r="DR72" s="38"/>
      <c r="DS72" s="38"/>
      <c r="DT72" s="38"/>
    </row>
    <row r="73" spans="1:179" s="5" customFormat="1" ht="30" customHeight="1" thickBot="1" x14ac:dyDescent="0.3">
      <c r="A73" s="484"/>
      <c r="B73" s="355" t="s">
        <v>543</v>
      </c>
      <c r="C73" s="676">
        <v>112257</v>
      </c>
      <c r="D73" s="677"/>
      <c r="E73" s="479" t="s">
        <v>44</v>
      </c>
      <c r="F73" s="679" t="s">
        <v>590</v>
      </c>
      <c r="G73" s="681" t="s">
        <v>889</v>
      </c>
      <c r="H73" s="682">
        <v>1985</v>
      </c>
      <c r="I73" s="684" t="s">
        <v>170</v>
      </c>
      <c r="J73" s="307" t="s">
        <v>44</v>
      </c>
      <c r="K73" s="588">
        <v>58.4</v>
      </c>
      <c r="L73" s="300">
        <v>62</v>
      </c>
      <c r="M73" s="301">
        <v>64</v>
      </c>
      <c r="N73" s="301">
        <v>-66</v>
      </c>
      <c r="O73" s="358">
        <f t="shared" si="33"/>
        <v>64</v>
      </c>
      <c r="P73" s="300">
        <v>80</v>
      </c>
      <c r="Q73" s="301">
        <v>-83</v>
      </c>
      <c r="R73" s="301">
        <v>83</v>
      </c>
      <c r="S73" s="358">
        <f t="shared" si="26"/>
        <v>83</v>
      </c>
      <c r="T73" s="359">
        <f t="shared" si="34"/>
        <v>147</v>
      </c>
      <c r="U73" s="360" t="str">
        <f t="shared" si="28"/>
        <v>NAT + 2</v>
      </c>
      <c r="V73" s="360" t="str">
        <f>IF(E73=0," ",IF(E73="H",IF(H73&lt;1999,VLOOKUP(K73,[3]Minimas!$A$15:$F$29,6),IF(AND(H73&gt;1998,H73&lt;2002),VLOOKUP(K73,[3]Minimas!$A$15:$F$29,5),IF(AND(H73&gt;2001,H73&lt;2004),VLOOKUP(K73,[3]Minimas!$A$15:$F$29,4),IF(AND(H73&gt;2003,H73&lt;2006),VLOOKUP(K73,[3]Minimas!$A$15:$F$29,3),VLOOKUP(K73,[3]Minimas!$A$15:$F$29,2))))),IF(H73&lt;1999,VLOOKUP(K73,[3]Minimas!$G$15:$L$29,6),IF(AND(H73&gt;1998,H73&lt;2002),VLOOKUP(K73,[3]Minimas!$G$15:$L$29,5),IF(AND(H73&gt;2001,H73&lt;2004),VLOOKUP(K73,[3]Minimas!$G$15:$L$29,4),IF(AND(H73&gt;2003,H73&lt;2006),VLOOKUP(K73,[3]Minimas!$G$15:$L$29,3),VLOOKUP(K73,[3]Minimas!$G$15:$L$29,2)))))))</f>
        <v>SE F59</v>
      </c>
      <c r="W73" s="361">
        <f t="shared" si="29"/>
        <v>202.12237616888555</v>
      </c>
      <c r="X73" s="257">
        <v>43625</v>
      </c>
      <c r="Y73" s="261" t="s">
        <v>886</v>
      </c>
      <c r="Z73" s="261" t="s">
        <v>887</v>
      </c>
      <c r="AA73" s="232"/>
      <c r="AB73" s="230">
        <f>T73-HLOOKUP(V73,[3]Minimas!$C$3:$CD$12,2,FALSE)</f>
        <v>82</v>
      </c>
      <c r="AC73" s="230">
        <f>T73-HLOOKUP(V73,[3]Minimas!$C$3:$CD$12,3,FALSE)</f>
        <v>67</v>
      </c>
      <c r="AD73" s="230">
        <f>T73-HLOOKUP(V73,[3]Minimas!$C$3:$CD$12,4,FALSE)</f>
        <v>55</v>
      </c>
      <c r="AE73" s="230">
        <f>T73-HLOOKUP(V73,[3]Minimas!$C$3:$CD$12,5,FALSE)</f>
        <v>40</v>
      </c>
      <c r="AF73" s="230">
        <f>T73-HLOOKUP(V73,[3]Minimas!$C$3:$CD$12,6,FALSE)</f>
        <v>17</v>
      </c>
      <c r="AG73" s="230">
        <f>T73-HLOOKUP(V73,[3]Minimas!$C$3:$CD$12,7,FALSE)</f>
        <v>2</v>
      </c>
      <c r="AH73" s="230">
        <f>T73-HLOOKUP(V73,[3]Minimas!$C$3:$CD$12,8,FALSE)</f>
        <v>-18</v>
      </c>
      <c r="AI73" s="230">
        <f>T73-HLOOKUP(V73,[3]Minimas!$C$3:$CD$12,9,FALSE)</f>
        <v>-38</v>
      </c>
      <c r="AJ73" s="230">
        <f>T73-HLOOKUP(V73,[3]Minimas!$C$3:$CD$12,10,FALSE)</f>
        <v>-53</v>
      </c>
      <c r="AK73" s="231" t="str">
        <f t="shared" si="35"/>
        <v>NAT +</v>
      </c>
      <c r="AL73" s="232"/>
      <c r="AM73" s="232" t="str">
        <f t="shared" si="31"/>
        <v>NAT +</v>
      </c>
      <c r="AN73" s="232">
        <f t="shared" si="32"/>
        <v>2</v>
      </c>
      <c r="AO73" s="485"/>
      <c r="AP73" s="485"/>
      <c r="AQ73" s="485"/>
      <c r="AR73" s="485"/>
      <c r="AS73" s="485"/>
      <c r="AT73" s="485"/>
      <c r="AU73" s="485"/>
      <c r="AV73" s="485"/>
      <c r="AW73" s="485"/>
      <c r="AX73" s="485"/>
      <c r="AY73" s="485"/>
      <c r="AZ73" s="485"/>
      <c r="BA73" s="485"/>
      <c r="BB73" s="485"/>
      <c r="BC73" s="485"/>
      <c r="BD73" s="485"/>
      <c r="BE73" s="485"/>
      <c r="BF73" s="485"/>
      <c r="BG73" s="485"/>
      <c r="BH73" s="485"/>
      <c r="BI73" s="485"/>
      <c r="BJ73" s="485"/>
      <c r="BK73" s="485"/>
      <c r="BL73" s="485"/>
      <c r="BM73" s="485"/>
      <c r="BN73" s="485"/>
      <c r="BO73" s="485"/>
      <c r="BP73" s="485"/>
      <c r="BQ73" s="485"/>
      <c r="BR73" s="485"/>
      <c r="BS73" s="485"/>
      <c r="BT73" s="485"/>
      <c r="BU73" s="485"/>
      <c r="BV73" s="485"/>
      <c r="BW73" s="485"/>
      <c r="BX73" s="485"/>
      <c r="BY73" s="485"/>
      <c r="BZ73" s="485"/>
      <c r="CA73" s="485"/>
      <c r="CB73" s="485"/>
      <c r="CC73" s="485"/>
      <c r="CD73" s="485"/>
      <c r="CE73" s="485"/>
      <c r="CF73" s="485"/>
      <c r="CG73" s="485"/>
      <c r="CH73" s="485"/>
      <c r="CI73" s="485"/>
      <c r="CJ73" s="485"/>
      <c r="CK73" s="485"/>
      <c r="CL73" s="485"/>
      <c r="CM73" s="485"/>
      <c r="CN73" s="485"/>
      <c r="CO73" s="485"/>
      <c r="CP73" s="485"/>
      <c r="CQ73" s="485"/>
      <c r="CR73" s="485"/>
      <c r="CS73" s="485"/>
      <c r="CT73" s="485"/>
      <c r="CU73" s="485"/>
      <c r="CV73" s="485"/>
      <c r="CW73" s="485"/>
      <c r="CX73" s="485"/>
      <c r="CY73" s="485"/>
      <c r="CZ73" s="485"/>
      <c r="DA73" s="485"/>
      <c r="DB73" s="485"/>
      <c r="DC73" s="485"/>
      <c r="DD73" s="485"/>
      <c r="DE73" s="485"/>
      <c r="DF73" s="485"/>
      <c r="DG73" s="485"/>
      <c r="DH73" s="485"/>
      <c r="DI73" s="485"/>
      <c r="DJ73" s="485"/>
      <c r="DK73" s="485"/>
      <c r="DL73" s="485"/>
      <c r="DM73" s="485"/>
      <c r="DN73" s="485"/>
      <c r="DO73" s="485"/>
      <c r="DP73" s="485"/>
      <c r="DQ73" s="485"/>
      <c r="DR73" s="485"/>
      <c r="DS73" s="485"/>
      <c r="DT73" s="485"/>
      <c r="DU73" s="484"/>
      <c r="DV73" s="484"/>
      <c r="DW73" s="484"/>
      <c r="DX73" s="484"/>
      <c r="DY73" s="484"/>
      <c r="DZ73" s="484"/>
      <c r="EA73" s="484"/>
      <c r="EB73" s="484"/>
      <c r="EC73" s="484"/>
      <c r="ED73" s="484"/>
      <c r="EE73" s="484"/>
      <c r="EF73" s="484"/>
      <c r="EG73" s="484"/>
      <c r="EH73" s="484"/>
      <c r="EI73" s="484"/>
      <c r="EJ73" s="484"/>
      <c r="EK73" s="484"/>
      <c r="EL73" s="484"/>
      <c r="EM73" s="484"/>
      <c r="EN73" s="484"/>
      <c r="EO73" s="484"/>
      <c r="EP73" s="484"/>
      <c r="EQ73" s="484"/>
      <c r="ER73" s="484"/>
      <c r="ES73" s="484"/>
      <c r="ET73" s="484"/>
      <c r="EU73" s="484"/>
      <c r="EV73" s="484"/>
      <c r="EW73" s="484"/>
      <c r="EX73" s="484"/>
      <c r="EY73" s="484"/>
      <c r="EZ73" s="484"/>
      <c r="FA73" s="484"/>
      <c r="FB73" s="484"/>
      <c r="FC73" s="484"/>
      <c r="FD73" s="484"/>
      <c r="FE73" s="484"/>
      <c r="FF73" s="484"/>
      <c r="FG73" s="484"/>
      <c r="FH73" s="484"/>
      <c r="FI73" s="484"/>
      <c r="FJ73" s="484"/>
      <c r="FK73" s="484"/>
      <c r="FL73" s="484"/>
      <c r="FM73" s="484"/>
      <c r="FN73" s="484"/>
      <c r="FO73" s="484"/>
      <c r="FP73" s="484"/>
      <c r="FQ73" s="484"/>
      <c r="FR73" s="484"/>
      <c r="FS73" s="484"/>
      <c r="FT73" s="484"/>
      <c r="FU73" s="484"/>
      <c r="FV73" s="484"/>
      <c r="FW73" s="484"/>
    </row>
    <row r="74" spans="1:179" s="5" customFormat="1" ht="28.5" customHeight="1" x14ac:dyDescent="0.25">
      <c r="B74" s="675" t="s">
        <v>543</v>
      </c>
      <c r="C74" s="524">
        <v>440309</v>
      </c>
      <c r="D74" s="530"/>
      <c r="E74" s="476" t="s">
        <v>44</v>
      </c>
      <c r="F74" s="544" t="s">
        <v>368</v>
      </c>
      <c r="G74" s="551" t="s">
        <v>536</v>
      </c>
      <c r="H74" s="215">
        <v>1990</v>
      </c>
      <c r="I74" s="569" t="s">
        <v>394</v>
      </c>
      <c r="J74" s="146" t="s">
        <v>44</v>
      </c>
      <c r="K74" s="587">
        <v>58</v>
      </c>
      <c r="L74" s="295">
        <v>61</v>
      </c>
      <c r="M74" s="296">
        <v>63</v>
      </c>
      <c r="N74" s="296">
        <v>65</v>
      </c>
      <c r="O74" s="363">
        <f t="shared" si="33"/>
        <v>65</v>
      </c>
      <c r="P74" s="459">
        <v>-76</v>
      </c>
      <c r="Q74" s="296">
        <v>76</v>
      </c>
      <c r="R74" s="296">
        <v>80</v>
      </c>
      <c r="S74" s="363">
        <f t="shared" si="26"/>
        <v>80</v>
      </c>
      <c r="T74" s="364">
        <f t="shared" si="34"/>
        <v>145</v>
      </c>
      <c r="U74" s="360" t="str">
        <f t="shared" si="28"/>
        <v>NAT + 0</v>
      </c>
      <c r="V74" s="360" t="str">
        <f>IF(E74=0," ",IF(E74="H",IF(H74&lt;1999,VLOOKUP(K74,[14]Minimas!$A$15:$F$29,6),IF(AND(H74&gt;1998,H74&lt;2002),VLOOKUP(K74,[14]Minimas!$A$15:$F$29,5),IF(AND(H74&gt;2001,H74&lt;2004),VLOOKUP(K74,[14]Minimas!$A$15:$F$29,4),IF(AND(H74&gt;2003,H74&lt;2006),VLOOKUP(K74,[14]Minimas!$A$15:$F$29,3),VLOOKUP(K74,[14]Minimas!$A$15:$F$29,2))))),IF(H74&lt;1999,VLOOKUP(K74,[14]Minimas!$G$15:$L$29,6),IF(AND(H74&gt;1998,H74&lt;2002),VLOOKUP(K74,[14]Minimas!$G$15:$L$29,5),IF(AND(H74&gt;2001,H74&lt;2004),VLOOKUP(K74,[14]Minimas!$G$15:$L$29,4),IF(AND(H74&gt;2003,H74&lt;2006),VLOOKUP(K74,[14]Minimas!$G$15:$L$29,3),VLOOKUP(K74,[14]Minimas!$G$15:$L$29,2)))))))</f>
        <v>SE F59</v>
      </c>
      <c r="W74" s="366">
        <f t="shared" si="29"/>
        <v>200.27978401544215</v>
      </c>
      <c r="X74" s="257">
        <v>43562</v>
      </c>
      <c r="Y74" s="261" t="s">
        <v>846</v>
      </c>
      <c r="Z74" s="261" t="s">
        <v>806</v>
      </c>
      <c r="AA74" s="232"/>
      <c r="AB74" s="230">
        <f>T74-HLOOKUP(V74,[14]Minimas!$C$3:$CD$12,2,FALSE)</f>
        <v>80</v>
      </c>
      <c r="AC74" s="230">
        <f>T74-HLOOKUP(V74,[14]Minimas!$C$3:$CD$12,3,FALSE)</f>
        <v>65</v>
      </c>
      <c r="AD74" s="230">
        <f>T74-HLOOKUP(V74,[14]Minimas!$C$3:$CD$12,4,FALSE)</f>
        <v>53</v>
      </c>
      <c r="AE74" s="230">
        <f>T74-HLOOKUP(V74,[14]Minimas!$C$3:$CD$12,5,FALSE)</f>
        <v>38</v>
      </c>
      <c r="AF74" s="230">
        <f>T74-HLOOKUP(V74,[14]Minimas!$C$3:$CD$12,6,FALSE)</f>
        <v>15</v>
      </c>
      <c r="AG74" s="230">
        <f>T74-HLOOKUP(V74,[14]Minimas!$C$3:$CD$12,7,FALSE)</f>
        <v>0</v>
      </c>
      <c r="AH74" s="230">
        <f>T74-HLOOKUP(V74,[14]Minimas!$C$3:$CD$12,8,FALSE)</f>
        <v>-20</v>
      </c>
      <c r="AI74" s="230">
        <f>T74-HLOOKUP(V74,[14]Minimas!$C$3:$CD$12,9,FALSE)</f>
        <v>-40</v>
      </c>
      <c r="AJ74" s="230">
        <f>T74-HLOOKUP(V74,[14]Minimas!$C$3:$CD$12,10,FALSE)</f>
        <v>-55</v>
      </c>
      <c r="AK74" s="231" t="str">
        <f t="shared" si="35"/>
        <v>NAT +</v>
      </c>
      <c r="AL74" s="232"/>
      <c r="AM74" s="232" t="str">
        <f t="shared" si="31"/>
        <v>NAT +</v>
      </c>
      <c r="AN74" s="232">
        <f t="shared" si="32"/>
        <v>0</v>
      </c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38"/>
      <c r="BM74" s="38"/>
      <c r="BN74" s="38"/>
      <c r="BO74" s="38"/>
      <c r="BP74" s="38"/>
      <c r="BQ74" s="38"/>
      <c r="BR74" s="38"/>
      <c r="BS74" s="38"/>
      <c r="BT74" s="38"/>
      <c r="BU74" s="38"/>
      <c r="BV74" s="38"/>
      <c r="BW74" s="38"/>
      <c r="BX74" s="38"/>
      <c r="BY74" s="38"/>
      <c r="BZ74" s="38"/>
      <c r="CA74" s="38"/>
      <c r="CB74" s="38"/>
      <c r="CC74" s="38"/>
      <c r="CD74" s="38"/>
      <c r="CE74" s="38"/>
      <c r="CF74" s="38"/>
      <c r="CG74" s="38"/>
      <c r="CH74" s="38"/>
      <c r="CI74" s="38"/>
      <c r="CJ74" s="38"/>
      <c r="CK74" s="38"/>
      <c r="CL74" s="38"/>
      <c r="CM74" s="38"/>
      <c r="CN74" s="38"/>
      <c r="CO74" s="38"/>
      <c r="CP74" s="38"/>
      <c r="CQ74" s="38"/>
      <c r="CR74" s="38"/>
      <c r="CS74" s="38"/>
      <c r="CT74" s="38"/>
      <c r="CU74" s="38"/>
      <c r="CV74" s="38"/>
      <c r="CW74" s="38"/>
      <c r="CX74" s="38"/>
      <c r="CY74" s="38"/>
      <c r="CZ74" s="38"/>
      <c r="DA74" s="38"/>
      <c r="DB74" s="38"/>
      <c r="DC74" s="38"/>
      <c r="DD74" s="38"/>
      <c r="DE74" s="38"/>
      <c r="DF74" s="38"/>
      <c r="DG74" s="38"/>
      <c r="DH74" s="38"/>
      <c r="DI74" s="38"/>
      <c r="DJ74" s="38"/>
      <c r="DK74" s="38"/>
      <c r="DL74" s="38"/>
      <c r="DM74" s="38"/>
      <c r="DN74" s="38"/>
      <c r="DO74" s="38"/>
      <c r="DP74" s="38"/>
      <c r="DQ74" s="38"/>
      <c r="DR74" s="38"/>
      <c r="DS74" s="38"/>
      <c r="DT74" s="38"/>
    </row>
    <row r="75" spans="1:179" s="5" customFormat="1" ht="30" hidden="1" customHeight="1" x14ac:dyDescent="0.25">
      <c r="B75" s="327"/>
      <c r="C75" s="166"/>
      <c r="D75" s="344"/>
      <c r="E75" s="480"/>
      <c r="F75" s="346"/>
      <c r="G75" s="117"/>
      <c r="H75" s="347"/>
      <c r="I75" s="348"/>
      <c r="J75" s="345"/>
      <c r="K75" s="349"/>
      <c r="L75" s="448"/>
      <c r="M75" s="449"/>
      <c r="N75" s="449"/>
      <c r="O75" s="350"/>
      <c r="P75" s="448"/>
      <c r="Q75" s="449"/>
      <c r="R75" s="449"/>
      <c r="S75" s="350"/>
      <c r="T75" s="351"/>
      <c r="U75" s="343"/>
      <c r="V75" s="343"/>
      <c r="W75" s="352"/>
      <c r="X75" s="257">
        <v>43526</v>
      </c>
      <c r="Y75" s="261" t="s">
        <v>705</v>
      </c>
      <c r="Z75" s="261" t="s">
        <v>504</v>
      </c>
      <c r="AA75" s="232"/>
      <c r="AB75" s="230" t="e">
        <f>T75-HLOOKUP(V75,[8]Minimas!$C$3:$CD$12,2,FALSE)</f>
        <v>#N/A</v>
      </c>
      <c r="AC75" s="230" t="e">
        <f>T75-HLOOKUP(V75,[8]Minimas!$C$3:$CD$12,3,FALSE)</f>
        <v>#N/A</v>
      </c>
      <c r="AD75" s="230" t="e">
        <f>T75-HLOOKUP(V75,[8]Minimas!$C$3:$CD$12,4,FALSE)</f>
        <v>#N/A</v>
      </c>
      <c r="AE75" s="230" t="e">
        <f>T75-HLOOKUP(V75,[8]Minimas!$C$3:$CD$12,5,FALSE)</f>
        <v>#N/A</v>
      </c>
      <c r="AF75" s="230" t="e">
        <f>T75-HLOOKUP(V75,[8]Minimas!$C$3:$CD$12,6,FALSE)</f>
        <v>#N/A</v>
      </c>
      <c r="AG75" s="230" t="e">
        <f>T75-HLOOKUP(V75,[8]Minimas!$C$3:$CD$12,7,FALSE)</f>
        <v>#N/A</v>
      </c>
      <c r="AH75" s="230" t="e">
        <f>T75-HLOOKUP(V75,[8]Minimas!$C$3:$CD$12,8,FALSE)</f>
        <v>#N/A</v>
      </c>
      <c r="AI75" s="230" t="e">
        <f>T75-HLOOKUP(V75,[8]Minimas!$C$3:$CD$12,9,FALSE)</f>
        <v>#N/A</v>
      </c>
      <c r="AJ75" s="230" t="e">
        <f>T75-HLOOKUP(V75,[8]Minimas!$C$3:$CD$12,10,FALSE)</f>
        <v>#N/A</v>
      </c>
      <c r="AK75" s="231" t="str">
        <f t="shared" si="35"/>
        <v xml:space="preserve"> </v>
      </c>
      <c r="AL75" s="232"/>
      <c r="AM75" s="232" t="str">
        <f t="shared" si="31"/>
        <v xml:space="preserve"> </v>
      </c>
      <c r="AN75" s="232" t="str">
        <f t="shared" si="32"/>
        <v xml:space="preserve"> </v>
      </c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38"/>
      <c r="BM75" s="38"/>
      <c r="BN75" s="38"/>
      <c r="BO75" s="38"/>
      <c r="BP75" s="38"/>
      <c r="BQ75" s="38"/>
      <c r="BR75" s="38"/>
      <c r="BS75" s="38"/>
      <c r="BT75" s="38"/>
      <c r="BU75" s="38"/>
      <c r="BV75" s="38"/>
      <c r="BW75" s="38"/>
      <c r="BX75" s="38"/>
      <c r="BY75" s="38"/>
      <c r="BZ75" s="38"/>
      <c r="CA75" s="38"/>
      <c r="CB75" s="38"/>
      <c r="CC75" s="38"/>
      <c r="CD75" s="38"/>
      <c r="CE75" s="38"/>
      <c r="CF75" s="38"/>
      <c r="CG75" s="38"/>
      <c r="CH75" s="38"/>
      <c r="CI75" s="38"/>
      <c r="CJ75" s="38"/>
      <c r="CK75" s="38"/>
      <c r="CL75" s="38"/>
      <c r="CM75" s="38"/>
      <c r="CN75" s="38"/>
      <c r="CO75" s="38"/>
      <c r="CP75" s="38"/>
      <c r="CQ75" s="38"/>
      <c r="CR75" s="38"/>
      <c r="CS75" s="38"/>
      <c r="CT75" s="38"/>
      <c r="CU75" s="38"/>
      <c r="CV75" s="38"/>
      <c r="CW75" s="38"/>
      <c r="CX75" s="38"/>
      <c r="CY75" s="38"/>
      <c r="CZ75" s="38"/>
      <c r="DA75" s="38"/>
      <c r="DB75" s="38"/>
      <c r="DC75" s="38"/>
      <c r="DD75" s="38"/>
      <c r="DE75" s="38"/>
      <c r="DF75" s="38"/>
      <c r="DG75" s="38"/>
      <c r="DH75" s="38"/>
      <c r="DI75" s="38"/>
      <c r="DJ75" s="38"/>
      <c r="DK75" s="38"/>
      <c r="DL75" s="38"/>
      <c r="DM75" s="38"/>
      <c r="DN75" s="38"/>
      <c r="DO75" s="38"/>
      <c r="DP75" s="38"/>
      <c r="DQ75" s="38"/>
      <c r="DR75" s="38"/>
      <c r="DS75" s="38"/>
      <c r="DT75" s="38"/>
    </row>
    <row r="76" spans="1:179" s="5" customFormat="1" ht="30" customHeight="1" x14ac:dyDescent="0.25">
      <c r="B76" s="355" t="s">
        <v>543</v>
      </c>
      <c r="C76" s="516">
        <v>435214</v>
      </c>
      <c r="D76" s="531"/>
      <c r="E76" s="476" t="s">
        <v>44</v>
      </c>
      <c r="F76" s="217" t="s">
        <v>588</v>
      </c>
      <c r="G76" s="144" t="s">
        <v>589</v>
      </c>
      <c r="H76" s="218">
        <v>1983</v>
      </c>
      <c r="I76" s="169" t="s">
        <v>587</v>
      </c>
      <c r="J76" s="168" t="s">
        <v>44</v>
      </c>
      <c r="K76" s="147">
        <v>58.95</v>
      </c>
      <c r="L76" s="300">
        <v>60</v>
      </c>
      <c r="M76" s="301">
        <v>63</v>
      </c>
      <c r="N76" s="301">
        <v>65</v>
      </c>
      <c r="O76" s="358">
        <f t="shared" ref="O76:O104" si="36">IF(E76="","",IF(MAXA(L76:N76)&lt;=0,0,MAXA(L76:N76)))</f>
        <v>65</v>
      </c>
      <c r="P76" s="300">
        <v>78</v>
      </c>
      <c r="Q76" s="301">
        <v>-80</v>
      </c>
      <c r="R76" s="301">
        <v>80</v>
      </c>
      <c r="S76" s="358">
        <f t="shared" ref="S76:S123" si="37">IF(E76="","",IF(MAXA(P76:R76)&lt;=0,0,MAXA(P76:R76)))</f>
        <v>80</v>
      </c>
      <c r="T76" s="359">
        <f t="shared" ref="T76:T88" si="38">IF(E76="","",IF(OR(O76=0,S76=0),0,O76+S76))</f>
        <v>145</v>
      </c>
      <c r="U76" s="360" t="str">
        <f t="shared" ref="U76:U107" si="39">+CONCATENATE(AM76," ",AN76)</f>
        <v>NAT + 0</v>
      </c>
      <c r="V76" s="360" t="str">
        <f>IF(E76=0," ",IF(E76="H",IF(H76&lt;1999,VLOOKUP(K76,[15]Minimas!$A$15:$F$29,6),IF(AND(H76&gt;1998,H76&lt;2002),VLOOKUP(K76,[15]Minimas!$A$15:$F$29,5),IF(AND(H76&gt;2001,H76&lt;2004),VLOOKUP(K76,[15]Minimas!$A$15:$F$29,4),IF(AND(H76&gt;2003,H76&lt;2006),VLOOKUP(K76,[15]Minimas!$A$15:$F$29,3),VLOOKUP(K76,[15]Minimas!$A$15:$F$29,2))))),IF(H76&lt;1999,VLOOKUP(K76,[15]Minimas!$G$15:$L$29,6),IF(AND(H76&gt;1998,H76&lt;2002),VLOOKUP(K76,[15]Minimas!$G$15:$L$29,5),IF(AND(H76&gt;2001,H76&lt;2004),VLOOKUP(K76,[15]Minimas!$G$15:$L$29,4),IF(AND(H76&gt;2003,H76&lt;2006),VLOOKUP(K76,[15]Minimas!$G$15:$L$29,3),VLOOKUP(K76,[15]Minimas!$G$15:$L$29,2)))))))</f>
        <v>SE F59</v>
      </c>
      <c r="W76" s="361">
        <f t="shared" ref="W76:W107" si="40">IF(E76=" "," ",IF(E76="H",10^(0.75194503*LOG(K76/175.508)^2)*T76,IF(E76="F",10^(0.783497476* LOG(K76/153.655)^2)*T76,"")))</f>
        <v>198.15176223392879</v>
      </c>
      <c r="X76" s="257">
        <v>43526</v>
      </c>
      <c r="Y76" s="261" t="s">
        <v>705</v>
      </c>
      <c r="Z76" s="261" t="s">
        <v>711</v>
      </c>
      <c r="AA76" s="232"/>
      <c r="AB76" s="230">
        <f>T76-HLOOKUP(V76,[15]Minimas!$C$3:$CD$12,2,FALSE)</f>
        <v>80</v>
      </c>
      <c r="AC76" s="230">
        <f>T76-HLOOKUP(V76,[15]Minimas!$C$3:$CD$12,3,FALSE)</f>
        <v>65</v>
      </c>
      <c r="AD76" s="230">
        <f>T76-HLOOKUP(V76,[15]Minimas!$C$3:$CD$12,4,FALSE)</f>
        <v>53</v>
      </c>
      <c r="AE76" s="230">
        <f>T76-HLOOKUP(V76,[15]Minimas!$C$3:$CD$12,5,FALSE)</f>
        <v>38</v>
      </c>
      <c r="AF76" s="230">
        <f>T76-HLOOKUP(V76,[15]Minimas!$C$3:$CD$12,6,FALSE)</f>
        <v>15</v>
      </c>
      <c r="AG76" s="230">
        <f>T76-HLOOKUP(V76,[15]Minimas!$C$3:$CD$12,7,FALSE)</f>
        <v>0</v>
      </c>
      <c r="AH76" s="230">
        <f>T76-HLOOKUP(V76,[15]Minimas!$C$3:$CD$12,8,FALSE)</f>
        <v>-20</v>
      </c>
      <c r="AI76" s="230">
        <f>T76-HLOOKUP(V76,[15]Minimas!$C$3:$CD$12,9,FALSE)</f>
        <v>-40</v>
      </c>
      <c r="AJ76" s="230">
        <f>T76-HLOOKUP(V76,[15]Minimas!$C$3:$CD$12,10,FALSE)</f>
        <v>-55</v>
      </c>
      <c r="AK76" s="231" t="str">
        <f t="shared" si="35"/>
        <v>NAT +</v>
      </c>
      <c r="AL76" s="232"/>
      <c r="AM76" s="232" t="str">
        <f t="shared" si="31"/>
        <v>NAT +</v>
      </c>
      <c r="AN76" s="232">
        <f t="shared" si="32"/>
        <v>0</v>
      </c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38"/>
      <c r="BM76" s="38"/>
      <c r="BN76" s="38"/>
      <c r="BO76" s="38"/>
      <c r="BP76" s="38"/>
      <c r="BQ76" s="38"/>
      <c r="BR76" s="38"/>
      <c r="BS76" s="38"/>
      <c r="BT76" s="38"/>
      <c r="BU76" s="38"/>
      <c r="BV76" s="38"/>
      <c r="BW76" s="38"/>
      <c r="BX76" s="38"/>
      <c r="BY76" s="38"/>
      <c r="BZ76" s="38"/>
      <c r="CA76" s="38"/>
      <c r="CB76" s="38"/>
      <c r="CC76" s="38"/>
      <c r="CD76" s="38"/>
      <c r="CE76" s="38"/>
      <c r="CF76" s="38"/>
      <c r="CG76" s="38"/>
      <c r="CH76" s="38"/>
      <c r="CI76" s="38"/>
      <c r="CJ76" s="38"/>
      <c r="CK76" s="38"/>
      <c r="CL76" s="38"/>
      <c r="CM76" s="38"/>
      <c r="CN76" s="38"/>
      <c r="CO76" s="38"/>
      <c r="CP76" s="38"/>
      <c r="CQ76" s="38"/>
      <c r="CR76" s="38"/>
      <c r="CS76" s="38"/>
      <c r="CT76" s="38"/>
      <c r="CU76" s="38"/>
      <c r="CV76" s="38"/>
      <c r="CW76" s="38"/>
      <c r="CX76" s="38"/>
      <c r="CY76" s="38"/>
      <c r="CZ76" s="38"/>
      <c r="DA76" s="38"/>
      <c r="DB76" s="38"/>
      <c r="DC76" s="38"/>
      <c r="DD76" s="38"/>
      <c r="DE76" s="38"/>
      <c r="DF76" s="38"/>
      <c r="DG76" s="38"/>
      <c r="DH76" s="38"/>
      <c r="DI76" s="38"/>
      <c r="DJ76" s="38"/>
      <c r="DK76" s="38"/>
      <c r="DL76" s="38"/>
      <c r="DM76" s="38"/>
      <c r="DN76" s="38"/>
      <c r="DO76" s="38"/>
      <c r="DP76" s="38"/>
      <c r="DQ76" s="38"/>
      <c r="DR76" s="38"/>
      <c r="DS76" s="38"/>
      <c r="DT76" s="38"/>
    </row>
    <row r="77" spans="1:179" s="5" customFormat="1" ht="30" customHeight="1" x14ac:dyDescent="0.3">
      <c r="B77" s="517" t="s">
        <v>543</v>
      </c>
      <c r="C77" s="469">
        <v>414500</v>
      </c>
      <c r="D77" s="110"/>
      <c r="E77" s="476" t="s">
        <v>44</v>
      </c>
      <c r="F77" s="112" t="s">
        <v>146</v>
      </c>
      <c r="G77" s="113" t="s">
        <v>147</v>
      </c>
      <c r="H77" s="114">
        <v>1988</v>
      </c>
      <c r="I77" s="141" t="s">
        <v>129</v>
      </c>
      <c r="J77" s="111" t="s">
        <v>148</v>
      </c>
      <c r="K77" s="115">
        <v>58.95</v>
      </c>
      <c r="L77" s="594">
        <v>57</v>
      </c>
      <c r="M77" s="600">
        <v>61</v>
      </c>
      <c r="N77" s="600">
        <v>64</v>
      </c>
      <c r="O77" s="490">
        <f t="shared" si="36"/>
        <v>64</v>
      </c>
      <c r="P77" s="594">
        <v>75</v>
      </c>
      <c r="Q77" s="600">
        <v>80</v>
      </c>
      <c r="R77" s="599">
        <v>-83</v>
      </c>
      <c r="S77" s="490">
        <f t="shared" si="37"/>
        <v>80</v>
      </c>
      <c r="T77" s="489">
        <f t="shared" si="38"/>
        <v>144</v>
      </c>
      <c r="U77" s="48" t="str">
        <f t="shared" si="39"/>
        <v>FED + 14</v>
      </c>
      <c r="V77" s="48" t="str">
        <f>IF(E77=0," ",IF(E77="H",IF(H77&lt;1999,VLOOKUP(K77,Minimas!$A$15:$F$29,6),IF(AND(H77&gt;1998,H77&lt;2002),VLOOKUP(K77,Minimas!$A$15:$F$29,5),IF(AND(H77&gt;2001,H77&lt;2004),VLOOKUP(K77,Minimas!$A$15:$F$29,4),IF(AND(H77&gt;2003,H77&lt;2006),VLOOKUP(K77,Minimas!$A$15:$F$29,3),VLOOKUP(K77,Minimas!$A$15:$F$29,2))))),IF(H77&lt;1999,VLOOKUP(K77,Minimas!$G$15:$L$29,6),IF(AND(H77&gt;1998,H77&lt;2002),VLOOKUP(K77,Minimas!$G$15:$L$29,5),IF(AND(H77&gt;2001,H77&lt;2004),VLOOKUP(K77,Minimas!$G$15:$L$29,4),IF(AND(H77&gt;2003,H77&lt;2006),VLOOKUP(K77,Minimas!$G$15:$L$29,3),VLOOKUP(K77,Minimas!$G$15:$L$29,2)))))))</f>
        <v>SE F59</v>
      </c>
      <c r="W77" s="49">
        <f t="shared" si="40"/>
        <v>196.78519835645344</v>
      </c>
      <c r="X77" s="184">
        <v>43386</v>
      </c>
      <c r="Y77" s="186" t="s">
        <v>505</v>
      </c>
      <c r="Z77" s="278" t="s">
        <v>504</v>
      </c>
      <c r="AA77" s="232"/>
      <c r="AB77" s="230">
        <f>T77-HLOOKUP(V77,Minimas!$C$3:$CD$12,2,FALSE)</f>
        <v>79</v>
      </c>
      <c r="AC77" s="230">
        <f>T77-HLOOKUP(V77,Minimas!$C$3:$CD$12,3,FALSE)</f>
        <v>64</v>
      </c>
      <c r="AD77" s="230">
        <f>T77-HLOOKUP(V77,Minimas!$C$3:$CD$12,4,FALSE)</f>
        <v>52</v>
      </c>
      <c r="AE77" s="230">
        <f>T77-HLOOKUP(V77,Minimas!$C$3:$CD$12,5,FALSE)</f>
        <v>37</v>
      </c>
      <c r="AF77" s="230">
        <f>T77-HLOOKUP(V77,Minimas!$C$3:$CD$12,6,FALSE)</f>
        <v>14</v>
      </c>
      <c r="AG77" s="230">
        <f>T77-HLOOKUP(V77,Minimas!$C$3:$CD$12,7,FALSE)</f>
        <v>-1</v>
      </c>
      <c r="AH77" s="230">
        <f>T77-HLOOKUP(V77,Minimas!$C$3:$CD$12,8,FALSE)</f>
        <v>-21</v>
      </c>
      <c r="AI77" s="230">
        <f>T77-HLOOKUP(V77,Minimas!$C$3:$CD$12,9,FALSE)</f>
        <v>-41</v>
      </c>
      <c r="AJ77" s="230">
        <f>T77-HLOOKUP(V77,Minimas!$C$3:$CD$12,10,FALSE)</f>
        <v>-56</v>
      </c>
      <c r="AK77" s="231" t="str">
        <f t="shared" si="35"/>
        <v>FED +</v>
      </c>
      <c r="AL77" s="232"/>
      <c r="AM77" s="232" t="str">
        <f t="shared" si="31"/>
        <v>FED +</v>
      </c>
      <c r="AN77" s="232">
        <f t="shared" si="32"/>
        <v>14</v>
      </c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  <c r="BM77" s="38"/>
      <c r="BN77" s="38"/>
      <c r="BO77" s="38"/>
      <c r="BP77" s="38"/>
      <c r="BQ77" s="38"/>
      <c r="BR77" s="38"/>
      <c r="BS77" s="38"/>
      <c r="BT77" s="38"/>
      <c r="BU77" s="38"/>
      <c r="BV77" s="38"/>
      <c r="BW77" s="38"/>
      <c r="BX77" s="38"/>
      <c r="BY77" s="38"/>
      <c r="BZ77" s="38"/>
      <c r="CA77" s="38"/>
      <c r="CB77" s="38"/>
      <c r="CC77" s="38"/>
      <c r="CD77" s="38"/>
      <c r="CE77" s="38"/>
      <c r="CF77" s="38"/>
      <c r="CG77" s="38"/>
      <c r="CH77" s="38"/>
      <c r="CI77" s="38"/>
      <c r="CJ77" s="38"/>
      <c r="CK77" s="38"/>
      <c r="CL77" s="38"/>
      <c r="CM77" s="38"/>
      <c r="CN77" s="38"/>
      <c r="CO77" s="38"/>
      <c r="CP77" s="38"/>
      <c r="CQ77" s="38"/>
      <c r="CR77" s="38"/>
      <c r="CS77" s="38"/>
      <c r="CT77" s="38"/>
      <c r="CU77" s="38"/>
      <c r="CV77" s="38"/>
      <c r="CW77" s="38"/>
      <c r="CX77" s="38"/>
      <c r="CY77" s="38"/>
      <c r="CZ77" s="38"/>
      <c r="DA77" s="38"/>
      <c r="DB77" s="38"/>
      <c r="DC77" s="38"/>
      <c r="DD77" s="38"/>
      <c r="DE77" s="38"/>
      <c r="DF77" s="38"/>
      <c r="DG77" s="38"/>
      <c r="DH77" s="38"/>
      <c r="DI77" s="38"/>
      <c r="DJ77" s="38"/>
      <c r="DK77" s="38"/>
      <c r="DL77" s="38"/>
      <c r="DM77" s="38"/>
      <c r="DN77" s="38"/>
      <c r="DO77" s="38"/>
      <c r="DP77" s="38"/>
      <c r="DQ77" s="38"/>
      <c r="DR77" s="38"/>
      <c r="DS77" s="38"/>
      <c r="DT77" s="38"/>
    </row>
    <row r="78" spans="1:179" s="5" customFormat="1" ht="30" customHeight="1" x14ac:dyDescent="0.25">
      <c r="B78" s="433" t="s">
        <v>543</v>
      </c>
      <c r="C78" s="524">
        <v>432395</v>
      </c>
      <c r="D78" s="530"/>
      <c r="E78" s="476" t="s">
        <v>44</v>
      </c>
      <c r="F78" s="544" t="s">
        <v>710</v>
      </c>
      <c r="G78" s="551" t="s">
        <v>586</v>
      </c>
      <c r="H78" s="215">
        <v>1990</v>
      </c>
      <c r="I78" s="569" t="s">
        <v>587</v>
      </c>
      <c r="J78" s="146" t="s">
        <v>44</v>
      </c>
      <c r="K78" s="200">
        <v>58.1</v>
      </c>
      <c r="L78" s="300">
        <v>57</v>
      </c>
      <c r="M78" s="449">
        <v>-60</v>
      </c>
      <c r="N78" s="301">
        <v>60</v>
      </c>
      <c r="O78" s="358">
        <f t="shared" si="36"/>
        <v>60</v>
      </c>
      <c r="P78" s="300">
        <v>70</v>
      </c>
      <c r="Q78" s="449">
        <v>-73</v>
      </c>
      <c r="R78" s="449">
        <v>-74</v>
      </c>
      <c r="S78" s="358">
        <f t="shared" si="37"/>
        <v>70</v>
      </c>
      <c r="T78" s="359">
        <f t="shared" si="38"/>
        <v>130</v>
      </c>
      <c r="U78" s="360" t="str">
        <f t="shared" si="39"/>
        <v>FED + 0</v>
      </c>
      <c r="V78" s="360" t="str">
        <f>IF(E78=0," ",IF(E78="H",IF(H78&lt;1999,VLOOKUP(K78,[14]Minimas!$A$15:$F$29,6),IF(AND(H78&gt;1998,H78&lt;2002),VLOOKUP(K78,[14]Minimas!$A$15:$F$29,5),IF(AND(H78&gt;2001,H78&lt;2004),VLOOKUP(K78,[14]Minimas!$A$15:$F$29,4),IF(AND(H78&gt;2003,H78&lt;2006),VLOOKUP(K78,[14]Minimas!$A$15:$F$29,3),VLOOKUP(K78,[14]Minimas!$A$15:$F$29,2))))),IF(H78&lt;1999,VLOOKUP(K78,[14]Minimas!$G$15:$L$29,6),IF(AND(H78&gt;1998,H78&lt;2002),VLOOKUP(K78,[14]Minimas!$G$15:$L$29,5),IF(AND(H78&gt;2001,H78&lt;2004),VLOOKUP(K78,[14]Minimas!$G$15:$L$29,4),IF(AND(H78&gt;2003,H78&lt;2006),VLOOKUP(K78,[14]Minimas!$G$15:$L$29,3),VLOOKUP(K78,[14]Minimas!$G$15:$L$29,2)))))))</f>
        <v>SE F59</v>
      </c>
      <c r="W78" s="361">
        <f t="shared" si="40"/>
        <v>179.35639589141479</v>
      </c>
      <c r="X78" s="257">
        <v>43562</v>
      </c>
      <c r="Y78" s="261" t="s">
        <v>846</v>
      </c>
      <c r="Z78" s="261" t="s">
        <v>806</v>
      </c>
      <c r="AA78" s="232"/>
      <c r="AB78" s="230">
        <f>T78-HLOOKUP(V78,[14]Minimas!$C$3:$CD$12,2,FALSE)</f>
        <v>65</v>
      </c>
      <c r="AC78" s="230">
        <f>T78-HLOOKUP(V78,[14]Minimas!$C$3:$CD$12,3,FALSE)</f>
        <v>50</v>
      </c>
      <c r="AD78" s="230">
        <f>T78-HLOOKUP(V78,[14]Minimas!$C$3:$CD$12,4,FALSE)</f>
        <v>38</v>
      </c>
      <c r="AE78" s="230">
        <f>T78-HLOOKUP(V78,[14]Minimas!$C$3:$CD$12,5,FALSE)</f>
        <v>23</v>
      </c>
      <c r="AF78" s="230">
        <f>T78-HLOOKUP(V78,[14]Minimas!$C$3:$CD$12,6,FALSE)</f>
        <v>0</v>
      </c>
      <c r="AG78" s="230">
        <f>T78-HLOOKUP(V78,[14]Minimas!$C$3:$CD$12,7,FALSE)</f>
        <v>-15</v>
      </c>
      <c r="AH78" s="230">
        <f>T78-HLOOKUP(V78,[14]Minimas!$C$3:$CD$12,8,FALSE)</f>
        <v>-35</v>
      </c>
      <c r="AI78" s="230">
        <f>T78-HLOOKUP(V78,[14]Minimas!$C$3:$CD$12,9,FALSE)</f>
        <v>-55</v>
      </c>
      <c r="AJ78" s="230">
        <f>T78-HLOOKUP(V78,[14]Minimas!$C$3:$CD$12,10,FALSE)</f>
        <v>-70</v>
      </c>
      <c r="AK78" s="231" t="str">
        <f t="shared" si="35"/>
        <v>FED +</v>
      </c>
      <c r="AL78" s="232"/>
      <c r="AM78" s="232" t="str">
        <f t="shared" ref="AM78:AM109" si="41">IF(AK78="","",AK78)</f>
        <v>FED +</v>
      </c>
      <c r="AN78" s="232">
        <f t="shared" ref="AN78:AN104" si="42">IF(E78=0," ",IF(AJ78&gt;=0,AJ78,IF(AI78&gt;=0,AI78,IF(AH78&gt;=0,AH78,IF(AG78&gt;=0,AG78,IF(AF78&gt;=0,AF78,IF(AE78&gt;=0,AE78,IF(AD78&gt;=0,AD78,IF(AC78&gt;=0,AC78,AB78)))))))))</f>
        <v>0</v>
      </c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  <c r="BK78" s="38"/>
      <c r="BL78" s="38"/>
      <c r="BM78" s="38"/>
      <c r="BN78" s="38"/>
      <c r="BO78" s="38"/>
      <c r="BP78" s="38"/>
      <c r="BQ78" s="38"/>
      <c r="BR78" s="38"/>
      <c r="BS78" s="38"/>
      <c r="BT78" s="38"/>
      <c r="BU78" s="38"/>
      <c r="BV78" s="38"/>
      <c r="BW78" s="38"/>
      <c r="BX78" s="38"/>
      <c r="BY78" s="38"/>
      <c r="BZ78" s="38"/>
      <c r="CA78" s="38"/>
      <c r="CB78" s="38"/>
      <c r="CC78" s="38"/>
      <c r="CD78" s="38"/>
      <c r="CE78" s="38"/>
      <c r="CF78" s="38"/>
      <c r="CG78" s="38"/>
      <c r="CH78" s="38"/>
      <c r="CI78" s="38"/>
      <c r="CJ78" s="38"/>
      <c r="CK78" s="38"/>
      <c r="CL78" s="38"/>
      <c r="CM78" s="38"/>
      <c r="CN78" s="38"/>
      <c r="CO78" s="38"/>
      <c r="CP78" s="38"/>
      <c r="CQ78" s="38"/>
      <c r="CR78" s="38"/>
      <c r="CS78" s="38"/>
      <c r="CT78" s="38"/>
      <c r="CU78" s="38"/>
      <c r="CV78" s="38"/>
      <c r="CW78" s="38"/>
      <c r="CX78" s="38"/>
      <c r="CY78" s="38"/>
      <c r="CZ78" s="38"/>
      <c r="DA78" s="38"/>
      <c r="DB78" s="38"/>
      <c r="DC78" s="38"/>
      <c r="DD78" s="38"/>
      <c r="DE78" s="38"/>
      <c r="DF78" s="38"/>
      <c r="DG78" s="38"/>
      <c r="DH78" s="38"/>
      <c r="DI78" s="38"/>
      <c r="DJ78" s="38"/>
      <c r="DK78" s="38"/>
      <c r="DL78" s="38"/>
      <c r="DM78" s="38"/>
      <c r="DN78" s="38"/>
      <c r="DO78" s="38"/>
      <c r="DP78" s="38"/>
      <c r="DQ78" s="38"/>
      <c r="DR78" s="38"/>
      <c r="DS78" s="38"/>
      <c r="DT78" s="38"/>
    </row>
    <row r="79" spans="1:179" s="5" customFormat="1" ht="30" customHeight="1" x14ac:dyDescent="0.3">
      <c r="B79" s="517" t="s">
        <v>543</v>
      </c>
      <c r="C79" s="116">
        <v>419441</v>
      </c>
      <c r="D79" s="119"/>
      <c r="E79" s="175" t="s">
        <v>44</v>
      </c>
      <c r="F79" s="124" t="s">
        <v>159</v>
      </c>
      <c r="G79" s="125" t="s">
        <v>565</v>
      </c>
      <c r="H79" s="156">
        <v>1978</v>
      </c>
      <c r="I79" s="158" t="s">
        <v>560</v>
      </c>
      <c r="J79" s="104"/>
      <c r="K79" s="126">
        <v>58.3</v>
      </c>
      <c r="L79" s="456">
        <v>55</v>
      </c>
      <c r="M79" s="596">
        <v>-59</v>
      </c>
      <c r="N79" s="596">
        <v>-60</v>
      </c>
      <c r="O79" s="490">
        <f t="shared" si="36"/>
        <v>55</v>
      </c>
      <c r="P79" s="456">
        <v>67</v>
      </c>
      <c r="Q79" s="457">
        <v>70</v>
      </c>
      <c r="R79" s="457">
        <v>75</v>
      </c>
      <c r="S79" s="490">
        <f t="shared" si="37"/>
        <v>75</v>
      </c>
      <c r="T79" s="489">
        <f t="shared" si="38"/>
        <v>130</v>
      </c>
      <c r="U79" s="48" t="str">
        <f t="shared" si="39"/>
        <v>FED + 0</v>
      </c>
      <c r="V79" s="48" t="str">
        <f>IF(E79=0," ",IF(E79="H",IF(H79&lt;1999,VLOOKUP(K79,Minimas!$A$15:$F$29,6),IF(AND(H79&gt;1998,H79&lt;2002),VLOOKUP(K79,Minimas!$A$15:$F$29,5),IF(AND(H79&gt;2001,H79&lt;2004),VLOOKUP(K79,Minimas!$A$15:$F$29,4),IF(AND(H79&gt;2003,H79&lt;2006),VLOOKUP(K79,Minimas!$A$15:$F$29,3),VLOOKUP(K79,Minimas!$A$15:$F$29,2))))),IF(H79&lt;1999,VLOOKUP(K79,Minimas!$G$15:$L$29,6),IF(AND(H79&gt;1998,H79&lt;2002),VLOOKUP(K79,Minimas!$G$15:$L$29,5),IF(AND(H79&gt;2001,H79&lt;2004),VLOOKUP(K79,Minimas!$G$15:$L$29,4),IF(AND(H79&gt;2003,H79&lt;2006),VLOOKUP(K79,Minimas!$G$15:$L$29,3),VLOOKUP(K79,Minimas!$G$15:$L$29,2)))))))</f>
        <v>SE F59</v>
      </c>
      <c r="W79" s="49">
        <f t="shared" si="40"/>
        <v>178.94964859367727</v>
      </c>
      <c r="X79" s="257">
        <v>43484</v>
      </c>
      <c r="Y79" s="261" t="s">
        <v>580</v>
      </c>
      <c r="Z79" s="261" t="s">
        <v>581</v>
      </c>
      <c r="AA79" s="232"/>
      <c r="AB79" s="230">
        <f>T79-HLOOKUP(V79,Minimas!$C$3:$CD$12,2,FALSE)</f>
        <v>65</v>
      </c>
      <c r="AC79" s="230">
        <f>T79-HLOOKUP(V79,Minimas!$C$3:$CD$12,3,FALSE)</f>
        <v>50</v>
      </c>
      <c r="AD79" s="230">
        <f>T79-HLOOKUP(V79,Minimas!$C$3:$CD$12,4,FALSE)</f>
        <v>38</v>
      </c>
      <c r="AE79" s="230">
        <f>T79-HLOOKUP(V79,Minimas!$C$3:$CD$12,5,FALSE)</f>
        <v>23</v>
      </c>
      <c r="AF79" s="230">
        <f>T79-HLOOKUP(V79,Minimas!$C$3:$CD$12,6,FALSE)</f>
        <v>0</v>
      </c>
      <c r="AG79" s="230">
        <f>T79-HLOOKUP(V79,Minimas!$C$3:$CD$12,7,FALSE)</f>
        <v>-15</v>
      </c>
      <c r="AH79" s="230">
        <f>T79-HLOOKUP(V79,Minimas!$C$3:$CD$12,8,FALSE)</f>
        <v>-35</v>
      </c>
      <c r="AI79" s="230">
        <f>T79-HLOOKUP(V79,Minimas!$C$3:$CD$12,9,FALSE)</f>
        <v>-55</v>
      </c>
      <c r="AJ79" s="230">
        <f>T79-HLOOKUP(V79,Minimas!$C$3:$CD$12,10,FALSE)</f>
        <v>-70</v>
      </c>
      <c r="AK79" s="231" t="str">
        <f t="shared" si="35"/>
        <v>FED +</v>
      </c>
      <c r="AL79" s="232"/>
      <c r="AM79" s="232" t="str">
        <f t="shared" si="41"/>
        <v>FED +</v>
      </c>
      <c r="AN79" s="232">
        <f t="shared" si="42"/>
        <v>0</v>
      </c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  <c r="BH79" s="38"/>
      <c r="BI79" s="38"/>
      <c r="BJ79" s="38"/>
      <c r="BK79" s="38"/>
      <c r="BL79" s="38"/>
      <c r="BM79" s="38"/>
      <c r="BN79" s="38"/>
      <c r="BO79" s="38"/>
      <c r="BP79" s="38"/>
      <c r="BQ79" s="38"/>
      <c r="BR79" s="38"/>
      <c r="BS79" s="38"/>
      <c r="BT79" s="38"/>
      <c r="BU79" s="38"/>
      <c r="BV79" s="38"/>
      <c r="BW79" s="38"/>
      <c r="BX79" s="38"/>
      <c r="BY79" s="38"/>
      <c r="BZ79" s="38"/>
      <c r="CA79" s="38"/>
      <c r="CB79" s="38"/>
      <c r="CC79" s="38"/>
      <c r="CD79" s="38"/>
      <c r="CE79" s="38"/>
      <c r="CF79" s="38"/>
      <c r="CG79" s="38"/>
      <c r="CH79" s="38"/>
      <c r="CI79" s="38"/>
      <c r="CJ79" s="38"/>
      <c r="CK79" s="38"/>
      <c r="CL79" s="38"/>
      <c r="CM79" s="38"/>
      <c r="CN79" s="38"/>
      <c r="CO79" s="38"/>
      <c r="CP79" s="38"/>
      <c r="CQ79" s="38"/>
      <c r="CR79" s="38"/>
      <c r="CS79" s="38"/>
      <c r="CT79" s="38"/>
      <c r="CU79" s="38"/>
      <c r="CV79" s="38"/>
      <c r="CW79" s="38"/>
      <c r="CX79" s="38"/>
      <c r="CY79" s="38"/>
      <c r="CZ79" s="38"/>
      <c r="DA79" s="38"/>
      <c r="DB79" s="38"/>
      <c r="DC79" s="38"/>
      <c r="DD79" s="38"/>
      <c r="DE79" s="38"/>
      <c r="DF79" s="38"/>
      <c r="DG79" s="38"/>
      <c r="DH79" s="38"/>
      <c r="DI79" s="38"/>
      <c r="DJ79" s="38"/>
      <c r="DK79" s="38"/>
      <c r="DL79" s="38"/>
      <c r="DM79" s="38"/>
      <c r="DN79" s="38"/>
      <c r="DO79" s="38"/>
      <c r="DP79" s="38"/>
      <c r="DQ79" s="38"/>
      <c r="DR79" s="38"/>
      <c r="DS79" s="38"/>
      <c r="DT79" s="38"/>
    </row>
    <row r="80" spans="1:179" s="5" customFormat="1" ht="30" customHeight="1" x14ac:dyDescent="0.3">
      <c r="B80" s="517" t="s">
        <v>543</v>
      </c>
      <c r="C80" s="116">
        <v>443624</v>
      </c>
      <c r="D80" s="119"/>
      <c r="E80" s="477" t="s">
        <v>44</v>
      </c>
      <c r="F80" s="105" t="s">
        <v>185</v>
      </c>
      <c r="G80" s="106" t="s">
        <v>208</v>
      </c>
      <c r="H80" s="107">
        <v>1991</v>
      </c>
      <c r="I80" s="121" t="s">
        <v>173</v>
      </c>
      <c r="J80" s="120" t="s">
        <v>44</v>
      </c>
      <c r="K80" s="108">
        <v>57.12</v>
      </c>
      <c r="L80" s="590">
        <v>-55</v>
      </c>
      <c r="M80" s="597">
        <v>-55</v>
      </c>
      <c r="N80" s="457">
        <v>55</v>
      </c>
      <c r="O80" s="490">
        <f t="shared" si="36"/>
        <v>55</v>
      </c>
      <c r="P80" s="590">
        <v>-65</v>
      </c>
      <c r="Q80" s="457">
        <v>65</v>
      </c>
      <c r="R80" s="457">
        <v>70</v>
      </c>
      <c r="S80" s="490">
        <f t="shared" si="37"/>
        <v>70</v>
      </c>
      <c r="T80" s="489">
        <f t="shared" si="38"/>
        <v>125</v>
      </c>
      <c r="U80" s="48" t="str">
        <f t="shared" si="39"/>
        <v>IRG + 18</v>
      </c>
      <c r="V80" s="48" t="str">
        <f>IF(E80=0," ",IF(E80="H",IF(H80&lt;1999,VLOOKUP(K80,Minimas!$A$15:$F$29,6),IF(AND(H80&gt;1998,H80&lt;2002),VLOOKUP(K80,Minimas!$A$15:$F$29,5),IF(AND(H80&gt;2001,H80&lt;2004),VLOOKUP(K80,Minimas!$A$15:$F$29,4),IF(AND(H80&gt;2003,H80&lt;2006),VLOOKUP(K80,Minimas!$A$15:$F$29,3),VLOOKUP(K80,Minimas!$A$15:$F$29,2))))),IF(H80&lt;1999,VLOOKUP(K80,Minimas!$G$15:$L$29,6),IF(AND(H80&gt;1998,H80&lt;2002),VLOOKUP(K80,Minimas!$G$15:$L$29,5),IF(AND(H80&gt;2001,H80&lt;2004),VLOOKUP(K80,Minimas!$G$15:$L$29,4),IF(AND(H80&gt;2003,H80&lt;2006),VLOOKUP(K80,Minimas!$G$15:$L$29,3),VLOOKUP(K80,Minimas!$G$15:$L$29,2)))))))</f>
        <v>SE F59</v>
      </c>
      <c r="W80" s="49">
        <f t="shared" si="40"/>
        <v>174.42792570709727</v>
      </c>
      <c r="X80" s="184">
        <v>43435</v>
      </c>
      <c r="Y80" s="278" t="s">
        <v>509</v>
      </c>
      <c r="Z80" s="278" t="s">
        <v>510</v>
      </c>
      <c r="AA80" s="232"/>
      <c r="AB80" s="230">
        <f>T80-HLOOKUP(V80,Minimas!$C$3:$CD$12,2,FALSE)</f>
        <v>60</v>
      </c>
      <c r="AC80" s="230">
        <f>T80-HLOOKUP(V80,Minimas!$C$3:$CD$12,3,FALSE)</f>
        <v>45</v>
      </c>
      <c r="AD80" s="230">
        <f>T80-HLOOKUP(V80,Minimas!$C$3:$CD$12,4,FALSE)</f>
        <v>33</v>
      </c>
      <c r="AE80" s="230">
        <f>T80-HLOOKUP(V80,Minimas!$C$3:$CD$12,5,FALSE)</f>
        <v>18</v>
      </c>
      <c r="AF80" s="230">
        <f>T80-HLOOKUP(V80,Minimas!$C$3:$CD$12,6,FALSE)</f>
        <v>-5</v>
      </c>
      <c r="AG80" s="230">
        <f>T80-HLOOKUP(V80,Minimas!$C$3:$CD$12,7,FALSE)</f>
        <v>-20</v>
      </c>
      <c r="AH80" s="230">
        <f>T80-HLOOKUP(V80,Minimas!$C$3:$CD$12,8,FALSE)</f>
        <v>-40</v>
      </c>
      <c r="AI80" s="230">
        <f>T80-HLOOKUP(V80,Minimas!$C$3:$CD$12,9,FALSE)</f>
        <v>-60</v>
      </c>
      <c r="AJ80" s="230">
        <f>T80-HLOOKUP(V80,Minimas!$C$3:$CD$12,10,FALSE)</f>
        <v>-75</v>
      </c>
      <c r="AK80" s="231" t="str">
        <f t="shared" si="35"/>
        <v>IRG +</v>
      </c>
      <c r="AL80" s="232"/>
      <c r="AM80" s="232" t="str">
        <f t="shared" si="41"/>
        <v>IRG +</v>
      </c>
      <c r="AN80" s="232">
        <f t="shared" si="42"/>
        <v>18</v>
      </c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  <c r="BH80" s="38"/>
      <c r="BI80" s="38"/>
      <c r="BJ80" s="38"/>
      <c r="BK80" s="38"/>
      <c r="BL80" s="38"/>
      <c r="BM80" s="38"/>
      <c r="BN80" s="38"/>
      <c r="BO80" s="38"/>
      <c r="BP80" s="38"/>
      <c r="BQ80" s="38"/>
      <c r="BR80" s="38"/>
      <c r="BS80" s="38"/>
      <c r="BT80" s="38"/>
      <c r="BU80" s="38"/>
      <c r="BV80" s="38"/>
      <c r="BW80" s="38"/>
      <c r="BX80" s="38"/>
      <c r="BY80" s="38"/>
      <c r="BZ80" s="38"/>
      <c r="CA80" s="38"/>
      <c r="CB80" s="38"/>
      <c r="CC80" s="38"/>
      <c r="CD80" s="38"/>
      <c r="CE80" s="38"/>
      <c r="CF80" s="38"/>
      <c r="CG80" s="38"/>
      <c r="CH80" s="38"/>
      <c r="CI80" s="38"/>
      <c r="CJ80" s="38"/>
      <c r="CK80" s="38"/>
      <c r="CL80" s="38"/>
      <c r="CM80" s="38"/>
      <c r="CN80" s="38"/>
      <c r="CO80" s="38"/>
      <c r="CP80" s="38"/>
      <c r="CQ80" s="38"/>
      <c r="CR80" s="38"/>
      <c r="CS80" s="38"/>
      <c r="CT80" s="38"/>
      <c r="CU80" s="38"/>
      <c r="CV80" s="38"/>
      <c r="CW80" s="38"/>
      <c r="CX80" s="38"/>
      <c r="CY80" s="38"/>
      <c r="CZ80" s="38"/>
      <c r="DA80" s="38"/>
      <c r="DB80" s="38"/>
      <c r="DC80" s="38"/>
      <c r="DD80" s="38"/>
      <c r="DE80" s="38"/>
      <c r="DF80" s="38"/>
      <c r="DG80" s="38"/>
      <c r="DH80" s="38"/>
      <c r="DI80" s="38"/>
      <c r="DJ80" s="38"/>
      <c r="DK80" s="38"/>
      <c r="DL80" s="38"/>
      <c r="DM80" s="38"/>
      <c r="DN80" s="38"/>
      <c r="DO80" s="38"/>
      <c r="DP80" s="38"/>
      <c r="DQ80" s="38"/>
      <c r="DR80" s="38"/>
      <c r="DS80" s="38"/>
      <c r="DT80" s="38"/>
    </row>
    <row r="81" spans="1:179" s="5" customFormat="1" ht="28.15" customHeight="1" x14ac:dyDescent="0.3">
      <c r="B81" s="517" t="s">
        <v>543</v>
      </c>
      <c r="C81" s="525">
        <v>405932</v>
      </c>
      <c r="D81" s="533"/>
      <c r="E81" s="399" t="s">
        <v>44</v>
      </c>
      <c r="F81" s="545" t="s">
        <v>179</v>
      </c>
      <c r="G81" s="552" t="s">
        <v>180</v>
      </c>
      <c r="H81" s="557">
        <v>1990</v>
      </c>
      <c r="I81" s="567" t="s">
        <v>170</v>
      </c>
      <c r="J81" s="379" t="s">
        <v>44</v>
      </c>
      <c r="K81" s="580">
        <v>58.5</v>
      </c>
      <c r="L81" s="456">
        <v>45</v>
      </c>
      <c r="M81" s="457">
        <v>50</v>
      </c>
      <c r="N81" s="457">
        <v>55</v>
      </c>
      <c r="O81" s="490">
        <f t="shared" si="36"/>
        <v>55</v>
      </c>
      <c r="P81" s="456">
        <v>62</v>
      </c>
      <c r="Q81" s="597">
        <v>-65</v>
      </c>
      <c r="R81" s="597">
        <v>-65</v>
      </c>
      <c r="S81" s="490">
        <f t="shared" si="37"/>
        <v>62</v>
      </c>
      <c r="T81" s="489">
        <f t="shared" si="38"/>
        <v>117</v>
      </c>
      <c r="U81" s="48" t="str">
        <f t="shared" si="39"/>
        <v>IRG + 10</v>
      </c>
      <c r="V81" s="48" t="str">
        <f>IF(E81=0," ",IF(E81="H",IF(H81&lt;1999,VLOOKUP(K81,Minimas!$A$15:$F$29,6),IF(AND(H81&gt;1998,H81&lt;2002),VLOOKUP(K81,Minimas!$A$15:$F$29,5),IF(AND(H81&gt;2001,H81&lt;2004),VLOOKUP(K81,Minimas!$A$15:$F$29,4),IF(AND(H81&gt;2003,H81&lt;2006),VLOOKUP(K81,Minimas!$A$15:$F$29,3),VLOOKUP(K81,Minimas!$A$15:$F$29,2))))),IF(H81&lt;1999,VLOOKUP(K81,Minimas!$G$15:$L$29,6),IF(AND(H81&gt;1998,H81&lt;2002),VLOOKUP(K81,Minimas!$G$15:$L$29,5),IF(AND(H81&gt;2001,H81&lt;2004),VLOOKUP(K81,Minimas!$G$15:$L$29,4),IF(AND(H81&gt;2003,H81&lt;2006),VLOOKUP(K81,Minimas!$G$15:$L$29,3),VLOOKUP(K81,Minimas!$G$15:$L$29,2)))))))</f>
        <v>SE F59</v>
      </c>
      <c r="W81" s="49">
        <f t="shared" si="40"/>
        <v>160.69197553863322</v>
      </c>
      <c r="X81" s="184">
        <v>43401</v>
      </c>
      <c r="Y81" s="278" t="s">
        <v>507</v>
      </c>
      <c r="Z81" s="278"/>
      <c r="AA81" s="232"/>
      <c r="AB81" s="230">
        <f>T81-HLOOKUP(V81,Minimas!$C$3:$CD$12,2,FALSE)</f>
        <v>52</v>
      </c>
      <c r="AC81" s="230">
        <f>T81-HLOOKUP(V81,Minimas!$C$3:$CD$12,3,FALSE)</f>
        <v>37</v>
      </c>
      <c r="AD81" s="230">
        <f>T81-HLOOKUP(V81,Minimas!$C$3:$CD$12,4,FALSE)</f>
        <v>25</v>
      </c>
      <c r="AE81" s="230">
        <f>T81-HLOOKUP(V81,Minimas!$C$3:$CD$12,5,FALSE)</f>
        <v>10</v>
      </c>
      <c r="AF81" s="230">
        <f>T81-HLOOKUP(V81,Minimas!$C$3:$CD$12,6,FALSE)</f>
        <v>-13</v>
      </c>
      <c r="AG81" s="230">
        <f>T81-HLOOKUP(V81,Minimas!$C$3:$CD$12,7,FALSE)</f>
        <v>-28</v>
      </c>
      <c r="AH81" s="230">
        <f>T81-HLOOKUP(V81,Minimas!$C$3:$CD$12,8,FALSE)</f>
        <v>-48</v>
      </c>
      <c r="AI81" s="230">
        <f>T81-HLOOKUP(V81,Minimas!$C$3:$CD$12,9,FALSE)</f>
        <v>-68</v>
      </c>
      <c r="AJ81" s="230">
        <f>T81-HLOOKUP(V81,Minimas!$C$3:$CD$12,10,FALSE)</f>
        <v>-83</v>
      </c>
      <c r="AK81" s="231" t="str">
        <f t="shared" si="35"/>
        <v>IRG +</v>
      </c>
      <c r="AL81" s="232"/>
      <c r="AM81" s="232" t="str">
        <f t="shared" si="41"/>
        <v>IRG +</v>
      </c>
      <c r="AN81" s="232">
        <f t="shared" si="42"/>
        <v>10</v>
      </c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  <c r="BH81" s="38"/>
      <c r="BI81" s="38"/>
      <c r="BJ81" s="38"/>
      <c r="BK81" s="38"/>
      <c r="BL81" s="38"/>
      <c r="BM81" s="38"/>
      <c r="BN81" s="38"/>
      <c r="BO81" s="38"/>
      <c r="BP81" s="38"/>
      <c r="BQ81" s="38"/>
      <c r="BR81" s="38"/>
      <c r="BS81" s="38"/>
      <c r="BT81" s="38"/>
      <c r="BU81" s="38"/>
      <c r="BV81" s="38"/>
      <c r="BW81" s="38"/>
      <c r="BX81" s="38"/>
      <c r="BY81" s="38"/>
      <c r="BZ81" s="38"/>
      <c r="CA81" s="38"/>
      <c r="CB81" s="38"/>
      <c r="CC81" s="38"/>
      <c r="CD81" s="38"/>
      <c r="CE81" s="38"/>
      <c r="CF81" s="38"/>
      <c r="CG81" s="38"/>
      <c r="CH81" s="38"/>
      <c r="CI81" s="38"/>
      <c r="CJ81" s="38"/>
      <c r="CK81" s="38"/>
      <c r="CL81" s="38"/>
      <c r="CM81" s="38"/>
      <c r="CN81" s="38"/>
      <c r="CO81" s="38"/>
      <c r="CP81" s="38"/>
      <c r="CQ81" s="38"/>
      <c r="CR81" s="38"/>
      <c r="CS81" s="38"/>
      <c r="CT81" s="38"/>
      <c r="CU81" s="38"/>
      <c r="CV81" s="38"/>
      <c r="CW81" s="38"/>
      <c r="CX81" s="38"/>
      <c r="CY81" s="38"/>
      <c r="CZ81" s="38"/>
      <c r="DA81" s="38"/>
      <c r="DB81" s="38"/>
      <c r="DC81" s="38"/>
      <c r="DD81" s="38"/>
      <c r="DE81" s="38"/>
      <c r="DF81" s="38"/>
      <c r="DG81" s="38"/>
      <c r="DH81" s="38"/>
      <c r="DI81" s="38"/>
      <c r="DJ81" s="38"/>
      <c r="DK81" s="38"/>
      <c r="DL81" s="38"/>
      <c r="DM81" s="38"/>
      <c r="DN81" s="38"/>
      <c r="DO81" s="38"/>
      <c r="DP81" s="38"/>
      <c r="DQ81" s="38"/>
      <c r="DR81" s="38"/>
      <c r="DS81" s="38"/>
      <c r="DT81" s="38"/>
    </row>
    <row r="82" spans="1:179" s="5" customFormat="1" ht="28.15" customHeight="1" x14ac:dyDescent="0.3">
      <c r="B82" s="517" t="s">
        <v>543</v>
      </c>
      <c r="C82" s="525">
        <v>443730</v>
      </c>
      <c r="D82" s="532"/>
      <c r="E82" s="399" t="s">
        <v>44</v>
      </c>
      <c r="F82" s="414" t="s">
        <v>183</v>
      </c>
      <c r="G82" s="415" t="s">
        <v>209</v>
      </c>
      <c r="H82" s="417">
        <v>1993</v>
      </c>
      <c r="I82" s="573" t="s">
        <v>566</v>
      </c>
      <c r="J82" s="379"/>
      <c r="K82" s="581">
        <v>56.8</v>
      </c>
      <c r="L82" s="456">
        <v>49</v>
      </c>
      <c r="M82" s="457">
        <v>51</v>
      </c>
      <c r="N82" s="596">
        <v>-54</v>
      </c>
      <c r="O82" s="490">
        <f t="shared" si="36"/>
        <v>51</v>
      </c>
      <c r="P82" s="456">
        <v>62</v>
      </c>
      <c r="Q82" s="457">
        <v>64</v>
      </c>
      <c r="R82" s="596">
        <v>-66</v>
      </c>
      <c r="S82" s="490">
        <f t="shared" si="37"/>
        <v>64</v>
      </c>
      <c r="T82" s="489">
        <f t="shared" si="38"/>
        <v>115</v>
      </c>
      <c r="U82" s="48" t="str">
        <f t="shared" si="39"/>
        <v>IRG + 8</v>
      </c>
      <c r="V82" s="48" t="str">
        <f>IF(E82=0," ",IF(E82="H",IF(H82&lt;1999,VLOOKUP(K82,Minimas!$A$15:$F$29,6),IF(AND(H82&gt;1998,H82&lt;2002),VLOOKUP(K82,Minimas!$A$15:$F$29,5),IF(AND(H82&gt;2001,H82&lt;2004),VLOOKUP(K82,Minimas!$A$15:$F$29,4),IF(AND(H82&gt;2003,H82&lt;2006),VLOOKUP(K82,Minimas!$A$15:$F$29,3),VLOOKUP(K82,Minimas!$A$15:$F$29,2))))),IF(H82&lt;1999,VLOOKUP(K82,Minimas!$G$15:$L$29,6),IF(AND(H82&gt;1998,H82&lt;2002),VLOOKUP(K82,Minimas!$G$15:$L$29,5),IF(AND(H82&gt;2001,H82&lt;2004),VLOOKUP(K82,Minimas!$G$15:$L$29,4),IF(AND(H82&gt;2003,H82&lt;2006),VLOOKUP(K82,Minimas!$G$15:$L$29,3),VLOOKUP(K82,Minimas!$G$15:$L$29,2)))))))</f>
        <v>SE F59</v>
      </c>
      <c r="W82" s="49">
        <f t="shared" si="40"/>
        <v>161.08369503646901</v>
      </c>
      <c r="X82" s="257">
        <v>43484</v>
      </c>
      <c r="Y82" s="261" t="s">
        <v>580</v>
      </c>
      <c r="Z82" s="261" t="s">
        <v>581</v>
      </c>
      <c r="AA82" s="232"/>
      <c r="AB82" s="230">
        <f>T82-HLOOKUP(V82,Minimas!$C$3:$CD$12,2,FALSE)</f>
        <v>50</v>
      </c>
      <c r="AC82" s="230">
        <f>T82-HLOOKUP(V82,Minimas!$C$3:$CD$12,3,FALSE)</f>
        <v>35</v>
      </c>
      <c r="AD82" s="230">
        <f>T82-HLOOKUP(V82,Minimas!$C$3:$CD$12,4,FALSE)</f>
        <v>23</v>
      </c>
      <c r="AE82" s="230">
        <f>T82-HLOOKUP(V82,Minimas!$C$3:$CD$12,5,FALSE)</f>
        <v>8</v>
      </c>
      <c r="AF82" s="230">
        <f>T82-HLOOKUP(V82,Minimas!$C$3:$CD$12,6,FALSE)</f>
        <v>-15</v>
      </c>
      <c r="AG82" s="230">
        <f>T82-HLOOKUP(V82,Minimas!$C$3:$CD$12,7,FALSE)</f>
        <v>-30</v>
      </c>
      <c r="AH82" s="230">
        <f>T82-HLOOKUP(V82,Minimas!$C$3:$CD$12,8,FALSE)</f>
        <v>-50</v>
      </c>
      <c r="AI82" s="230">
        <f>T82-HLOOKUP(V82,Minimas!$C$3:$CD$12,9,FALSE)</f>
        <v>-70</v>
      </c>
      <c r="AJ82" s="230">
        <f>T82-HLOOKUP(V82,Minimas!$C$3:$CD$12,10,FALSE)</f>
        <v>-85</v>
      </c>
      <c r="AK82" s="231" t="str">
        <f t="shared" si="35"/>
        <v>IRG +</v>
      </c>
      <c r="AL82" s="232"/>
      <c r="AM82" s="232" t="str">
        <f t="shared" si="41"/>
        <v>IRG +</v>
      </c>
      <c r="AN82" s="232">
        <f t="shared" si="42"/>
        <v>8</v>
      </c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  <c r="BG82" s="38"/>
      <c r="BH82" s="38"/>
      <c r="BI82" s="38"/>
      <c r="BJ82" s="38"/>
      <c r="BK82" s="38"/>
      <c r="BL82" s="38"/>
      <c r="BM82" s="38"/>
      <c r="BN82" s="38"/>
      <c r="BO82" s="38"/>
      <c r="BP82" s="38"/>
      <c r="BQ82" s="38"/>
      <c r="BR82" s="38"/>
      <c r="BS82" s="38"/>
      <c r="BT82" s="38"/>
      <c r="BU82" s="38"/>
      <c r="BV82" s="38"/>
      <c r="BW82" s="38"/>
      <c r="BX82" s="38"/>
      <c r="BY82" s="38"/>
      <c r="BZ82" s="38"/>
      <c r="CA82" s="38"/>
      <c r="CB82" s="38"/>
      <c r="CC82" s="38"/>
      <c r="CD82" s="38"/>
      <c r="CE82" s="38"/>
      <c r="CF82" s="38"/>
      <c r="CG82" s="38"/>
      <c r="CH82" s="38"/>
      <c r="CI82" s="38"/>
      <c r="CJ82" s="38"/>
      <c r="CK82" s="38"/>
      <c r="CL82" s="38"/>
      <c r="CM82" s="38"/>
      <c r="CN82" s="38"/>
      <c r="CO82" s="38"/>
      <c r="CP82" s="38"/>
      <c r="CQ82" s="38"/>
      <c r="CR82" s="38"/>
      <c r="CS82" s="38"/>
      <c r="CT82" s="38"/>
      <c r="CU82" s="38"/>
      <c r="CV82" s="38"/>
      <c r="CW82" s="38"/>
      <c r="CX82" s="38"/>
      <c r="CY82" s="38"/>
      <c r="CZ82" s="38"/>
      <c r="DA82" s="38"/>
      <c r="DB82" s="38"/>
      <c r="DC82" s="38"/>
      <c r="DD82" s="38"/>
      <c r="DE82" s="38"/>
      <c r="DF82" s="38"/>
      <c r="DG82" s="38"/>
      <c r="DH82" s="38"/>
      <c r="DI82" s="38"/>
      <c r="DJ82" s="38"/>
      <c r="DK82" s="38"/>
      <c r="DL82" s="38"/>
      <c r="DM82" s="38"/>
      <c r="DN82" s="38"/>
      <c r="DO82" s="38"/>
      <c r="DP82" s="38"/>
      <c r="DQ82" s="38"/>
      <c r="DR82" s="38"/>
      <c r="DS82" s="38"/>
      <c r="DT82" s="38"/>
    </row>
    <row r="83" spans="1:179" s="5" customFormat="1" ht="28.15" customHeight="1" x14ac:dyDescent="0.3">
      <c r="B83" s="517" t="s">
        <v>543</v>
      </c>
      <c r="C83" s="525">
        <v>432964</v>
      </c>
      <c r="D83" s="532"/>
      <c r="E83" s="399" t="s">
        <v>44</v>
      </c>
      <c r="F83" s="423" t="s">
        <v>149</v>
      </c>
      <c r="G83" s="415" t="s">
        <v>652</v>
      </c>
      <c r="H83" s="380">
        <v>1970</v>
      </c>
      <c r="I83" s="425" t="s">
        <v>324</v>
      </c>
      <c r="J83" s="381" t="s">
        <v>44</v>
      </c>
      <c r="K83" s="581">
        <v>55.39</v>
      </c>
      <c r="L83" s="456">
        <v>45</v>
      </c>
      <c r="M83" s="596">
        <v>-49</v>
      </c>
      <c r="N83" s="457">
        <v>50</v>
      </c>
      <c r="O83" s="490">
        <f t="shared" si="36"/>
        <v>50</v>
      </c>
      <c r="P83" s="456">
        <v>57</v>
      </c>
      <c r="Q83" s="457">
        <v>61</v>
      </c>
      <c r="R83" s="457">
        <v>64</v>
      </c>
      <c r="S83" s="490">
        <f t="shared" si="37"/>
        <v>64</v>
      </c>
      <c r="T83" s="489">
        <f t="shared" si="38"/>
        <v>114</v>
      </c>
      <c r="U83" s="48" t="str">
        <f t="shared" si="39"/>
        <v>IRG + 7</v>
      </c>
      <c r="V83" s="48" t="str">
        <f>IF(E83=0," ",IF(E83="H",IF(H83&lt;1999,VLOOKUP(K83,Minimas!$A$15:$F$29,6),IF(AND(H83&gt;1998,H83&lt;2002),VLOOKUP(K83,Minimas!$A$15:$F$29,5),IF(AND(H83&gt;2001,H83&lt;2004),VLOOKUP(K83,Minimas!$A$15:$F$29,4),IF(AND(H83&gt;2003,H83&lt;2006),VLOOKUP(K83,Minimas!$A$15:$F$29,3),VLOOKUP(K83,Minimas!$A$15:$F$29,2))))),IF(H83&lt;1999,VLOOKUP(K83,Minimas!$G$15:$L$29,6),IF(AND(H83&gt;1998,H83&lt;2002),VLOOKUP(K83,Minimas!$G$15:$L$29,5),IF(AND(H83&gt;2001,H83&lt;2004),VLOOKUP(K83,Minimas!$G$15:$L$29,4),IF(AND(H83&gt;2003,H83&lt;2006),VLOOKUP(K83,Minimas!$G$15:$L$29,3),VLOOKUP(K83,Minimas!$G$15:$L$29,2)))))))</f>
        <v>SE F59</v>
      </c>
      <c r="W83" s="49">
        <f t="shared" si="40"/>
        <v>162.4596520769781</v>
      </c>
      <c r="X83" s="257">
        <v>43485</v>
      </c>
      <c r="Y83" s="261" t="s">
        <v>580</v>
      </c>
      <c r="Z83" s="261" t="s">
        <v>556</v>
      </c>
      <c r="AA83" s="232"/>
      <c r="AB83" s="230">
        <f>T83-HLOOKUP(V83,Minimas!$C$3:$CD$12,2,FALSE)</f>
        <v>49</v>
      </c>
      <c r="AC83" s="230">
        <f>T83-HLOOKUP(V83,Minimas!$C$3:$CD$12,3,FALSE)</f>
        <v>34</v>
      </c>
      <c r="AD83" s="230">
        <f>T83-HLOOKUP(V83,Minimas!$C$3:$CD$12,4,FALSE)</f>
        <v>22</v>
      </c>
      <c r="AE83" s="230">
        <f>T83-HLOOKUP(V83,Minimas!$C$3:$CD$12,5,FALSE)</f>
        <v>7</v>
      </c>
      <c r="AF83" s="230">
        <f>T83-HLOOKUP(V83,Minimas!$C$3:$CD$12,6,FALSE)</f>
        <v>-16</v>
      </c>
      <c r="AG83" s="230">
        <f>T83-HLOOKUP(V83,Minimas!$C$3:$CD$12,7,FALSE)</f>
        <v>-31</v>
      </c>
      <c r="AH83" s="230">
        <f>T83-HLOOKUP(V83,Minimas!$C$3:$CD$12,8,FALSE)</f>
        <v>-51</v>
      </c>
      <c r="AI83" s="230">
        <f>T83-HLOOKUP(V83,Minimas!$C$3:$CD$12,9,FALSE)</f>
        <v>-71</v>
      </c>
      <c r="AJ83" s="230">
        <f>T83-HLOOKUP(V83,Minimas!$C$3:$CD$12,10,FALSE)</f>
        <v>-86</v>
      </c>
      <c r="AK83" s="231" t="str">
        <f t="shared" si="35"/>
        <v>IRG +</v>
      </c>
      <c r="AL83" s="232"/>
      <c r="AM83" s="232" t="str">
        <f t="shared" si="41"/>
        <v>IRG +</v>
      </c>
      <c r="AN83" s="232">
        <f t="shared" si="42"/>
        <v>7</v>
      </c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  <c r="BL83" s="38"/>
      <c r="BM83" s="38"/>
      <c r="BN83" s="38"/>
      <c r="BO83" s="38"/>
      <c r="BP83" s="38"/>
      <c r="BQ83" s="38"/>
      <c r="BR83" s="38"/>
      <c r="BS83" s="38"/>
      <c r="BT83" s="38"/>
      <c r="BU83" s="38"/>
      <c r="BV83" s="38"/>
      <c r="BW83" s="38"/>
      <c r="BX83" s="38"/>
      <c r="BY83" s="38"/>
      <c r="BZ83" s="38"/>
      <c r="CA83" s="38"/>
      <c r="CB83" s="38"/>
      <c r="CC83" s="38"/>
      <c r="CD83" s="38"/>
      <c r="CE83" s="38"/>
      <c r="CF83" s="38"/>
      <c r="CG83" s="38"/>
      <c r="CH83" s="38"/>
      <c r="CI83" s="38"/>
      <c r="CJ83" s="38"/>
      <c r="CK83" s="38"/>
      <c r="CL83" s="38"/>
      <c r="CM83" s="38"/>
      <c r="CN83" s="38"/>
      <c r="CO83" s="38"/>
      <c r="CP83" s="38"/>
      <c r="CQ83" s="38"/>
      <c r="CR83" s="38"/>
      <c r="CS83" s="38"/>
      <c r="CT83" s="38"/>
      <c r="CU83" s="38"/>
      <c r="CV83" s="38"/>
      <c r="CW83" s="38"/>
      <c r="CX83" s="38"/>
      <c r="CY83" s="38"/>
      <c r="CZ83" s="38"/>
      <c r="DA83" s="38"/>
      <c r="DB83" s="38"/>
      <c r="DC83" s="38"/>
      <c r="DD83" s="38"/>
      <c r="DE83" s="38"/>
      <c r="DF83" s="38"/>
      <c r="DG83" s="38"/>
      <c r="DH83" s="38"/>
      <c r="DI83" s="38"/>
      <c r="DJ83" s="38"/>
      <c r="DK83" s="38"/>
      <c r="DL83" s="38"/>
      <c r="DM83" s="38"/>
      <c r="DN83" s="38"/>
      <c r="DO83" s="38"/>
      <c r="DP83" s="38"/>
      <c r="DQ83" s="38"/>
      <c r="DR83" s="38"/>
      <c r="DS83" s="38"/>
      <c r="DT83" s="38"/>
    </row>
    <row r="84" spans="1:179" s="5" customFormat="1" ht="28.15" customHeight="1" x14ac:dyDescent="0.3">
      <c r="B84" s="517" t="s">
        <v>543</v>
      </c>
      <c r="C84" s="525">
        <v>441230</v>
      </c>
      <c r="D84" s="532"/>
      <c r="E84" s="399" t="s">
        <v>44</v>
      </c>
      <c r="F84" s="414" t="s">
        <v>191</v>
      </c>
      <c r="G84" s="415" t="s">
        <v>210</v>
      </c>
      <c r="H84" s="417">
        <v>1993</v>
      </c>
      <c r="I84" s="425" t="s">
        <v>566</v>
      </c>
      <c r="J84" s="379" t="s">
        <v>41</v>
      </c>
      <c r="K84" s="581">
        <v>58.6</v>
      </c>
      <c r="L84" s="456">
        <v>43</v>
      </c>
      <c r="M84" s="457">
        <v>46</v>
      </c>
      <c r="N84" s="457">
        <v>50</v>
      </c>
      <c r="O84" s="490">
        <f t="shared" si="36"/>
        <v>50</v>
      </c>
      <c r="P84" s="456">
        <v>58</v>
      </c>
      <c r="Q84" s="457">
        <v>63</v>
      </c>
      <c r="R84" s="596">
        <v>-66</v>
      </c>
      <c r="S84" s="490">
        <f t="shared" si="37"/>
        <v>63</v>
      </c>
      <c r="T84" s="489">
        <f t="shared" si="38"/>
        <v>113</v>
      </c>
      <c r="U84" s="48" t="str">
        <f t="shared" si="39"/>
        <v>IRG + 6</v>
      </c>
      <c r="V84" s="48" t="str">
        <f>IF(E84=0," ",IF(E84="H",IF(H84&lt;1999,VLOOKUP(K84,Minimas!$A$15:$F$29,6),IF(AND(H84&gt;1998,H84&lt;2002),VLOOKUP(K84,Minimas!$A$15:$F$29,5),IF(AND(H84&gt;2001,H84&lt;2004),VLOOKUP(K84,Minimas!$A$15:$F$29,4),IF(AND(H84&gt;2003,H84&lt;2006),VLOOKUP(K84,Minimas!$A$15:$F$29,3),VLOOKUP(K84,Minimas!$A$15:$F$29,2))))),IF(H84&lt;1999,VLOOKUP(K84,Minimas!$G$15:$L$29,6),IF(AND(H84&gt;1998,H84&lt;2002),VLOOKUP(K84,Minimas!$G$15:$L$29,5),IF(AND(H84&gt;2001,H84&lt;2004),VLOOKUP(K84,Minimas!$G$15:$L$29,4),IF(AND(H84&gt;2003,H84&lt;2006),VLOOKUP(K84,Minimas!$G$15:$L$29,3),VLOOKUP(K84,Minimas!$G$15:$L$29,2)))))))</f>
        <v>SE F59</v>
      </c>
      <c r="W84" s="49">
        <f t="shared" si="40"/>
        <v>155.02428504638962</v>
      </c>
      <c r="X84" s="257">
        <v>43484</v>
      </c>
      <c r="Y84" s="261" t="s">
        <v>580</v>
      </c>
      <c r="Z84" s="261" t="s">
        <v>581</v>
      </c>
      <c r="AA84" s="232"/>
      <c r="AB84" s="230">
        <f>T84-HLOOKUP(V84,Minimas!$C$3:$CD$12,2,FALSE)</f>
        <v>48</v>
      </c>
      <c r="AC84" s="230">
        <f>T84-HLOOKUP(V84,Minimas!$C$3:$CD$12,3,FALSE)</f>
        <v>33</v>
      </c>
      <c r="AD84" s="230">
        <f>T84-HLOOKUP(V84,Minimas!$C$3:$CD$12,4,FALSE)</f>
        <v>21</v>
      </c>
      <c r="AE84" s="230">
        <f>T84-HLOOKUP(V84,Minimas!$C$3:$CD$12,5,FALSE)</f>
        <v>6</v>
      </c>
      <c r="AF84" s="230">
        <f>T84-HLOOKUP(V84,Minimas!$C$3:$CD$12,6,FALSE)</f>
        <v>-17</v>
      </c>
      <c r="AG84" s="230">
        <f>T84-HLOOKUP(V84,Minimas!$C$3:$CD$12,7,FALSE)</f>
        <v>-32</v>
      </c>
      <c r="AH84" s="230">
        <f>T84-HLOOKUP(V84,Minimas!$C$3:$CD$12,8,FALSE)</f>
        <v>-52</v>
      </c>
      <c r="AI84" s="230">
        <f>T84-HLOOKUP(V84,Minimas!$C$3:$CD$12,9,FALSE)</f>
        <v>-72</v>
      </c>
      <c r="AJ84" s="230">
        <f>T84-HLOOKUP(V84,Minimas!$C$3:$CD$12,10,FALSE)</f>
        <v>-87</v>
      </c>
      <c r="AK84" s="231" t="str">
        <f t="shared" si="35"/>
        <v>IRG +</v>
      </c>
      <c r="AL84" s="232"/>
      <c r="AM84" s="232" t="str">
        <f t="shared" si="41"/>
        <v>IRG +</v>
      </c>
      <c r="AN84" s="232">
        <f t="shared" si="42"/>
        <v>6</v>
      </c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  <c r="BH84" s="38"/>
      <c r="BI84" s="38"/>
      <c r="BJ84" s="38"/>
      <c r="BK84" s="38"/>
      <c r="BL84" s="38"/>
      <c r="BM84" s="38"/>
      <c r="BN84" s="38"/>
      <c r="BO84" s="38"/>
      <c r="BP84" s="38"/>
      <c r="BQ84" s="38"/>
      <c r="BR84" s="38"/>
      <c r="BS84" s="38"/>
      <c r="BT84" s="38"/>
      <c r="BU84" s="38"/>
      <c r="BV84" s="38"/>
      <c r="BW84" s="38"/>
      <c r="BX84" s="38"/>
      <c r="BY84" s="38"/>
      <c r="BZ84" s="38"/>
      <c r="CA84" s="38"/>
      <c r="CB84" s="38"/>
      <c r="CC84" s="38"/>
      <c r="CD84" s="38"/>
      <c r="CE84" s="38"/>
      <c r="CF84" s="38"/>
      <c r="CG84" s="38"/>
      <c r="CH84" s="38"/>
      <c r="CI84" s="38"/>
      <c r="CJ84" s="38"/>
      <c r="CK84" s="38"/>
      <c r="CL84" s="38"/>
      <c r="CM84" s="38"/>
      <c r="CN84" s="38"/>
      <c r="CO84" s="38"/>
      <c r="CP84" s="38"/>
      <c r="CQ84" s="38"/>
      <c r="CR84" s="38"/>
      <c r="CS84" s="38"/>
      <c r="CT84" s="38"/>
      <c r="CU84" s="38"/>
      <c r="CV84" s="38"/>
      <c r="CW84" s="38"/>
      <c r="CX84" s="38"/>
      <c r="CY84" s="38"/>
      <c r="CZ84" s="38"/>
      <c r="DA84" s="38"/>
      <c r="DB84" s="38"/>
      <c r="DC84" s="38"/>
      <c r="DD84" s="38"/>
      <c r="DE84" s="38"/>
      <c r="DF84" s="38"/>
      <c r="DG84" s="38"/>
      <c r="DH84" s="38"/>
      <c r="DI84" s="38"/>
      <c r="DJ84" s="38"/>
      <c r="DK84" s="38"/>
      <c r="DL84" s="38"/>
      <c r="DM84" s="38"/>
      <c r="DN84" s="38"/>
      <c r="DO84" s="38"/>
      <c r="DP84" s="38"/>
      <c r="DQ84" s="38"/>
      <c r="DR84" s="38"/>
      <c r="DS84" s="38"/>
      <c r="DT84" s="38"/>
    </row>
    <row r="85" spans="1:179" s="5" customFormat="1" ht="28.15" customHeight="1" x14ac:dyDescent="0.25">
      <c r="B85" s="433" t="s">
        <v>543</v>
      </c>
      <c r="C85" s="429">
        <v>447614</v>
      </c>
      <c r="D85" s="430"/>
      <c r="E85" s="315" t="s">
        <v>44</v>
      </c>
      <c r="F85" s="319" t="s">
        <v>567</v>
      </c>
      <c r="G85" s="320" t="s">
        <v>568</v>
      </c>
      <c r="H85" s="305">
        <v>1985</v>
      </c>
      <c r="I85" s="321" t="s">
        <v>563</v>
      </c>
      <c r="J85" s="493" t="s">
        <v>44</v>
      </c>
      <c r="K85" s="500">
        <v>58.5</v>
      </c>
      <c r="L85" s="300">
        <v>50</v>
      </c>
      <c r="M85" s="335">
        <v>-52</v>
      </c>
      <c r="N85" s="301">
        <v>52</v>
      </c>
      <c r="O85" s="358">
        <f t="shared" si="36"/>
        <v>52</v>
      </c>
      <c r="P85" s="354">
        <v>-60</v>
      </c>
      <c r="Q85" s="301">
        <v>60</v>
      </c>
      <c r="R85" s="335">
        <v>-62</v>
      </c>
      <c r="S85" s="358">
        <f t="shared" si="37"/>
        <v>60</v>
      </c>
      <c r="T85" s="359">
        <f t="shared" si="38"/>
        <v>112</v>
      </c>
      <c r="U85" s="360" t="str">
        <f t="shared" si="39"/>
        <v>IRG + 5</v>
      </c>
      <c r="V85" s="360" t="str">
        <f>IF(E85=0," ",IF(E85="H",IF(H85&lt;1999,VLOOKUP(K85,[14]Minimas!$A$15:$F$29,6),IF(AND(H85&gt;1998,H85&lt;2002),VLOOKUP(K85,[14]Minimas!$A$15:$F$29,5),IF(AND(H85&gt;2001,H85&lt;2004),VLOOKUP(K85,[14]Minimas!$A$15:$F$29,4),IF(AND(H85&gt;2003,H85&lt;2006),VLOOKUP(K85,[14]Minimas!$A$15:$F$29,3),VLOOKUP(K85,[14]Minimas!$A$15:$F$29,2))))),IF(H85&lt;1999,VLOOKUP(K85,[14]Minimas!$G$15:$L$29,6),IF(AND(H85&gt;1998,H85&lt;2002),VLOOKUP(K85,[14]Minimas!$G$15:$L$29,5),IF(AND(H85&gt;2001,H85&lt;2004),VLOOKUP(K85,[14]Minimas!$G$15:$L$29,4),IF(AND(H85&gt;2003,H85&lt;2006),VLOOKUP(K85,[14]Minimas!$G$15:$L$29,3),VLOOKUP(K85,[14]Minimas!$G$15:$L$29,2)))))))</f>
        <v>SE F59</v>
      </c>
      <c r="W85" s="361">
        <f t="shared" si="40"/>
        <v>153.8247970968113</v>
      </c>
      <c r="X85" s="257">
        <v>43562</v>
      </c>
      <c r="Y85" s="261" t="s">
        <v>846</v>
      </c>
      <c r="Z85" s="261" t="s">
        <v>806</v>
      </c>
      <c r="AA85" s="232"/>
      <c r="AB85" s="230">
        <f>T85-HLOOKUP(V85,[14]Minimas!$C$3:$CD$12,2,FALSE)</f>
        <v>47</v>
      </c>
      <c r="AC85" s="230">
        <f>T85-HLOOKUP(V85,[14]Minimas!$C$3:$CD$12,3,FALSE)</f>
        <v>32</v>
      </c>
      <c r="AD85" s="230">
        <f>T85-HLOOKUP(V85,[14]Minimas!$C$3:$CD$12,4,FALSE)</f>
        <v>20</v>
      </c>
      <c r="AE85" s="230">
        <f>T85-HLOOKUP(V85,[14]Minimas!$C$3:$CD$12,5,FALSE)</f>
        <v>5</v>
      </c>
      <c r="AF85" s="230">
        <f>T85-HLOOKUP(V85,[14]Minimas!$C$3:$CD$12,6,FALSE)</f>
        <v>-18</v>
      </c>
      <c r="AG85" s="230">
        <f>T85-HLOOKUP(V85,[14]Minimas!$C$3:$CD$12,7,FALSE)</f>
        <v>-33</v>
      </c>
      <c r="AH85" s="230">
        <f>T85-HLOOKUP(V85,[14]Minimas!$C$3:$CD$12,8,FALSE)</f>
        <v>-53</v>
      </c>
      <c r="AI85" s="230">
        <f>T85-HLOOKUP(V85,[14]Minimas!$C$3:$CD$12,9,FALSE)</f>
        <v>-73</v>
      </c>
      <c r="AJ85" s="230">
        <f>T85-HLOOKUP(V85,[14]Minimas!$C$3:$CD$12,10,FALSE)</f>
        <v>-88</v>
      </c>
      <c r="AK85" s="231" t="str">
        <f t="shared" si="35"/>
        <v>IRG +</v>
      </c>
      <c r="AL85" s="232"/>
      <c r="AM85" s="232" t="str">
        <f t="shared" si="41"/>
        <v>IRG +</v>
      </c>
      <c r="AN85" s="232">
        <f t="shared" si="42"/>
        <v>5</v>
      </c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8"/>
      <c r="BG85" s="38"/>
      <c r="BH85" s="38"/>
      <c r="BI85" s="38"/>
      <c r="BJ85" s="38"/>
      <c r="BK85" s="38"/>
      <c r="BL85" s="38"/>
      <c r="BM85" s="38"/>
      <c r="BN85" s="38"/>
      <c r="BO85" s="38"/>
      <c r="BP85" s="38"/>
      <c r="BQ85" s="38"/>
      <c r="BR85" s="38"/>
      <c r="BS85" s="38"/>
      <c r="BT85" s="38"/>
      <c r="BU85" s="38"/>
      <c r="BV85" s="38"/>
      <c r="BW85" s="38"/>
      <c r="BX85" s="38"/>
      <c r="BY85" s="38"/>
      <c r="BZ85" s="38"/>
      <c r="CA85" s="38"/>
      <c r="CB85" s="38"/>
      <c r="CC85" s="38"/>
      <c r="CD85" s="38"/>
      <c r="CE85" s="38"/>
      <c r="CF85" s="38"/>
      <c r="CG85" s="38"/>
      <c r="CH85" s="38"/>
      <c r="CI85" s="38"/>
      <c r="CJ85" s="38"/>
      <c r="CK85" s="38"/>
      <c r="CL85" s="38"/>
      <c r="CM85" s="38"/>
      <c r="CN85" s="38"/>
      <c r="CO85" s="38"/>
      <c r="CP85" s="38"/>
      <c r="CQ85" s="38"/>
      <c r="CR85" s="38"/>
      <c r="CS85" s="38"/>
      <c r="CT85" s="38"/>
      <c r="CU85" s="38"/>
      <c r="CV85" s="38"/>
      <c r="CW85" s="38"/>
      <c r="CX85" s="38"/>
      <c r="CY85" s="38"/>
      <c r="CZ85" s="38"/>
      <c r="DA85" s="38"/>
      <c r="DB85" s="38"/>
      <c r="DC85" s="38"/>
      <c r="DD85" s="38"/>
      <c r="DE85" s="38"/>
      <c r="DF85" s="38"/>
      <c r="DG85" s="38"/>
      <c r="DH85" s="38"/>
      <c r="DI85" s="38"/>
      <c r="DJ85" s="38"/>
      <c r="DK85" s="38"/>
      <c r="DL85" s="38"/>
      <c r="DM85" s="38"/>
      <c r="DN85" s="38"/>
      <c r="DO85" s="38"/>
      <c r="DP85" s="38"/>
      <c r="DQ85" s="38"/>
      <c r="DR85" s="38"/>
      <c r="DS85" s="38"/>
      <c r="DT85" s="38"/>
    </row>
    <row r="86" spans="1:179" s="5" customFormat="1" ht="28.15" customHeight="1" x14ac:dyDescent="0.3">
      <c r="B86" s="517" t="s">
        <v>543</v>
      </c>
      <c r="C86" s="525">
        <v>443525</v>
      </c>
      <c r="D86" s="533"/>
      <c r="E86" s="399" t="s">
        <v>44</v>
      </c>
      <c r="F86" s="545" t="s">
        <v>181</v>
      </c>
      <c r="G86" s="552" t="s">
        <v>182</v>
      </c>
      <c r="H86" s="557">
        <v>1984</v>
      </c>
      <c r="I86" s="567" t="s">
        <v>170</v>
      </c>
      <c r="J86" s="379" t="s">
        <v>44</v>
      </c>
      <c r="K86" s="580">
        <v>57.9</v>
      </c>
      <c r="L86" s="590">
        <v>-45</v>
      </c>
      <c r="M86" s="457">
        <v>45</v>
      </c>
      <c r="N86" s="457">
        <v>47</v>
      </c>
      <c r="O86" s="490">
        <f t="shared" si="36"/>
        <v>47</v>
      </c>
      <c r="P86" s="456">
        <v>57</v>
      </c>
      <c r="Q86" s="457">
        <v>60</v>
      </c>
      <c r="R86" s="457">
        <v>63</v>
      </c>
      <c r="S86" s="490">
        <f t="shared" si="37"/>
        <v>63</v>
      </c>
      <c r="T86" s="489">
        <f t="shared" si="38"/>
        <v>110</v>
      </c>
      <c r="U86" s="48" t="str">
        <f t="shared" si="39"/>
        <v>IRG + 3</v>
      </c>
      <c r="V86" s="48" t="str">
        <f>IF(E86=0," ",IF(E86="H",IF(H86&lt;1999,VLOOKUP(K86,Minimas!$A$15:$F$29,6),IF(AND(H86&gt;1998,H86&lt;2002),VLOOKUP(K86,Minimas!$A$15:$F$29,5),IF(AND(H86&gt;2001,H86&lt;2004),VLOOKUP(K86,Minimas!$A$15:$F$29,4),IF(AND(H86&gt;2003,H86&lt;2006),VLOOKUP(K86,Minimas!$A$15:$F$29,3),VLOOKUP(K86,Minimas!$A$15:$F$29,2))))),IF(H86&lt;1999,VLOOKUP(K86,Minimas!$G$15:$L$29,6),IF(AND(H86&gt;1998,H86&lt;2002),VLOOKUP(K86,Minimas!$G$15:$L$29,5),IF(AND(H86&gt;2001,H86&lt;2004),VLOOKUP(K86,Minimas!$G$15:$L$29,4),IF(AND(H86&gt;2003,H86&lt;2006),VLOOKUP(K86,Minimas!$G$15:$L$29,3),VLOOKUP(K86,Minimas!$G$15:$L$29,2)))))))</f>
        <v>SE F59</v>
      </c>
      <c r="W86" s="49">
        <f t="shared" si="40"/>
        <v>152.11047690817185</v>
      </c>
      <c r="X86" s="184">
        <v>43401</v>
      </c>
      <c r="Y86" s="278" t="s">
        <v>507</v>
      </c>
      <c r="Z86" s="278"/>
      <c r="AA86" s="232"/>
      <c r="AB86" s="230">
        <f>T86-HLOOKUP(V86,Minimas!$C$3:$CD$12,2,FALSE)</f>
        <v>45</v>
      </c>
      <c r="AC86" s="230">
        <f>T86-HLOOKUP(V86,Minimas!$C$3:$CD$12,3,FALSE)</f>
        <v>30</v>
      </c>
      <c r="AD86" s="230">
        <f>T86-HLOOKUP(V86,Minimas!$C$3:$CD$12,4,FALSE)</f>
        <v>18</v>
      </c>
      <c r="AE86" s="230">
        <f>T86-HLOOKUP(V86,Minimas!$C$3:$CD$12,5,FALSE)</f>
        <v>3</v>
      </c>
      <c r="AF86" s="230">
        <f>T86-HLOOKUP(V86,Minimas!$C$3:$CD$12,6,FALSE)</f>
        <v>-20</v>
      </c>
      <c r="AG86" s="230">
        <f>T86-HLOOKUP(V86,Minimas!$C$3:$CD$12,7,FALSE)</f>
        <v>-35</v>
      </c>
      <c r="AH86" s="230">
        <f>T86-HLOOKUP(V86,Minimas!$C$3:$CD$12,8,FALSE)</f>
        <v>-55</v>
      </c>
      <c r="AI86" s="230">
        <f>T86-HLOOKUP(V86,Minimas!$C$3:$CD$12,9,FALSE)</f>
        <v>-75</v>
      </c>
      <c r="AJ86" s="230">
        <f>T86-HLOOKUP(V86,Minimas!$C$3:$CD$12,10,FALSE)</f>
        <v>-90</v>
      </c>
      <c r="AK86" s="231" t="str">
        <f t="shared" si="35"/>
        <v>IRG +</v>
      </c>
      <c r="AL86" s="232"/>
      <c r="AM86" s="232" t="str">
        <f t="shared" si="41"/>
        <v>IRG +</v>
      </c>
      <c r="AN86" s="232">
        <f t="shared" si="42"/>
        <v>3</v>
      </c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  <c r="BH86" s="38"/>
      <c r="BI86" s="38"/>
      <c r="BJ86" s="38"/>
      <c r="BK86" s="38"/>
      <c r="BL86" s="38"/>
      <c r="BM86" s="38"/>
      <c r="BN86" s="38"/>
      <c r="BO86" s="38"/>
      <c r="BP86" s="38"/>
      <c r="BQ86" s="38"/>
      <c r="BR86" s="38"/>
      <c r="BS86" s="38"/>
      <c r="BT86" s="38"/>
      <c r="BU86" s="38"/>
      <c r="BV86" s="38"/>
      <c r="BW86" s="38"/>
      <c r="BX86" s="38"/>
      <c r="BY86" s="38"/>
      <c r="BZ86" s="38"/>
      <c r="CA86" s="38"/>
      <c r="CB86" s="38"/>
      <c r="CC86" s="38"/>
      <c r="CD86" s="38"/>
      <c r="CE86" s="38"/>
      <c r="CF86" s="38"/>
      <c r="CG86" s="38"/>
      <c r="CH86" s="38"/>
      <c r="CI86" s="38"/>
      <c r="CJ86" s="38"/>
      <c r="CK86" s="38"/>
      <c r="CL86" s="38"/>
      <c r="CM86" s="38"/>
      <c r="CN86" s="38"/>
      <c r="CO86" s="38"/>
      <c r="CP86" s="38"/>
      <c r="CQ86" s="38"/>
      <c r="CR86" s="38"/>
      <c r="CS86" s="38"/>
      <c r="CT86" s="38"/>
      <c r="CU86" s="38"/>
      <c r="CV86" s="38"/>
      <c r="CW86" s="38"/>
      <c r="CX86" s="38"/>
      <c r="CY86" s="38"/>
      <c r="CZ86" s="38"/>
      <c r="DA86" s="38"/>
      <c r="DB86" s="38"/>
      <c r="DC86" s="38"/>
      <c r="DD86" s="38"/>
      <c r="DE86" s="38"/>
      <c r="DF86" s="38"/>
      <c r="DG86" s="38"/>
      <c r="DH86" s="38"/>
      <c r="DI86" s="38"/>
      <c r="DJ86" s="38"/>
      <c r="DK86" s="38"/>
      <c r="DL86" s="38"/>
      <c r="DM86" s="38"/>
      <c r="DN86" s="38"/>
      <c r="DO86" s="38"/>
      <c r="DP86" s="38"/>
      <c r="DQ86" s="38"/>
      <c r="DR86" s="38"/>
      <c r="DS86" s="38"/>
      <c r="DT86" s="38"/>
    </row>
    <row r="87" spans="1:179" ht="23" customHeight="1" x14ac:dyDescent="0.25">
      <c r="A87" s="484"/>
      <c r="B87" s="495" t="s">
        <v>543</v>
      </c>
      <c r="C87" s="499">
        <v>445541</v>
      </c>
      <c r="D87" s="496"/>
      <c r="E87" s="323" t="s">
        <v>44</v>
      </c>
      <c r="F87" s="328" t="s">
        <v>810</v>
      </c>
      <c r="G87" s="487" t="s">
        <v>706</v>
      </c>
      <c r="H87" s="329">
        <v>1996</v>
      </c>
      <c r="I87" s="330" t="s">
        <v>184</v>
      </c>
      <c r="J87" s="498" t="s">
        <v>44</v>
      </c>
      <c r="K87" s="488">
        <v>58.15</v>
      </c>
      <c r="L87" s="448">
        <v>-42</v>
      </c>
      <c r="M87" s="301">
        <v>42</v>
      </c>
      <c r="N87" s="301">
        <v>45</v>
      </c>
      <c r="O87" s="490">
        <f t="shared" si="36"/>
        <v>45</v>
      </c>
      <c r="P87" s="300">
        <v>55</v>
      </c>
      <c r="Q87" s="301">
        <v>57</v>
      </c>
      <c r="R87" s="301">
        <v>60</v>
      </c>
      <c r="S87" s="490">
        <f t="shared" si="37"/>
        <v>60</v>
      </c>
      <c r="T87" s="502">
        <f t="shared" si="38"/>
        <v>105</v>
      </c>
      <c r="U87" s="48" t="str">
        <f t="shared" si="39"/>
        <v>REG + 13</v>
      </c>
      <c r="V87" s="48" t="str">
        <f>IF(E87=0," ",IF(E87="H",IF(H87&lt;1999,VLOOKUP(K87,[5]Minimas!$A$15:$F$29,6),IF(AND(H87&gt;1998,H87&lt;2002),VLOOKUP(K87,[5]Minimas!$A$15:$F$29,5),IF(AND(H87&gt;2001,H87&lt;2004),VLOOKUP(K87,[5]Minimas!$A$15:$F$29,4),IF(AND(H87&gt;2003,H87&lt;2006),VLOOKUP(K87,[5]Minimas!$A$15:$F$29,3),VLOOKUP(K87,[5]Minimas!$A$15:$F$29,2))))),IF(H87&lt;1999,VLOOKUP(K87,[5]Minimas!$G$15:$L$29,6),IF(AND(H87&gt;1998,H87&lt;2002),VLOOKUP(K87,[5]Minimas!$G$15:$L$29,5),IF(AND(H87&gt;2001,H87&lt;2004),VLOOKUP(K87,[5]Minimas!$G$15:$L$29,4),IF(AND(H87&gt;2003,H87&lt;2006),VLOOKUP(K87,[5]Minimas!$G$15:$L$29,3),VLOOKUP(K87,[5]Minimas!$G$15:$L$29,2)))))))</f>
        <v>SE F59</v>
      </c>
      <c r="W87" s="49">
        <f t="shared" si="40"/>
        <v>144.78236455470736</v>
      </c>
      <c r="X87" s="257">
        <v>43555</v>
      </c>
      <c r="Y87" s="261" t="s">
        <v>805</v>
      </c>
      <c r="Z87" s="261" t="s">
        <v>806</v>
      </c>
      <c r="AA87" s="232"/>
      <c r="AB87" s="230">
        <f>T87-HLOOKUP(V87,[5]Minimas!$C$3:$CD$12,2,FALSE)</f>
        <v>40</v>
      </c>
      <c r="AC87" s="230">
        <f>T87-HLOOKUP(V87,[5]Minimas!$C$3:$CD$12,3,FALSE)</f>
        <v>25</v>
      </c>
      <c r="AD87" s="230">
        <f>T87-HLOOKUP(V87,[5]Minimas!$C$3:$CD$12,4,FALSE)</f>
        <v>13</v>
      </c>
      <c r="AE87" s="230">
        <f>T87-HLOOKUP(V87,[5]Minimas!$C$3:$CD$12,5,FALSE)</f>
        <v>-2</v>
      </c>
      <c r="AF87" s="230">
        <f>T87-HLOOKUP(V87,[5]Minimas!$C$3:$CD$12,6,FALSE)</f>
        <v>-25</v>
      </c>
      <c r="AG87" s="230">
        <f>T87-HLOOKUP(V87,[5]Minimas!$C$3:$CD$12,7,FALSE)</f>
        <v>-40</v>
      </c>
      <c r="AH87" s="230">
        <f>T87-HLOOKUP(V87,[5]Minimas!$C$3:$CD$12,8,FALSE)</f>
        <v>-60</v>
      </c>
      <c r="AI87" s="230">
        <f>T87-HLOOKUP(V87,[5]Minimas!$C$3:$CD$12,9,FALSE)</f>
        <v>-80</v>
      </c>
      <c r="AJ87" s="230">
        <f>T87-HLOOKUP(V87,[5]Minimas!$C$3:$CD$12,10,FALSE)</f>
        <v>-95</v>
      </c>
      <c r="AK87" s="231" t="str">
        <f t="shared" si="35"/>
        <v>REG +</v>
      </c>
      <c r="AL87" s="232"/>
      <c r="AM87" s="232" t="str">
        <f t="shared" si="41"/>
        <v>REG +</v>
      </c>
      <c r="AN87" s="232">
        <f t="shared" si="42"/>
        <v>13</v>
      </c>
      <c r="AO87" s="485"/>
      <c r="AP87" s="485"/>
      <c r="AQ87" s="485"/>
      <c r="AR87" s="485"/>
      <c r="AS87" s="485"/>
      <c r="AT87" s="485"/>
      <c r="AU87" s="485"/>
      <c r="AV87" s="485"/>
      <c r="AW87" s="485"/>
      <c r="AX87" s="485"/>
      <c r="AY87" s="485"/>
      <c r="AZ87" s="485"/>
      <c r="BA87" s="485"/>
      <c r="BB87" s="485"/>
      <c r="BC87" s="485"/>
      <c r="BD87" s="485"/>
      <c r="BE87" s="485"/>
      <c r="BF87" s="485"/>
      <c r="BG87" s="485"/>
      <c r="BH87" s="485"/>
      <c r="BI87" s="485"/>
      <c r="BJ87" s="485"/>
      <c r="BK87" s="485"/>
      <c r="BL87" s="485"/>
      <c r="BM87" s="485"/>
      <c r="BN87" s="485"/>
      <c r="BO87" s="485"/>
      <c r="BP87" s="485"/>
      <c r="BQ87" s="485"/>
      <c r="BR87" s="485"/>
      <c r="BS87" s="485"/>
      <c r="BT87" s="485"/>
      <c r="BU87" s="485"/>
      <c r="BV87" s="485"/>
      <c r="BW87" s="485"/>
      <c r="BX87" s="485"/>
      <c r="BY87" s="485"/>
      <c r="BZ87" s="485"/>
      <c r="CA87" s="485"/>
      <c r="CB87" s="485"/>
      <c r="CC87" s="485"/>
      <c r="CD87" s="485"/>
      <c r="CE87" s="485"/>
      <c r="CF87" s="485"/>
      <c r="CG87" s="485"/>
      <c r="CH87" s="485"/>
      <c r="CI87" s="485"/>
      <c r="CJ87" s="485"/>
      <c r="CK87" s="485"/>
      <c r="CL87" s="485"/>
      <c r="CM87" s="485"/>
      <c r="CN87" s="485"/>
      <c r="CO87" s="485"/>
      <c r="CP87" s="485"/>
      <c r="CQ87" s="485"/>
      <c r="CR87" s="485"/>
      <c r="CS87" s="485"/>
      <c r="CT87" s="485"/>
      <c r="CU87" s="485"/>
      <c r="CV87" s="485"/>
      <c r="CW87" s="485"/>
      <c r="CX87" s="485"/>
      <c r="CY87" s="485"/>
      <c r="CZ87" s="485"/>
      <c r="DA87" s="485"/>
      <c r="DB87" s="485"/>
      <c r="DC87" s="485"/>
      <c r="DD87" s="485"/>
      <c r="DE87" s="485"/>
      <c r="DF87" s="485"/>
      <c r="DG87" s="485"/>
      <c r="DH87" s="485"/>
      <c r="DI87" s="485"/>
      <c r="DJ87" s="485"/>
      <c r="DK87" s="485"/>
      <c r="DL87" s="485"/>
      <c r="DM87" s="485"/>
      <c r="DN87" s="485"/>
      <c r="DO87" s="485"/>
      <c r="DP87" s="485"/>
      <c r="DQ87" s="485"/>
      <c r="DR87" s="485"/>
      <c r="DS87" s="485"/>
      <c r="DT87" s="485"/>
      <c r="DU87" s="484"/>
      <c r="DV87" s="484"/>
      <c r="DW87" s="484"/>
      <c r="DX87" s="484"/>
      <c r="DY87" s="484"/>
      <c r="DZ87" s="484"/>
      <c r="EA87" s="484"/>
      <c r="EB87" s="484"/>
      <c r="EC87" s="484"/>
      <c r="ED87" s="484"/>
      <c r="EE87" s="484"/>
      <c r="EF87" s="484"/>
      <c r="EG87" s="484"/>
      <c r="EH87" s="484"/>
      <c r="EI87" s="484"/>
      <c r="EJ87" s="484"/>
      <c r="EK87" s="484"/>
      <c r="EL87" s="484"/>
      <c r="EM87" s="484"/>
      <c r="EN87" s="484"/>
      <c r="EO87" s="484"/>
      <c r="EP87" s="484"/>
      <c r="EQ87" s="484"/>
      <c r="ER87" s="484"/>
      <c r="ES87" s="484"/>
      <c r="ET87" s="484"/>
      <c r="EU87" s="484"/>
      <c r="EV87" s="484"/>
      <c r="EW87" s="484"/>
      <c r="EX87" s="484"/>
      <c r="EY87" s="484"/>
      <c r="EZ87" s="484"/>
      <c r="FA87" s="484"/>
      <c r="FB87" s="484"/>
      <c r="FC87" s="484"/>
      <c r="FD87" s="484"/>
      <c r="FE87" s="484"/>
      <c r="FF87" s="484"/>
      <c r="FG87" s="484"/>
      <c r="FH87" s="484"/>
      <c r="FI87" s="484"/>
      <c r="FJ87" s="484"/>
      <c r="FK87" s="484"/>
      <c r="FL87" s="484"/>
      <c r="FM87" s="484"/>
      <c r="FN87" s="484"/>
      <c r="FO87" s="484"/>
      <c r="FP87" s="484"/>
      <c r="FQ87" s="484"/>
      <c r="FR87" s="484"/>
      <c r="FS87" s="484"/>
      <c r="FT87" s="484"/>
      <c r="FU87" s="484"/>
      <c r="FV87" s="484"/>
      <c r="FW87" s="484"/>
    </row>
    <row r="88" spans="1:179" ht="23" customHeight="1" x14ac:dyDescent="0.25">
      <c r="A88" s="484"/>
      <c r="B88" s="355" t="s">
        <v>543</v>
      </c>
      <c r="C88" s="356">
        <v>443674</v>
      </c>
      <c r="D88" s="357"/>
      <c r="E88" s="323" t="s">
        <v>44</v>
      </c>
      <c r="F88" s="328" t="s">
        <v>211</v>
      </c>
      <c r="G88" s="487" t="s">
        <v>708</v>
      </c>
      <c r="H88" s="329">
        <v>1994</v>
      </c>
      <c r="I88" s="330" t="s">
        <v>709</v>
      </c>
      <c r="J88" s="498" t="s">
        <v>44</v>
      </c>
      <c r="K88" s="297">
        <v>58.93</v>
      </c>
      <c r="L88" s="300">
        <v>35</v>
      </c>
      <c r="M88" s="301">
        <v>38</v>
      </c>
      <c r="N88" s="301">
        <v>41</v>
      </c>
      <c r="O88" s="358">
        <f t="shared" si="36"/>
        <v>41</v>
      </c>
      <c r="P88" s="300">
        <v>55</v>
      </c>
      <c r="Q88" s="301">
        <v>60</v>
      </c>
      <c r="R88" s="301">
        <v>64</v>
      </c>
      <c r="S88" s="358">
        <f t="shared" si="37"/>
        <v>64</v>
      </c>
      <c r="T88" s="364">
        <f t="shared" si="38"/>
        <v>105</v>
      </c>
      <c r="U88" s="360" t="str">
        <f t="shared" si="39"/>
        <v>REG + 13</v>
      </c>
      <c r="V88" s="360" t="str">
        <f>IF(E88=0," ",IF(E88="H",IF(H88&lt;1999,VLOOKUP(K88,[15]Minimas!$A$15:$F$29,6),IF(AND(H88&gt;1998,H88&lt;2002),VLOOKUP(K88,[15]Minimas!$A$15:$F$29,5),IF(AND(H88&gt;2001,H88&lt;2004),VLOOKUP(K88,[15]Minimas!$A$15:$F$29,4),IF(AND(H88&gt;2003,H88&lt;2006),VLOOKUP(K88,[15]Minimas!$A$15:$F$29,3),VLOOKUP(K88,[15]Minimas!$A$15:$F$29,2))))),IF(H88&lt;1999,VLOOKUP(K88,[15]Minimas!$G$15:$L$29,6),IF(AND(H88&gt;1998,H88&lt;2002),VLOOKUP(K88,[15]Minimas!$G$15:$L$29,5),IF(AND(H88&gt;2001,H88&lt;2004),VLOOKUP(K88,[15]Minimas!$G$15:$L$29,4),IF(AND(H88&gt;2003,H88&lt;2006),VLOOKUP(K88,[15]Minimas!$G$15:$L$29,3),VLOOKUP(K88,[15]Minimas!$G$15:$L$29,2)))))))</f>
        <v>SE F59</v>
      </c>
      <c r="W88" s="361">
        <f t="shared" si="40"/>
        <v>143.52096056426342</v>
      </c>
      <c r="X88" s="257">
        <v>43526</v>
      </c>
      <c r="Y88" s="261" t="s">
        <v>705</v>
      </c>
      <c r="Z88" s="261" t="s">
        <v>711</v>
      </c>
      <c r="AA88" s="232"/>
      <c r="AB88" s="230">
        <f>T88-HLOOKUP(V88,[15]Minimas!$C$3:$CD$12,2,FALSE)</f>
        <v>40</v>
      </c>
      <c r="AC88" s="230">
        <f>T88-HLOOKUP(V88,[15]Minimas!$C$3:$CD$12,3,FALSE)</f>
        <v>25</v>
      </c>
      <c r="AD88" s="230">
        <f>T88-HLOOKUP(V88,[15]Minimas!$C$3:$CD$12,4,FALSE)</f>
        <v>13</v>
      </c>
      <c r="AE88" s="230">
        <f>T88-HLOOKUP(V88,[15]Minimas!$C$3:$CD$12,5,FALSE)</f>
        <v>-2</v>
      </c>
      <c r="AF88" s="230">
        <f>T88-HLOOKUP(V88,[15]Minimas!$C$3:$CD$12,6,FALSE)</f>
        <v>-25</v>
      </c>
      <c r="AG88" s="230">
        <f>T88-HLOOKUP(V88,[15]Minimas!$C$3:$CD$12,7,FALSE)</f>
        <v>-40</v>
      </c>
      <c r="AH88" s="230">
        <f>T88-HLOOKUP(V88,[15]Minimas!$C$3:$CD$12,8,FALSE)</f>
        <v>-60</v>
      </c>
      <c r="AI88" s="230">
        <f>T88-HLOOKUP(V88,[15]Minimas!$C$3:$CD$12,9,FALSE)</f>
        <v>-80</v>
      </c>
      <c r="AJ88" s="230">
        <f>T88-HLOOKUP(V88,[15]Minimas!$C$3:$CD$12,10,FALSE)</f>
        <v>-95</v>
      </c>
      <c r="AK88" s="231" t="str">
        <f t="shared" si="35"/>
        <v>REG +</v>
      </c>
      <c r="AL88" s="232"/>
      <c r="AM88" s="232" t="str">
        <f t="shared" si="41"/>
        <v>REG +</v>
      </c>
      <c r="AN88" s="232">
        <f t="shared" si="42"/>
        <v>13</v>
      </c>
      <c r="AO88" s="485"/>
      <c r="AP88" s="485"/>
      <c r="AQ88" s="485"/>
      <c r="AR88" s="485"/>
      <c r="AS88" s="485"/>
      <c r="AT88" s="485"/>
      <c r="AU88" s="485"/>
      <c r="AV88" s="485"/>
      <c r="AW88" s="485"/>
      <c r="AX88" s="485"/>
      <c r="AY88" s="485"/>
      <c r="AZ88" s="485"/>
      <c r="BA88" s="485"/>
      <c r="BB88" s="485"/>
      <c r="BC88" s="485"/>
      <c r="BD88" s="485"/>
      <c r="BE88" s="485"/>
      <c r="BF88" s="485"/>
      <c r="BG88" s="485"/>
      <c r="BH88" s="485"/>
      <c r="BI88" s="485"/>
      <c r="BJ88" s="485"/>
      <c r="BK88" s="485"/>
      <c r="BL88" s="485"/>
      <c r="BM88" s="485"/>
      <c r="BN88" s="485"/>
      <c r="BO88" s="485"/>
      <c r="BP88" s="485"/>
      <c r="BQ88" s="485"/>
      <c r="BR88" s="485"/>
      <c r="BS88" s="485"/>
      <c r="BT88" s="485"/>
      <c r="BU88" s="485"/>
      <c r="BV88" s="485"/>
      <c r="BW88" s="485"/>
      <c r="BX88" s="485"/>
      <c r="BY88" s="485"/>
      <c r="BZ88" s="485"/>
      <c r="CA88" s="485"/>
      <c r="CB88" s="485"/>
      <c r="CC88" s="485"/>
      <c r="CD88" s="485"/>
      <c r="CE88" s="485"/>
      <c r="CF88" s="485"/>
      <c r="CG88" s="485"/>
      <c r="CH88" s="485"/>
      <c r="CI88" s="485"/>
      <c r="CJ88" s="485"/>
      <c r="CK88" s="485"/>
      <c r="CL88" s="485"/>
      <c r="CM88" s="485"/>
      <c r="CN88" s="485"/>
      <c r="CO88" s="485"/>
      <c r="CP88" s="485"/>
      <c r="CQ88" s="485"/>
      <c r="CR88" s="485"/>
      <c r="CS88" s="485"/>
      <c r="CT88" s="485"/>
      <c r="CU88" s="485"/>
      <c r="CV88" s="485"/>
      <c r="CW88" s="485"/>
      <c r="CX88" s="485"/>
      <c r="CY88" s="485"/>
      <c r="CZ88" s="485"/>
      <c r="DA88" s="485"/>
      <c r="DB88" s="485"/>
      <c r="DC88" s="485"/>
      <c r="DD88" s="485"/>
      <c r="DE88" s="485"/>
      <c r="DF88" s="485"/>
      <c r="DG88" s="485"/>
      <c r="DH88" s="485"/>
      <c r="DI88" s="485"/>
      <c r="DJ88" s="485"/>
      <c r="DK88" s="485"/>
      <c r="DL88" s="485"/>
      <c r="DM88" s="485"/>
      <c r="DN88" s="485"/>
      <c r="DO88" s="485"/>
      <c r="DP88" s="485"/>
      <c r="DQ88" s="485"/>
      <c r="DR88" s="485"/>
      <c r="DS88" s="485"/>
      <c r="DT88" s="485"/>
      <c r="DU88" s="484"/>
      <c r="DV88" s="484"/>
      <c r="DW88" s="484"/>
      <c r="DX88" s="484"/>
      <c r="DY88" s="484"/>
      <c r="DZ88" s="484"/>
      <c r="EA88" s="484"/>
      <c r="EB88" s="484"/>
      <c r="EC88" s="484"/>
      <c r="ED88" s="484"/>
      <c r="EE88" s="484"/>
      <c r="EF88" s="484"/>
      <c r="EG88" s="484"/>
      <c r="EH88" s="484"/>
      <c r="EI88" s="484"/>
      <c r="EJ88" s="484"/>
      <c r="EK88" s="484"/>
      <c r="EL88" s="484"/>
      <c r="EM88" s="484"/>
      <c r="EN88" s="484"/>
      <c r="EO88" s="484"/>
      <c r="EP88" s="484"/>
      <c r="EQ88" s="484"/>
      <c r="ER88" s="484"/>
      <c r="ES88" s="484"/>
      <c r="ET88" s="484"/>
      <c r="EU88" s="484"/>
      <c r="EV88" s="484"/>
      <c r="EW88" s="484"/>
      <c r="EX88" s="484"/>
      <c r="EY88" s="484"/>
      <c r="EZ88" s="484"/>
      <c r="FA88" s="484"/>
      <c r="FB88" s="484"/>
      <c r="FC88" s="484"/>
      <c r="FD88" s="484"/>
      <c r="FE88" s="484"/>
      <c r="FF88" s="484"/>
      <c r="FG88" s="484"/>
      <c r="FH88" s="484"/>
      <c r="FI88" s="484"/>
      <c r="FJ88" s="484"/>
      <c r="FK88" s="484"/>
      <c r="FL88" s="484"/>
      <c r="FM88" s="484"/>
      <c r="FN88" s="484"/>
      <c r="FO88" s="484"/>
      <c r="FP88" s="484"/>
      <c r="FQ88" s="484"/>
      <c r="FR88" s="484"/>
      <c r="FS88" s="484"/>
      <c r="FT88" s="484"/>
      <c r="FU88" s="484"/>
      <c r="FV88" s="484"/>
      <c r="FW88" s="484"/>
    </row>
    <row r="89" spans="1:179" ht="23" customHeight="1" x14ac:dyDescent="0.25">
      <c r="B89" s="515" t="s">
        <v>543</v>
      </c>
      <c r="C89" s="356">
        <v>450097</v>
      </c>
      <c r="D89" s="496"/>
      <c r="E89" s="323" t="s">
        <v>44</v>
      </c>
      <c r="F89" s="486" t="s">
        <v>790</v>
      </c>
      <c r="G89" s="487" t="s">
        <v>791</v>
      </c>
      <c r="H89" s="292">
        <v>1995</v>
      </c>
      <c r="I89" s="528" t="s">
        <v>214</v>
      </c>
      <c r="J89" s="290" t="s">
        <v>44</v>
      </c>
      <c r="K89" s="488">
        <v>58.9</v>
      </c>
      <c r="L89" s="300">
        <v>37</v>
      </c>
      <c r="M89" s="301">
        <v>42</v>
      </c>
      <c r="N89" s="301">
        <v>-44</v>
      </c>
      <c r="O89" s="358">
        <f t="shared" si="36"/>
        <v>42</v>
      </c>
      <c r="P89" s="300">
        <v>54</v>
      </c>
      <c r="Q89" s="301">
        <v>58</v>
      </c>
      <c r="R89" s="301">
        <v>62</v>
      </c>
      <c r="S89" s="358">
        <f t="shared" si="37"/>
        <v>62</v>
      </c>
      <c r="T89" s="364">
        <f>IF(E89="","",O89+S89)</f>
        <v>104</v>
      </c>
      <c r="U89" s="360" t="str">
        <f t="shared" si="39"/>
        <v>REG + 12</v>
      </c>
      <c r="V89" s="360" t="str">
        <f>IF(E89=0," ",IF(E89="H",IF(H89&lt;1999,VLOOKUP(K89,[2]Minimas!$A$15:$F$29,6),IF(AND(H89&gt;1998,H89&lt;2002),VLOOKUP(K89,[2]Minimas!$A$15:$F$29,5),IF(AND(H89&gt;2001,H89&lt;2004),VLOOKUP(K89,[2]Minimas!$A$15:$F$29,4),IF(AND(H89&gt;2003,H89&lt;2006),VLOOKUP(K89,[2]Minimas!$A$15:$F$29,3),VLOOKUP(K89,[2]Minimas!$A$15:$F$29,2))))),IF(H89&lt;1999,VLOOKUP(K89,[2]Minimas!$G$15:$L$29,6),IF(AND(H89&gt;1998,H89&lt;2002),VLOOKUP(K89,[2]Minimas!$G$15:$L$29,5),IF(AND(H89&gt;2001,H89&lt;2004),VLOOKUP(K89,[2]Minimas!$G$15:$L$29,4),IF(AND(H89&gt;2003,H89&lt;2006),VLOOKUP(K89,[2]Minimas!$G$15:$L$29,3),VLOOKUP(K89,[2]Minimas!$G$15:$L$29,2)))))))</f>
        <v>SE F59</v>
      </c>
      <c r="W89" s="361">
        <f t="shared" si="40"/>
        <v>142.20132478247118</v>
      </c>
      <c r="X89" s="257">
        <v>43540</v>
      </c>
      <c r="Y89" s="261" t="s">
        <v>714</v>
      </c>
      <c r="Z89" s="261" t="s">
        <v>511</v>
      </c>
      <c r="AA89" s="463"/>
      <c r="AB89" s="230">
        <f>T89-HLOOKUP(V89,Minimas!$C$3:$CD$12,2,FALSE)</f>
        <v>39</v>
      </c>
      <c r="AC89" s="230">
        <f>T89-HLOOKUP(V89,Minimas!$C$3:$CD$12,3,FALSE)</f>
        <v>24</v>
      </c>
      <c r="AD89" s="230">
        <f>T89-HLOOKUP(V89,Minimas!$C$3:$CD$12,4,FALSE)</f>
        <v>12</v>
      </c>
      <c r="AE89" s="230">
        <f>T89-HLOOKUP(V89,Minimas!$C$3:$CD$12,5,FALSE)</f>
        <v>-3</v>
      </c>
      <c r="AF89" s="230">
        <f>T89-HLOOKUP(V89,Minimas!$C$3:$CD$12,6,FALSE)</f>
        <v>-26</v>
      </c>
      <c r="AG89" s="230">
        <f>T89-HLOOKUP(V89,Minimas!$C$3:$CD$12,7,FALSE)</f>
        <v>-41</v>
      </c>
      <c r="AH89" s="230">
        <f>T89-HLOOKUP(V89,Minimas!$C$3:$CD$12,8,FALSE)</f>
        <v>-61</v>
      </c>
      <c r="AI89" s="230">
        <f>T89-HLOOKUP(V89,Minimas!$C$3:$CD$12,9,FALSE)</f>
        <v>-81</v>
      </c>
      <c r="AJ89" s="230">
        <f>T89-HLOOKUP(V89,Minimas!$C$3:$CD$12,10,FALSE)</f>
        <v>-96</v>
      </c>
      <c r="AK89" s="231" t="str">
        <f>IF(E89=0," ",IF(AJ89&gt;=0,MASCULINS!$AJ$5,IF(AI89&gt;=0,MASCULINS!$AI$5,IF(AH89&gt;=0,MASCULINS!$AH$5,IF(AG89&gt;=0,MASCULINS!$AG$5,IF(AF89&gt;=0,MASCULINS!$AF$5,IF(AE89&gt;=0,MASCULINS!$AE$5,IF(AD89&gt;=0,MASCULINS!$AD$5,IF(AC89&gt;=0,MASCULINS!$AC$5,MASCULINS!$AB$5)))))))))</f>
        <v>REG +</v>
      </c>
      <c r="AL89" s="232"/>
      <c r="AM89" s="232" t="str">
        <f t="shared" si="41"/>
        <v>REG +</v>
      </c>
      <c r="AN89" s="232">
        <f t="shared" si="42"/>
        <v>12</v>
      </c>
    </row>
    <row r="90" spans="1:179" ht="23.15" customHeight="1" x14ac:dyDescent="0.25">
      <c r="A90" s="484"/>
      <c r="B90" s="495" t="s">
        <v>543</v>
      </c>
      <c r="C90" s="499">
        <v>445542</v>
      </c>
      <c r="D90" s="496"/>
      <c r="E90" s="323" t="s">
        <v>44</v>
      </c>
      <c r="F90" s="328" t="s">
        <v>564</v>
      </c>
      <c r="G90" s="487" t="s">
        <v>152</v>
      </c>
      <c r="H90" s="329">
        <v>1997</v>
      </c>
      <c r="I90" s="330" t="s">
        <v>184</v>
      </c>
      <c r="J90" s="498" t="s">
        <v>44</v>
      </c>
      <c r="K90" s="488">
        <v>57.8</v>
      </c>
      <c r="L90" s="448">
        <v>-33</v>
      </c>
      <c r="M90" s="301">
        <v>35</v>
      </c>
      <c r="N90" s="301">
        <v>40</v>
      </c>
      <c r="O90" s="490">
        <f t="shared" si="36"/>
        <v>40</v>
      </c>
      <c r="P90" s="300">
        <v>45</v>
      </c>
      <c r="Q90" s="301">
        <v>48</v>
      </c>
      <c r="R90" s="301">
        <v>52</v>
      </c>
      <c r="S90" s="490">
        <f t="shared" si="37"/>
        <v>52</v>
      </c>
      <c r="T90" s="502">
        <f>IF(E90="","",IF(OR(O90=0,S90=0),0,O90+S90))</f>
        <v>92</v>
      </c>
      <c r="U90" s="48" t="str">
        <f t="shared" si="39"/>
        <v>REG + 0</v>
      </c>
      <c r="V90" s="48" t="str">
        <f>IF(E90=0," ",IF(E90="H",IF(H90&lt;1999,VLOOKUP(K90,[5]Minimas!$A$15:$F$29,6),IF(AND(H90&gt;1998,H90&lt;2002),VLOOKUP(K90,[5]Minimas!$A$15:$F$29,5),IF(AND(H90&gt;2001,H90&lt;2004),VLOOKUP(K90,[5]Minimas!$A$15:$F$29,4),IF(AND(H90&gt;2003,H90&lt;2006),VLOOKUP(K90,[5]Minimas!$A$15:$F$29,3),VLOOKUP(K90,[5]Minimas!$A$15:$F$29,2))))),IF(H90&lt;1999,VLOOKUP(K90,[5]Minimas!$G$15:$L$29,6),IF(AND(H90&gt;1998,H90&lt;2002),VLOOKUP(K90,[5]Minimas!$G$15:$L$29,5),IF(AND(H90&gt;2001,H90&lt;2004),VLOOKUP(K90,[5]Minimas!$G$15:$L$29,4),IF(AND(H90&gt;2003,H90&lt;2006),VLOOKUP(K90,[5]Minimas!$G$15:$L$29,3),VLOOKUP(K90,[5]Minimas!$G$15:$L$29,2)))))))</f>
        <v>SE F59</v>
      </c>
      <c r="W90" s="49">
        <f t="shared" si="40"/>
        <v>127.3659510616756</v>
      </c>
      <c r="X90" s="257">
        <v>43555</v>
      </c>
      <c r="Y90" s="261" t="s">
        <v>805</v>
      </c>
      <c r="Z90" s="261" t="s">
        <v>806</v>
      </c>
      <c r="AA90" s="232"/>
      <c r="AB90" s="230">
        <f>T90-HLOOKUP(V90,[5]Minimas!$C$3:$CD$12,2,FALSE)</f>
        <v>27</v>
      </c>
      <c r="AC90" s="230">
        <f>T90-HLOOKUP(V90,[5]Minimas!$C$3:$CD$12,3,FALSE)</f>
        <v>12</v>
      </c>
      <c r="AD90" s="230">
        <f>T90-HLOOKUP(V90,[5]Minimas!$C$3:$CD$12,4,FALSE)</f>
        <v>0</v>
      </c>
      <c r="AE90" s="230">
        <f>T90-HLOOKUP(V90,[5]Minimas!$C$3:$CD$12,5,FALSE)</f>
        <v>-15</v>
      </c>
      <c r="AF90" s="230">
        <f>T90-HLOOKUP(V90,[5]Minimas!$C$3:$CD$12,6,FALSE)</f>
        <v>-38</v>
      </c>
      <c r="AG90" s="230">
        <f>T90-HLOOKUP(V90,[5]Minimas!$C$3:$CD$12,7,FALSE)</f>
        <v>-53</v>
      </c>
      <c r="AH90" s="230">
        <f>T90-HLOOKUP(V90,[5]Minimas!$C$3:$CD$12,8,FALSE)</f>
        <v>-73</v>
      </c>
      <c r="AI90" s="230">
        <f>T90-HLOOKUP(V90,[5]Minimas!$C$3:$CD$12,9,FALSE)</f>
        <v>-93</v>
      </c>
      <c r="AJ90" s="230">
        <f>T90-HLOOKUP(V90,[5]Minimas!$C$3:$CD$12,10,FALSE)</f>
        <v>-108</v>
      </c>
      <c r="AK90" s="231" t="str">
        <f>IF(E90=0," ",IF(AJ90&gt;=0,$AJ$5,IF(AI90&gt;=0,$AI$5,IF(AH90&gt;=0,$AH$5,IF(AG90&gt;=0,$AG$5,IF(AF90&gt;=0,$AF$5,IF(AE90&gt;=0,$AE$5,IF(AD90&gt;=0,$AD$5,IF(AC90&gt;=0,$AC$5,$AB$5)))))))))</f>
        <v>REG +</v>
      </c>
      <c r="AL90" s="232"/>
      <c r="AM90" s="232" t="str">
        <f t="shared" si="41"/>
        <v>REG +</v>
      </c>
      <c r="AN90" s="232">
        <f t="shared" si="42"/>
        <v>0</v>
      </c>
      <c r="AO90" s="485"/>
      <c r="AP90" s="485"/>
      <c r="AQ90" s="485"/>
      <c r="AR90" s="485"/>
      <c r="AS90" s="485"/>
      <c r="AT90" s="485"/>
      <c r="AU90" s="485"/>
      <c r="AV90" s="485"/>
      <c r="AW90" s="485"/>
      <c r="AX90" s="485"/>
      <c r="AY90" s="485"/>
      <c r="AZ90" s="485"/>
      <c r="BA90" s="485"/>
      <c r="BB90" s="485"/>
      <c r="BC90" s="485"/>
      <c r="BD90" s="485"/>
      <c r="BE90" s="485"/>
      <c r="BF90" s="485"/>
      <c r="BG90" s="485"/>
      <c r="BH90" s="485"/>
      <c r="BI90" s="485"/>
      <c r="BJ90" s="485"/>
      <c r="BK90" s="485"/>
      <c r="BL90" s="485"/>
      <c r="BM90" s="485"/>
      <c r="BN90" s="485"/>
      <c r="BO90" s="485"/>
      <c r="BP90" s="485"/>
      <c r="BQ90" s="485"/>
      <c r="BR90" s="485"/>
      <c r="BS90" s="485"/>
      <c r="BT90" s="485"/>
      <c r="BU90" s="485"/>
      <c r="BV90" s="485"/>
      <c r="BW90" s="485"/>
      <c r="BX90" s="485"/>
      <c r="BY90" s="485"/>
      <c r="BZ90" s="485"/>
      <c r="CA90" s="485"/>
      <c r="CB90" s="485"/>
      <c r="CC90" s="485"/>
      <c r="CD90" s="485"/>
      <c r="CE90" s="485"/>
      <c r="CF90" s="485"/>
      <c r="CG90" s="485"/>
      <c r="CH90" s="485"/>
      <c r="CI90" s="485"/>
      <c r="CJ90" s="485"/>
      <c r="CK90" s="485"/>
      <c r="CL90" s="485"/>
      <c r="CM90" s="485"/>
      <c r="CN90" s="485"/>
      <c r="CO90" s="485"/>
      <c r="CP90" s="485"/>
      <c r="CQ90" s="485"/>
      <c r="CR90" s="485"/>
      <c r="CS90" s="485"/>
      <c r="CT90" s="485"/>
      <c r="CU90" s="485"/>
      <c r="CV90" s="485"/>
      <c r="CW90" s="485"/>
      <c r="CX90" s="485"/>
      <c r="CY90" s="485"/>
      <c r="CZ90" s="485"/>
      <c r="DA90" s="485"/>
      <c r="DB90" s="485"/>
      <c r="DC90" s="485"/>
      <c r="DD90" s="485"/>
      <c r="DE90" s="485"/>
      <c r="DF90" s="485"/>
      <c r="DG90" s="485"/>
      <c r="DH90" s="485"/>
      <c r="DI90" s="485"/>
      <c r="DJ90" s="485"/>
      <c r="DK90" s="485"/>
      <c r="DL90" s="485"/>
      <c r="DM90" s="485"/>
      <c r="DN90" s="485"/>
      <c r="DO90" s="485"/>
      <c r="DP90" s="485"/>
      <c r="DQ90" s="485"/>
      <c r="DR90" s="485"/>
      <c r="DS90" s="485"/>
      <c r="DT90" s="485"/>
      <c r="DU90" s="484"/>
      <c r="DV90" s="484"/>
      <c r="DW90" s="484"/>
      <c r="DX90" s="484"/>
      <c r="DY90" s="484"/>
      <c r="DZ90" s="484"/>
      <c r="EA90" s="484"/>
      <c r="EB90" s="484"/>
      <c r="EC90" s="484"/>
      <c r="ED90" s="484"/>
      <c r="EE90" s="484"/>
      <c r="EF90" s="484"/>
      <c r="EG90" s="484"/>
      <c r="EH90" s="484"/>
      <c r="EI90" s="484"/>
      <c r="EJ90" s="484"/>
      <c r="EK90" s="484"/>
      <c r="EL90" s="484"/>
      <c r="EM90" s="484"/>
      <c r="EN90" s="484"/>
      <c r="EO90" s="484"/>
      <c r="EP90" s="484"/>
      <c r="EQ90" s="484"/>
      <c r="ER90" s="484"/>
      <c r="ES90" s="484"/>
      <c r="ET90" s="484"/>
      <c r="EU90" s="484"/>
      <c r="EV90" s="484"/>
      <c r="EW90" s="484"/>
      <c r="EX90" s="484"/>
      <c r="EY90" s="484"/>
      <c r="EZ90" s="484"/>
      <c r="FA90" s="484"/>
      <c r="FB90" s="484"/>
      <c r="FC90" s="484"/>
      <c r="FD90" s="484"/>
      <c r="FE90" s="484"/>
      <c r="FF90" s="484"/>
      <c r="FG90" s="484"/>
      <c r="FH90" s="484"/>
      <c r="FI90" s="484"/>
      <c r="FJ90" s="484"/>
      <c r="FK90" s="484"/>
      <c r="FL90" s="484"/>
      <c r="FM90" s="484"/>
      <c r="FN90" s="484"/>
      <c r="FO90" s="484"/>
      <c r="FP90" s="484"/>
      <c r="FQ90" s="484"/>
      <c r="FR90" s="484"/>
      <c r="FS90" s="484"/>
      <c r="FT90" s="484"/>
      <c r="FU90" s="484"/>
      <c r="FV90" s="484"/>
      <c r="FW90" s="484"/>
    </row>
    <row r="91" spans="1:179" ht="23.15" customHeight="1" x14ac:dyDescent="0.25">
      <c r="A91" s="484"/>
      <c r="B91" s="524" t="s">
        <v>543</v>
      </c>
      <c r="C91" s="429">
        <v>424104</v>
      </c>
      <c r="D91" s="530"/>
      <c r="E91" s="315" t="s">
        <v>44</v>
      </c>
      <c r="F91" s="678" t="s">
        <v>193</v>
      </c>
      <c r="G91" s="680" t="s">
        <v>194</v>
      </c>
      <c r="H91" s="562">
        <v>1972</v>
      </c>
      <c r="I91" s="683" t="s">
        <v>862</v>
      </c>
      <c r="J91" s="287" t="s">
        <v>44</v>
      </c>
      <c r="K91" s="488">
        <v>58.65</v>
      </c>
      <c r="L91" s="300">
        <v>38</v>
      </c>
      <c r="M91" s="449">
        <v>-41</v>
      </c>
      <c r="N91" s="449">
        <v>-41</v>
      </c>
      <c r="O91" s="363">
        <f t="shared" si="36"/>
        <v>38</v>
      </c>
      <c r="P91" s="295">
        <v>50</v>
      </c>
      <c r="Q91" s="296">
        <v>53</v>
      </c>
      <c r="R91" s="451">
        <v>-55</v>
      </c>
      <c r="S91" s="363">
        <f t="shared" si="37"/>
        <v>53</v>
      </c>
      <c r="T91" s="364">
        <f>IF(E91="","",IF(OR(O91=0,S91=0),0,O91+S91))</f>
        <v>91</v>
      </c>
      <c r="U91" s="360" t="str">
        <f t="shared" si="39"/>
        <v>DPT + 11</v>
      </c>
      <c r="V91" s="360" t="str">
        <f>IF(E91=0," ",IF(E91="H",IF(H91&lt;1999,VLOOKUP(K91,[14]Minimas!$A$15:$F$29,6),IF(AND(H91&gt;1998,H91&lt;2002),VLOOKUP(K91,[14]Minimas!$A$15:$F$29,5),IF(AND(H91&gt;2001,H91&lt;2004),VLOOKUP(K91,[14]Minimas!$A$15:$F$29,4),IF(AND(H91&gt;2003,H91&lt;2006),VLOOKUP(K91,[14]Minimas!$A$15:$F$29,3),VLOOKUP(K91,[14]Minimas!$A$15:$F$29,2))))),IF(H91&lt;1999,VLOOKUP(K91,[14]Minimas!$G$15:$L$29,6),IF(AND(H91&gt;1998,H91&lt;2002),VLOOKUP(K91,[14]Minimas!$G$15:$L$29,5),IF(AND(H91&gt;2001,H91&lt;2004),VLOOKUP(K91,[14]Minimas!$G$15:$L$29,4),IF(AND(H91&gt;2003,H91&lt;2006),VLOOKUP(K91,[14]Minimas!$G$15:$L$29,3),VLOOKUP(K91,[14]Minimas!$G$15:$L$29,2)))))))</f>
        <v>SE F59</v>
      </c>
      <c r="W91" s="366">
        <f t="shared" si="40"/>
        <v>124.77276606234436</v>
      </c>
      <c r="X91" s="257">
        <v>43575</v>
      </c>
      <c r="Y91" s="261" t="s">
        <v>860</v>
      </c>
      <c r="Z91" s="261" t="s">
        <v>861</v>
      </c>
      <c r="AA91" s="232"/>
      <c r="AB91" s="230">
        <f>T91-HLOOKUP(V91,[14]Minimas!$C$3:$CD$12,2,FALSE)</f>
        <v>26</v>
      </c>
      <c r="AC91" s="230">
        <f>T91-HLOOKUP(V91,[14]Minimas!$C$3:$CD$12,3,FALSE)</f>
        <v>11</v>
      </c>
      <c r="AD91" s="230">
        <f>T91-HLOOKUP(V91,[14]Minimas!$C$3:$CD$12,4,FALSE)</f>
        <v>-1</v>
      </c>
      <c r="AE91" s="230">
        <f>T91-HLOOKUP(V91,[14]Minimas!$C$3:$CD$12,5,FALSE)</f>
        <v>-16</v>
      </c>
      <c r="AF91" s="230">
        <f>T91-HLOOKUP(V91,[14]Minimas!$C$3:$CD$12,6,FALSE)</f>
        <v>-39</v>
      </c>
      <c r="AG91" s="230">
        <f>T91-HLOOKUP(V91,[14]Minimas!$C$3:$CD$12,7,FALSE)</f>
        <v>-54</v>
      </c>
      <c r="AH91" s="230">
        <f>T91-HLOOKUP(V91,[14]Minimas!$C$3:$CD$12,8,FALSE)</f>
        <v>-74</v>
      </c>
      <c r="AI91" s="230">
        <f>T91-HLOOKUP(V91,[14]Minimas!$C$3:$CD$12,9,FALSE)</f>
        <v>-94</v>
      </c>
      <c r="AJ91" s="230">
        <f>T91-HLOOKUP(V91,[14]Minimas!$C$3:$CD$12,10,FALSE)</f>
        <v>-109</v>
      </c>
      <c r="AK91" s="231" t="str">
        <f>IF(E91=0," ",IF(AJ91&gt;=0,$AJ$5,IF(AI91&gt;=0,$AI$5,IF(AH91&gt;=0,$AH$5,IF(AG91&gt;=0,$AG$5,IF(AF91&gt;=0,$AF$5,IF(AE91&gt;=0,$AE$5,IF(AD91&gt;=0,$AD$5,IF(AC91&gt;=0,$AC$5,$AB$5)))))))))</f>
        <v>DPT +</v>
      </c>
      <c r="AL91" s="232"/>
      <c r="AM91" s="232" t="str">
        <f t="shared" si="41"/>
        <v>DPT +</v>
      </c>
      <c r="AN91" s="232">
        <f t="shared" si="42"/>
        <v>11</v>
      </c>
      <c r="AO91" s="485"/>
      <c r="AP91" s="485"/>
      <c r="AQ91" s="485"/>
      <c r="AR91" s="485"/>
      <c r="AS91" s="485"/>
      <c r="AT91" s="485"/>
      <c r="AU91" s="485"/>
      <c r="AV91" s="485"/>
      <c r="AW91" s="485"/>
      <c r="AX91" s="485"/>
      <c r="AY91" s="485"/>
      <c r="AZ91" s="485"/>
      <c r="BA91" s="485"/>
      <c r="BB91" s="485"/>
      <c r="BC91" s="485"/>
      <c r="BD91" s="485"/>
      <c r="BE91" s="485"/>
      <c r="BF91" s="485"/>
      <c r="BG91" s="485"/>
      <c r="BH91" s="485"/>
      <c r="BI91" s="485"/>
      <c r="BJ91" s="485"/>
      <c r="BK91" s="485"/>
      <c r="BL91" s="485"/>
      <c r="BM91" s="485"/>
      <c r="BN91" s="485"/>
      <c r="BO91" s="485"/>
      <c r="BP91" s="485"/>
      <c r="BQ91" s="485"/>
      <c r="BR91" s="485"/>
      <c r="BS91" s="485"/>
      <c r="BT91" s="485"/>
      <c r="BU91" s="485"/>
      <c r="BV91" s="485"/>
      <c r="BW91" s="485"/>
      <c r="BX91" s="485"/>
      <c r="BY91" s="485"/>
      <c r="BZ91" s="485"/>
      <c r="CA91" s="485"/>
      <c r="CB91" s="485"/>
      <c r="CC91" s="485"/>
      <c r="CD91" s="485"/>
      <c r="CE91" s="485"/>
      <c r="CF91" s="485"/>
      <c r="CG91" s="485"/>
      <c r="CH91" s="485"/>
      <c r="CI91" s="485"/>
      <c r="CJ91" s="485"/>
      <c r="CK91" s="485"/>
      <c r="CL91" s="485"/>
      <c r="CM91" s="485"/>
      <c r="CN91" s="485"/>
      <c r="CO91" s="485"/>
      <c r="CP91" s="485"/>
      <c r="CQ91" s="485"/>
      <c r="CR91" s="485"/>
      <c r="CS91" s="485"/>
      <c r="CT91" s="485"/>
      <c r="CU91" s="485"/>
      <c r="CV91" s="485"/>
      <c r="CW91" s="485"/>
      <c r="CX91" s="485"/>
      <c r="CY91" s="485"/>
      <c r="CZ91" s="485"/>
      <c r="DA91" s="485"/>
      <c r="DB91" s="485"/>
      <c r="DC91" s="485"/>
      <c r="DD91" s="485"/>
      <c r="DE91" s="485"/>
      <c r="DF91" s="485"/>
      <c r="DG91" s="485"/>
      <c r="DH91" s="485"/>
      <c r="DI91" s="485"/>
      <c r="DJ91" s="485"/>
      <c r="DK91" s="485"/>
      <c r="DL91" s="485"/>
      <c r="DM91" s="485"/>
      <c r="DN91" s="485"/>
      <c r="DO91" s="485"/>
      <c r="DP91" s="485"/>
      <c r="DQ91" s="485"/>
      <c r="DR91" s="485"/>
      <c r="DS91" s="485"/>
      <c r="DT91" s="485"/>
      <c r="DU91" s="484"/>
      <c r="DV91" s="484"/>
      <c r="DW91" s="484"/>
      <c r="DX91" s="484"/>
      <c r="DY91" s="484"/>
      <c r="DZ91" s="484"/>
      <c r="EA91" s="484"/>
      <c r="EB91" s="484"/>
      <c r="EC91" s="484"/>
      <c r="ED91" s="484"/>
      <c r="EE91" s="484"/>
      <c r="EF91" s="484"/>
      <c r="EG91" s="484"/>
      <c r="EH91" s="484"/>
      <c r="EI91" s="484"/>
      <c r="EJ91" s="484"/>
      <c r="EK91" s="484"/>
      <c r="EL91" s="484"/>
      <c r="EM91" s="484"/>
      <c r="EN91" s="484"/>
      <c r="EO91" s="484"/>
      <c r="EP91" s="484"/>
      <c r="EQ91" s="484"/>
      <c r="ER91" s="484"/>
      <c r="ES91" s="484"/>
      <c r="ET91" s="484"/>
      <c r="EU91" s="484"/>
      <c r="EV91" s="484"/>
      <c r="EW91" s="484"/>
      <c r="EX91" s="484"/>
      <c r="EY91" s="484"/>
      <c r="EZ91" s="484"/>
      <c r="FA91" s="484"/>
      <c r="FB91" s="484"/>
      <c r="FC91" s="484"/>
      <c r="FD91" s="484"/>
      <c r="FE91" s="484"/>
      <c r="FF91" s="484"/>
      <c r="FG91" s="484"/>
      <c r="FH91" s="484"/>
      <c r="FI91" s="484"/>
      <c r="FJ91" s="484"/>
      <c r="FK91" s="484"/>
      <c r="FL91" s="484"/>
      <c r="FM91" s="484"/>
      <c r="FN91" s="484"/>
      <c r="FO91" s="484"/>
      <c r="FP91" s="484"/>
      <c r="FQ91" s="484"/>
      <c r="FR91" s="484"/>
      <c r="FS91" s="484"/>
      <c r="FT91" s="484"/>
      <c r="FU91" s="484"/>
      <c r="FV91" s="484"/>
      <c r="FW91" s="484"/>
    </row>
    <row r="92" spans="1:179" ht="23.15" customHeight="1" x14ac:dyDescent="0.25">
      <c r="B92" s="136" t="s">
        <v>543</v>
      </c>
      <c r="C92" s="499">
        <v>445966</v>
      </c>
      <c r="D92" s="167"/>
      <c r="E92" s="323" t="s">
        <v>44</v>
      </c>
      <c r="F92" s="486" t="s">
        <v>748</v>
      </c>
      <c r="G92" s="487" t="s">
        <v>749</v>
      </c>
      <c r="H92" s="292">
        <v>1976</v>
      </c>
      <c r="I92" s="337" t="s">
        <v>129</v>
      </c>
      <c r="J92" s="290" t="s">
        <v>44</v>
      </c>
      <c r="K92" s="488">
        <v>55.9</v>
      </c>
      <c r="L92" s="448">
        <v>-38</v>
      </c>
      <c r="M92" s="301">
        <v>38</v>
      </c>
      <c r="N92" s="449">
        <v>-42</v>
      </c>
      <c r="O92" s="52">
        <f t="shared" si="36"/>
        <v>38</v>
      </c>
      <c r="P92" s="300">
        <v>45</v>
      </c>
      <c r="Q92" s="449">
        <v>-50</v>
      </c>
      <c r="R92" s="301">
        <v>50</v>
      </c>
      <c r="S92" s="52">
        <f t="shared" si="37"/>
        <v>50</v>
      </c>
      <c r="T92" s="502">
        <f>IF(E92="","",O92+S92)</f>
        <v>88</v>
      </c>
      <c r="U92" s="48" t="str">
        <f t="shared" si="39"/>
        <v>DPT + 8</v>
      </c>
      <c r="V92" s="48" t="str">
        <f>IF(E92=0," ",IF(E92="H",IF(H92&lt;1999,VLOOKUP(K92,[13]Minimas!$A$15:$F$29,6),IF(AND(H92&gt;1998,H92&lt;2002),VLOOKUP(K92,[13]Minimas!$A$15:$F$29,5),IF(AND(H92&gt;2001,H92&lt;2004),VLOOKUP(K92,[13]Minimas!$A$15:$F$29,4),IF(AND(H92&gt;2003,H92&lt;2006),VLOOKUP(K92,[13]Minimas!$A$15:$F$29,3),VLOOKUP(K92,[13]Minimas!$A$15:$F$29,2))))),IF(H92&lt;1999,VLOOKUP(K92,[13]Minimas!$G$15:$L$29,6),IF(AND(H92&gt;1998,H92&lt;2002),VLOOKUP(K92,[13]Minimas!$G$15:$L$29,5),IF(AND(H92&gt;2001,H92&lt;2004),VLOOKUP(K92,[13]Minimas!$G$15:$L$29,4),IF(AND(H92&gt;2003,H92&lt;2006),VLOOKUP(K92,[13]Minimas!$G$15:$L$29,3),VLOOKUP(K92,[13]Minimas!$G$15:$L$29,2)))))))</f>
        <v>SE F59</v>
      </c>
      <c r="W92" s="49">
        <f t="shared" si="40"/>
        <v>124.61545143893856</v>
      </c>
      <c r="X92" s="257">
        <v>43540</v>
      </c>
      <c r="Y92" s="261" t="s">
        <v>714</v>
      </c>
      <c r="Z92" s="261" t="s">
        <v>704</v>
      </c>
      <c r="AA92" s="463"/>
      <c r="AB92" s="230">
        <f>T92-HLOOKUP(V92,Minimas!$C$3:$CD$12,2,FALSE)</f>
        <v>23</v>
      </c>
      <c r="AC92" s="230">
        <f>T92-HLOOKUP(V92,Minimas!$C$3:$CD$12,3,FALSE)</f>
        <v>8</v>
      </c>
      <c r="AD92" s="230">
        <f>T92-HLOOKUP(V92,Minimas!$C$3:$CD$12,4,FALSE)</f>
        <v>-4</v>
      </c>
      <c r="AE92" s="230">
        <f>T92-HLOOKUP(V92,Minimas!$C$3:$CD$12,5,FALSE)</f>
        <v>-19</v>
      </c>
      <c r="AF92" s="230">
        <f>T92-HLOOKUP(V92,Minimas!$C$3:$CD$12,6,FALSE)</f>
        <v>-42</v>
      </c>
      <c r="AG92" s="230">
        <f>T92-HLOOKUP(V92,Minimas!$C$3:$CD$12,7,FALSE)</f>
        <v>-57</v>
      </c>
      <c r="AH92" s="230">
        <f>T92-HLOOKUP(V92,Minimas!$C$3:$CD$12,8,FALSE)</f>
        <v>-77</v>
      </c>
      <c r="AI92" s="230">
        <f>T92-HLOOKUP(V92,Minimas!$C$3:$CD$12,9,FALSE)</f>
        <v>-97</v>
      </c>
      <c r="AJ92" s="230">
        <f>T92-HLOOKUP(V92,Minimas!$C$3:$CD$12,10,FALSE)</f>
        <v>-112</v>
      </c>
      <c r="AK92" s="231" t="str">
        <f>IF(E92=0," ",IF(AJ92&gt;=0,MASCULINS!$AJ$5,IF(AI92&gt;=0,MASCULINS!$AI$5,IF(AH92&gt;=0,MASCULINS!$AH$5,IF(AG92&gt;=0,MASCULINS!$AG$5,IF(AF92&gt;=0,MASCULINS!$AF$5,IF(AE92&gt;=0,MASCULINS!$AE$5,IF(AD92&gt;=0,MASCULINS!$AD$5,IF(AC92&gt;=0,MASCULINS!$AC$5,MASCULINS!$AB$5)))))))))</f>
        <v>DPT +</v>
      </c>
      <c r="AL92" s="232"/>
      <c r="AM92" s="232" t="str">
        <f t="shared" si="41"/>
        <v>DPT +</v>
      </c>
      <c r="AN92" s="232">
        <f t="shared" si="42"/>
        <v>8</v>
      </c>
    </row>
    <row r="93" spans="1:179" ht="23.15" customHeight="1" x14ac:dyDescent="0.3">
      <c r="A93" s="484"/>
      <c r="B93" s="98" t="s">
        <v>543</v>
      </c>
      <c r="C93" s="525">
        <v>428918</v>
      </c>
      <c r="D93" s="119"/>
      <c r="E93" s="399" t="s">
        <v>44</v>
      </c>
      <c r="F93" s="414" t="s">
        <v>222</v>
      </c>
      <c r="G93" s="415" t="s">
        <v>223</v>
      </c>
      <c r="H93" s="561">
        <v>1991</v>
      </c>
      <c r="I93" s="568" t="s">
        <v>214</v>
      </c>
      <c r="J93" s="578" t="s">
        <v>224</v>
      </c>
      <c r="K93" s="580">
        <v>56.6</v>
      </c>
      <c r="L93" s="456">
        <v>30</v>
      </c>
      <c r="M93" s="457">
        <v>33</v>
      </c>
      <c r="N93" s="457">
        <v>35</v>
      </c>
      <c r="O93" s="490">
        <f t="shared" si="36"/>
        <v>35</v>
      </c>
      <c r="P93" s="456">
        <v>40</v>
      </c>
      <c r="Q93" s="457">
        <v>45</v>
      </c>
      <c r="R93" s="457">
        <v>50</v>
      </c>
      <c r="S93" s="52">
        <f t="shared" si="37"/>
        <v>50</v>
      </c>
      <c r="T93" s="502">
        <f>IF(E93="","",IF(OR(O93=0,S93=0),0,O93+S93))</f>
        <v>85</v>
      </c>
      <c r="U93" s="48" t="str">
        <f t="shared" si="39"/>
        <v>DPT + 5</v>
      </c>
      <c r="V93" s="48" t="str">
        <f>IF(E93=0," ",IF(E93="H",IF(H93&lt;1999,VLOOKUP(K93,Minimas!$A$15:$F$29,6),IF(AND(H93&gt;1998,H93&lt;2002),VLOOKUP(K93,Minimas!$A$15:$F$29,5),IF(AND(H93&gt;2001,H93&lt;2004),VLOOKUP(K93,Minimas!$A$15:$F$29,4),IF(AND(H93&gt;2003,H93&lt;2006),VLOOKUP(K93,Minimas!$A$15:$F$29,3),VLOOKUP(K93,Minimas!$A$15:$F$29,2))))),IF(H93&lt;1999,VLOOKUP(K93,Minimas!$G$15:$L$29,6),IF(AND(H93&gt;1998,H93&lt;2002),VLOOKUP(K93,Minimas!$G$15:$L$29,5),IF(AND(H93&gt;2001,H93&lt;2004),VLOOKUP(K93,Minimas!$G$15:$L$29,4),IF(AND(H93&gt;2003,H93&lt;2006),VLOOKUP(K93,Minimas!$G$15:$L$29,3),VLOOKUP(K93,Minimas!$G$15:$L$29,2)))))))</f>
        <v>SE F59</v>
      </c>
      <c r="W93" s="49">
        <f t="shared" si="40"/>
        <v>119.3471337943319</v>
      </c>
      <c r="X93" s="184">
        <v>43435</v>
      </c>
      <c r="Y93" s="278" t="s">
        <v>509</v>
      </c>
      <c r="Z93" s="278" t="s">
        <v>511</v>
      </c>
      <c r="AA93" s="232"/>
      <c r="AB93" s="230">
        <f>T93-HLOOKUP(V93,Minimas!$C$3:$CD$12,2,FALSE)</f>
        <v>20</v>
      </c>
      <c r="AC93" s="230">
        <f>T93-HLOOKUP(V93,Minimas!$C$3:$CD$12,3,FALSE)</f>
        <v>5</v>
      </c>
      <c r="AD93" s="230">
        <f>T93-HLOOKUP(V93,Minimas!$C$3:$CD$12,4,FALSE)</f>
        <v>-7</v>
      </c>
      <c r="AE93" s="230">
        <f>T93-HLOOKUP(V93,Minimas!$C$3:$CD$12,5,FALSE)</f>
        <v>-22</v>
      </c>
      <c r="AF93" s="230">
        <f>T93-HLOOKUP(V93,Minimas!$C$3:$CD$12,6,FALSE)</f>
        <v>-45</v>
      </c>
      <c r="AG93" s="230">
        <f>T93-HLOOKUP(V93,Minimas!$C$3:$CD$12,7,FALSE)</f>
        <v>-60</v>
      </c>
      <c r="AH93" s="230">
        <f>T93-HLOOKUP(V93,Minimas!$C$3:$CD$12,8,FALSE)</f>
        <v>-80</v>
      </c>
      <c r="AI93" s="230">
        <f>T93-HLOOKUP(V93,Minimas!$C$3:$CD$12,9,FALSE)</f>
        <v>-100</v>
      </c>
      <c r="AJ93" s="230">
        <f>T93-HLOOKUP(V93,Minimas!$C$3:$CD$12,10,FALSE)</f>
        <v>-115</v>
      </c>
      <c r="AK93" s="231" t="str">
        <f>IF(E93=0," ",IF(AJ93&gt;=0,$AJ$5,IF(AI93&gt;=0,$AI$5,IF(AH93&gt;=0,$AH$5,IF(AG93&gt;=0,$AG$5,IF(AF93&gt;=0,$AF$5,IF(AE93&gt;=0,$AE$5,IF(AD93&gt;=0,$AD$5,IF(AC93&gt;=0,$AC$5,$AB$5)))))))))</f>
        <v>DPT +</v>
      </c>
      <c r="AL93" s="232"/>
      <c r="AM93" s="232" t="str">
        <f t="shared" si="41"/>
        <v>DPT +</v>
      </c>
      <c r="AN93" s="232">
        <f t="shared" si="42"/>
        <v>5</v>
      </c>
      <c r="AO93" s="485"/>
      <c r="AP93" s="485"/>
      <c r="AQ93" s="485"/>
      <c r="AR93" s="485"/>
      <c r="AS93" s="485"/>
      <c r="AT93" s="485"/>
      <c r="AU93" s="485"/>
      <c r="AV93" s="485"/>
      <c r="AW93" s="485"/>
      <c r="AX93" s="485"/>
      <c r="AY93" s="485"/>
      <c r="AZ93" s="485"/>
      <c r="BA93" s="485"/>
      <c r="BB93" s="485"/>
      <c r="BC93" s="485"/>
      <c r="BD93" s="485"/>
      <c r="BE93" s="485"/>
      <c r="BF93" s="485"/>
      <c r="BG93" s="485"/>
      <c r="BH93" s="485"/>
      <c r="BI93" s="485"/>
      <c r="BJ93" s="485"/>
      <c r="BK93" s="485"/>
      <c r="BL93" s="485"/>
      <c r="BM93" s="485"/>
      <c r="BN93" s="485"/>
      <c r="BO93" s="485"/>
      <c r="BP93" s="485"/>
      <c r="BQ93" s="485"/>
      <c r="BR93" s="485"/>
      <c r="BS93" s="485"/>
      <c r="BT93" s="485"/>
      <c r="BU93" s="485"/>
      <c r="BV93" s="485"/>
      <c r="BW93" s="485"/>
      <c r="BX93" s="485"/>
      <c r="BY93" s="485"/>
      <c r="BZ93" s="485"/>
      <c r="CA93" s="485"/>
      <c r="CB93" s="485"/>
      <c r="CC93" s="485"/>
      <c r="CD93" s="485"/>
      <c r="CE93" s="485"/>
      <c r="CF93" s="485"/>
      <c r="CG93" s="485"/>
      <c r="CH93" s="485"/>
      <c r="CI93" s="485"/>
      <c r="CJ93" s="485"/>
      <c r="CK93" s="485"/>
      <c r="CL93" s="485"/>
      <c r="CM93" s="485"/>
      <c r="CN93" s="485"/>
      <c r="CO93" s="485"/>
      <c r="CP93" s="485"/>
      <c r="CQ93" s="485"/>
      <c r="CR93" s="485"/>
      <c r="CS93" s="485"/>
      <c r="CT93" s="485"/>
      <c r="CU93" s="485"/>
      <c r="CV93" s="485"/>
      <c r="CW93" s="485"/>
      <c r="CX93" s="485"/>
      <c r="CY93" s="485"/>
      <c r="CZ93" s="485"/>
      <c r="DA93" s="485"/>
      <c r="DB93" s="485"/>
      <c r="DC93" s="485"/>
      <c r="DD93" s="485"/>
      <c r="DE93" s="485"/>
      <c r="DF93" s="485"/>
      <c r="DG93" s="485"/>
      <c r="DH93" s="485"/>
      <c r="DI93" s="485"/>
      <c r="DJ93" s="485"/>
      <c r="DK93" s="485"/>
      <c r="DL93" s="485"/>
      <c r="DM93" s="485"/>
      <c r="DN93" s="485"/>
      <c r="DO93" s="485"/>
      <c r="DP93" s="485"/>
      <c r="DQ93" s="485"/>
      <c r="DR93" s="485"/>
      <c r="DS93" s="485"/>
      <c r="DT93" s="485"/>
      <c r="DU93" s="484"/>
      <c r="DV93" s="484"/>
      <c r="DW93" s="484"/>
      <c r="DX93" s="484"/>
      <c r="DY93" s="484"/>
      <c r="DZ93" s="484"/>
      <c r="EA93" s="484"/>
      <c r="EB93" s="484"/>
      <c r="EC93" s="484"/>
      <c r="ED93" s="484"/>
      <c r="EE93" s="484"/>
      <c r="EF93" s="484"/>
      <c r="EG93" s="484"/>
      <c r="EH93" s="484"/>
      <c r="EI93" s="484"/>
      <c r="EJ93" s="484"/>
      <c r="EK93" s="484"/>
      <c r="EL93" s="484"/>
      <c r="EM93" s="484"/>
      <c r="EN93" s="484"/>
      <c r="EO93" s="484"/>
      <c r="EP93" s="484"/>
      <c r="EQ93" s="484"/>
      <c r="ER93" s="484"/>
      <c r="ES93" s="484"/>
      <c r="ET93" s="484"/>
      <c r="EU93" s="484"/>
      <c r="EV93" s="484"/>
      <c r="EW93" s="484"/>
      <c r="EX93" s="484"/>
      <c r="EY93" s="484"/>
      <c r="EZ93" s="484"/>
      <c r="FA93" s="484"/>
      <c r="FB93" s="484"/>
      <c r="FC93" s="484"/>
      <c r="FD93" s="484"/>
      <c r="FE93" s="484"/>
      <c r="FF93" s="484"/>
      <c r="FG93" s="484"/>
      <c r="FH93" s="484"/>
      <c r="FI93" s="484"/>
      <c r="FJ93" s="484"/>
      <c r="FK93" s="484"/>
      <c r="FL93" s="484"/>
      <c r="FM93" s="484"/>
      <c r="FN93" s="484"/>
      <c r="FO93" s="484"/>
      <c r="FP93" s="484"/>
      <c r="FQ93" s="484"/>
      <c r="FR93" s="484"/>
      <c r="FS93" s="484"/>
      <c r="FT93" s="484"/>
      <c r="FU93" s="484"/>
      <c r="FV93" s="484"/>
      <c r="FW93" s="484"/>
    </row>
    <row r="94" spans="1:179" ht="23.15" customHeight="1" x14ac:dyDescent="0.25">
      <c r="B94" s="136" t="s">
        <v>543</v>
      </c>
      <c r="C94" s="468">
        <v>442046</v>
      </c>
      <c r="D94" s="167"/>
      <c r="E94" s="315" t="s">
        <v>44</v>
      </c>
      <c r="F94" s="288" t="s">
        <v>732</v>
      </c>
      <c r="G94" s="491" t="s">
        <v>733</v>
      </c>
      <c r="H94" s="289">
        <v>1988</v>
      </c>
      <c r="I94" s="337" t="s">
        <v>129</v>
      </c>
      <c r="J94" s="287" t="s">
        <v>44</v>
      </c>
      <c r="K94" s="503">
        <v>58.1</v>
      </c>
      <c r="L94" s="295">
        <v>30</v>
      </c>
      <c r="M94" s="296">
        <v>33</v>
      </c>
      <c r="N94" s="451">
        <v>-35</v>
      </c>
      <c r="O94" s="501">
        <f t="shared" si="36"/>
        <v>33</v>
      </c>
      <c r="P94" s="295">
        <v>35</v>
      </c>
      <c r="Q94" s="296">
        <v>38</v>
      </c>
      <c r="R94" s="296">
        <v>40</v>
      </c>
      <c r="S94" s="501">
        <f t="shared" si="37"/>
        <v>40</v>
      </c>
      <c r="T94" s="502">
        <f>IF(E94="","",O94+S94)</f>
        <v>73</v>
      </c>
      <c r="U94" s="48" t="str">
        <f t="shared" si="39"/>
        <v>DEB 8</v>
      </c>
      <c r="V94" s="48" t="str">
        <f>IF(E94=0," ",IF(E94="H",IF(H94&lt;1999,VLOOKUP(K94,[13]Minimas!$A$15:$F$29,6),IF(AND(H94&gt;1998,H94&lt;2002),VLOOKUP(K94,[13]Minimas!$A$15:$F$29,5),IF(AND(H94&gt;2001,H94&lt;2004),VLOOKUP(K94,[13]Minimas!$A$15:$F$29,4),IF(AND(H94&gt;2003,H94&lt;2006),VLOOKUP(K94,[13]Minimas!$A$15:$F$29,3),VLOOKUP(K94,[13]Minimas!$A$15:$F$29,2))))),IF(H94&lt;1999,VLOOKUP(K94,[13]Minimas!$G$15:$L$29,6),IF(AND(H94&gt;1998,H94&lt;2002),VLOOKUP(K94,[13]Minimas!$G$15:$L$29,5),IF(AND(H94&gt;2001,H94&lt;2004),VLOOKUP(K94,[13]Minimas!$G$15:$L$29,4),IF(AND(H94&gt;2003,H94&lt;2006),VLOOKUP(K94,[13]Minimas!$G$15:$L$29,3),VLOOKUP(K94,[13]Minimas!$G$15:$L$29,2)))))))</f>
        <v>SE F59</v>
      </c>
      <c r="W94" s="60">
        <f t="shared" si="40"/>
        <v>100.71551461594831</v>
      </c>
      <c r="X94" s="257">
        <v>43540</v>
      </c>
      <c r="Y94" s="261" t="s">
        <v>714</v>
      </c>
      <c r="Z94" s="261" t="s">
        <v>704</v>
      </c>
      <c r="AA94" s="463"/>
      <c r="AB94" s="230">
        <f>T94-HLOOKUP(V94,Minimas!$C$3:$CD$12,2,FALSE)</f>
        <v>8</v>
      </c>
      <c r="AC94" s="230">
        <f>T94-HLOOKUP(V94,Minimas!$C$3:$CD$12,3,FALSE)</f>
        <v>-7</v>
      </c>
      <c r="AD94" s="230">
        <f>T94-HLOOKUP(V94,Minimas!$C$3:$CD$12,4,FALSE)</f>
        <v>-19</v>
      </c>
      <c r="AE94" s="230">
        <f>T94-HLOOKUP(V94,Minimas!$C$3:$CD$12,5,FALSE)</f>
        <v>-34</v>
      </c>
      <c r="AF94" s="230">
        <f>T94-HLOOKUP(V94,Minimas!$C$3:$CD$12,6,FALSE)</f>
        <v>-57</v>
      </c>
      <c r="AG94" s="230">
        <f>T94-HLOOKUP(V94,Minimas!$C$3:$CD$12,7,FALSE)</f>
        <v>-72</v>
      </c>
      <c r="AH94" s="230">
        <f>T94-HLOOKUP(V94,Minimas!$C$3:$CD$12,8,FALSE)</f>
        <v>-92</v>
      </c>
      <c r="AI94" s="230">
        <f>T94-HLOOKUP(V94,Minimas!$C$3:$CD$12,9,FALSE)</f>
        <v>-112</v>
      </c>
      <c r="AJ94" s="230">
        <f>T94-HLOOKUP(V94,Minimas!$C$3:$CD$12,10,FALSE)</f>
        <v>-127</v>
      </c>
      <c r="AK94" s="231" t="str">
        <f>IF(E94=0," ",IF(AJ94&gt;=0,MASCULINS!$AJ$5,IF(AI94&gt;=0,MASCULINS!$AI$5,IF(AH94&gt;=0,MASCULINS!$AH$5,IF(AG94&gt;=0,MASCULINS!$AG$5,IF(AF94&gt;=0,MASCULINS!$AF$5,IF(AE94&gt;=0,MASCULINS!$AE$5,IF(AD94&gt;=0,MASCULINS!$AD$5,IF(AC94&gt;=0,MASCULINS!$AC$5,MASCULINS!$AB$5)))))))))</f>
        <v>DEB</v>
      </c>
      <c r="AL94" s="232"/>
      <c r="AM94" s="232" t="str">
        <f t="shared" si="41"/>
        <v>DEB</v>
      </c>
      <c r="AN94" s="232">
        <f t="shared" si="42"/>
        <v>8</v>
      </c>
    </row>
    <row r="95" spans="1:179" ht="23.15" customHeight="1" x14ac:dyDescent="0.25">
      <c r="A95" s="484"/>
      <c r="B95" s="516" t="s">
        <v>543</v>
      </c>
      <c r="C95" s="356">
        <v>450096</v>
      </c>
      <c r="D95" s="540"/>
      <c r="E95" s="498" t="s">
        <v>44</v>
      </c>
      <c r="F95" s="486" t="s">
        <v>897</v>
      </c>
      <c r="G95" s="487" t="s">
        <v>898</v>
      </c>
      <c r="H95" s="292">
        <v>1993</v>
      </c>
      <c r="I95" s="683" t="s">
        <v>214</v>
      </c>
      <c r="J95" s="290" t="s">
        <v>41</v>
      </c>
      <c r="K95" s="488">
        <v>57</v>
      </c>
      <c r="L95" s="300">
        <v>25</v>
      </c>
      <c r="M95" s="301">
        <v>28</v>
      </c>
      <c r="N95" s="301">
        <v>30</v>
      </c>
      <c r="O95" s="358">
        <f t="shared" si="36"/>
        <v>30</v>
      </c>
      <c r="P95" s="300">
        <v>34</v>
      </c>
      <c r="Q95" s="301">
        <v>36</v>
      </c>
      <c r="R95" s="301">
        <v>39</v>
      </c>
      <c r="S95" s="358">
        <f t="shared" si="37"/>
        <v>39</v>
      </c>
      <c r="T95" s="364">
        <f>IF(E95="","",IF(OR(O95=0,S95=0),0,O95+S95))</f>
        <v>69</v>
      </c>
      <c r="U95" s="360" t="str">
        <f t="shared" si="39"/>
        <v>DEB 4</v>
      </c>
      <c r="V95" s="360" t="str">
        <f>IF(E95=0," ",IF(E95="H",IF(H95&lt;1999,VLOOKUP(K95,[3]Minimas!$A$15:$F$29,6),IF(AND(H95&gt;1998,H95&lt;2002),VLOOKUP(K95,[3]Minimas!$A$15:$F$29,5),IF(AND(H95&gt;2001,H95&lt;2004),VLOOKUP(K95,[3]Minimas!$A$15:$F$29,4),IF(AND(H95&gt;2003,H95&lt;2006),VLOOKUP(K95,[3]Minimas!$A$15:$F$29,3),VLOOKUP(K95,[3]Minimas!$A$15:$F$29,2))))),IF(H95&lt;1999,VLOOKUP(K95,[3]Minimas!$G$15:$L$29,6),IF(AND(H95&gt;1998,H95&lt;2002),VLOOKUP(K95,[3]Minimas!$G$15:$L$29,5),IF(AND(H95&gt;2001,H95&lt;2004),VLOOKUP(K95,[3]Minimas!$G$15:$L$29,4),IF(AND(H95&gt;2003,H95&lt;2006),VLOOKUP(K95,[3]Minimas!$G$15:$L$29,3),VLOOKUP(K95,[3]Minimas!$G$15:$L$29,2)))))))</f>
        <v>SE F59</v>
      </c>
      <c r="W95" s="361">
        <f t="shared" si="40"/>
        <v>96.420819786999843</v>
      </c>
      <c r="X95" s="257">
        <v>43610</v>
      </c>
      <c r="Y95" s="261" t="s">
        <v>892</v>
      </c>
      <c r="Z95" s="261" t="s">
        <v>829</v>
      </c>
      <c r="AA95" s="232"/>
      <c r="AB95" s="230">
        <f>T95-HLOOKUP(V95,[3]Minimas!$C$3:$CD$12,2,FALSE)</f>
        <v>4</v>
      </c>
      <c r="AC95" s="230">
        <f>T95-HLOOKUP(V95,[3]Minimas!$C$3:$CD$12,3,FALSE)</f>
        <v>-11</v>
      </c>
      <c r="AD95" s="230">
        <f>T95-HLOOKUP(V95,[3]Minimas!$C$3:$CD$12,4,FALSE)</f>
        <v>-23</v>
      </c>
      <c r="AE95" s="230">
        <f>T95-HLOOKUP(V95,[3]Minimas!$C$3:$CD$12,5,FALSE)</f>
        <v>-38</v>
      </c>
      <c r="AF95" s="230">
        <f>T95-HLOOKUP(V95,[3]Minimas!$C$3:$CD$12,6,FALSE)</f>
        <v>-61</v>
      </c>
      <c r="AG95" s="230">
        <f>T95-HLOOKUP(V95,[3]Minimas!$C$3:$CD$12,7,FALSE)</f>
        <v>-76</v>
      </c>
      <c r="AH95" s="230">
        <f>T95-HLOOKUP(V95,[3]Minimas!$C$3:$CD$12,8,FALSE)</f>
        <v>-96</v>
      </c>
      <c r="AI95" s="230">
        <f>T95-HLOOKUP(V95,[3]Minimas!$C$3:$CD$12,9,FALSE)</f>
        <v>-116</v>
      </c>
      <c r="AJ95" s="230">
        <f>T95-HLOOKUP(V95,[3]Minimas!$C$3:$CD$12,10,FALSE)</f>
        <v>-131</v>
      </c>
      <c r="AK95" s="231" t="str">
        <f>IF(E95=0," ",IF(AJ95&gt;=0,$AJ$5,IF(AI95&gt;=0,$AI$5,IF(AH95&gt;=0,$AH$5,IF(AG95&gt;=0,$AG$5,IF(AF95&gt;=0,$AF$5,IF(AE95&gt;=0,$AE$5,IF(AD95&gt;=0,$AD$5,IF(AC95&gt;=0,$AC$5,$AB$5)))))))))</f>
        <v>DEB</v>
      </c>
      <c r="AL95" s="232"/>
      <c r="AM95" s="232" t="str">
        <f t="shared" si="41"/>
        <v>DEB</v>
      </c>
      <c r="AN95" s="232">
        <f t="shared" si="42"/>
        <v>4</v>
      </c>
      <c r="AO95" s="485"/>
      <c r="AP95" s="485"/>
      <c r="AQ95" s="485"/>
      <c r="AR95" s="485"/>
      <c r="AS95" s="485"/>
      <c r="AT95" s="485"/>
      <c r="AU95" s="485"/>
      <c r="AV95" s="485"/>
      <c r="AW95" s="485"/>
      <c r="AX95" s="485"/>
      <c r="AY95" s="485"/>
      <c r="AZ95" s="485"/>
      <c r="BA95" s="485"/>
      <c r="BB95" s="485"/>
      <c r="BC95" s="485"/>
      <c r="BD95" s="485"/>
      <c r="BE95" s="485"/>
      <c r="BF95" s="485"/>
      <c r="BG95" s="485"/>
      <c r="BH95" s="485"/>
      <c r="BI95" s="485"/>
      <c r="BJ95" s="485"/>
      <c r="BK95" s="485"/>
      <c r="BL95" s="485"/>
      <c r="BM95" s="485"/>
      <c r="BN95" s="485"/>
      <c r="BO95" s="485"/>
      <c r="BP95" s="485"/>
      <c r="BQ95" s="485"/>
      <c r="BR95" s="485"/>
      <c r="BS95" s="485"/>
      <c r="BT95" s="485"/>
      <c r="BU95" s="485"/>
      <c r="BV95" s="485"/>
      <c r="BW95" s="485"/>
      <c r="BX95" s="485"/>
      <c r="BY95" s="485"/>
      <c r="BZ95" s="485"/>
      <c r="CA95" s="485"/>
      <c r="CB95" s="485"/>
      <c r="CC95" s="485"/>
      <c r="CD95" s="485"/>
      <c r="CE95" s="485"/>
      <c r="CF95" s="485"/>
      <c r="CG95" s="485"/>
      <c r="CH95" s="485"/>
      <c r="CI95" s="485"/>
      <c r="CJ95" s="485"/>
      <c r="CK95" s="485"/>
      <c r="CL95" s="485"/>
      <c r="CM95" s="485"/>
      <c r="CN95" s="485"/>
      <c r="CO95" s="485"/>
      <c r="CP95" s="485"/>
      <c r="CQ95" s="485"/>
      <c r="CR95" s="485"/>
      <c r="CS95" s="485"/>
      <c r="CT95" s="485"/>
      <c r="CU95" s="485"/>
      <c r="CV95" s="485"/>
      <c r="CW95" s="485"/>
      <c r="CX95" s="485"/>
      <c r="CY95" s="485"/>
      <c r="CZ95" s="485"/>
      <c r="DA95" s="485"/>
      <c r="DB95" s="485"/>
      <c r="DC95" s="485"/>
      <c r="DD95" s="485"/>
      <c r="DE95" s="485"/>
      <c r="DF95" s="485"/>
      <c r="DG95" s="485"/>
      <c r="DH95" s="485"/>
      <c r="DI95" s="485"/>
      <c r="DJ95" s="485"/>
      <c r="DK95" s="485"/>
      <c r="DL95" s="485"/>
      <c r="DM95" s="485"/>
      <c r="DN95" s="485"/>
      <c r="DO95" s="485"/>
      <c r="DP95" s="485"/>
      <c r="DQ95" s="485"/>
      <c r="DR95" s="485"/>
      <c r="DS95" s="485"/>
      <c r="DT95" s="485"/>
      <c r="DU95" s="484"/>
      <c r="DV95" s="484"/>
      <c r="DW95" s="484"/>
      <c r="DX95" s="484"/>
      <c r="DY95" s="484"/>
      <c r="DZ95" s="484"/>
      <c r="EA95" s="484"/>
      <c r="EB95" s="484"/>
      <c r="EC95" s="484"/>
      <c r="ED95" s="484"/>
      <c r="EE95" s="484"/>
      <c r="EF95" s="484"/>
      <c r="EG95" s="484"/>
      <c r="EH95" s="484"/>
      <c r="EI95" s="484"/>
      <c r="EJ95" s="484"/>
      <c r="EK95" s="484"/>
      <c r="EL95" s="484"/>
      <c r="EM95" s="484"/>
      <c r="EN95" s="484"/>
      <c r="EO95" s="484"/>
      <c r="EP95" s="484"/>
      <c r="EQ95" s="484"/>
      <c r="ER95" s="484"/>
      <c r="ES95" s="484"/>
      <c r="ET95" s="484"/>
      <c r="EU95" s="484"/>
      <c r="EV95" s="484"/>
      <c r="EW95" s="484"/>
      <c r="EX95" s="484"/>
      <c r="EY95" s="484"/>
      <c r="EZ95" s="484"/>
      <c r="FA95" s="484"/>
      <c r="FB95" s="484"/>
      <c r="FC95" s="484"/>
      <c r="FD95" s="484"/>
      <c r="FE95" s="484"/>
      <c r="FF95" s="484"/>
      <c r="FG95" s="484"/>
      <c r="FH95" s="484"/>
      <c r="FI95" s="484"/>
      <c r="FJ95" s="484"/>
      <c r="FK95" s="484"/>
      <c r="FL95" s="484"/>
      <c r="FM95" s="484"/>
      <c r="FN95" s="484"/>
      <c r="FO95" s="484"/>
      <c r="FP95" s="484"/>
      <c r="FQ95" s="484"/>
      <c r="FR95" s="484"/>
      <c r="FS95" s="484"/>
      <c r="FT95" s="484"/>
      <c r="FU95" s="484"/>
      <c r="FV95" s="484"/>
      <c r="FW95" s="484"/>
    </row>
    <row r="96" spans="1:179" ht="23.15" customHeight="1" x14ac:dyDescent="0.25">
      <c r="A96" s="484"/>
      <c r="B96" s="516" t="s">
        <v>543</v>
      </c>
      <c r="C96" s="356">
        <v>450095</v>
      </c>
      <c r="D96" s="540"/>
      <c r="E96" s="497" t="s">
        <v>44</v>
      </c>
      <c r="F96" s="486" t="s">
        <v>899</v>
      </c>
      <c r="G96" s="487" t="s">
        <v>589</v>
      </c>
      <c r="H96" s="292">
        <v>1987</v>
      </c>
      <c r="I96" s="683" t="s">
        <v>214</v>
      </c>
      <c r="J96" s="290" t="s">
        <v>44</v>
      </c>
      <c r="K96" s="500">
        <v>58.7</v>
      </c>
      <c r="L96" s="300">
        <v>25</v>
      </c>
      <c r="M96" s="301">
        <v>28</v>
      </c>
      <c r="N96" s="301">
        <v>30</v>
      </c>
      <c r="O96" s="358">
        <f t="shared" si="36"/>
        <v>30</v>
      </c>
      <c r="P96" s="300">
        <v>33</v>
      </c>
      <c r="Q96" s="301">
        <v>35</v>
      </c>
      <c r="R96" s="301">
        <v>38</v>
      </c>
      <c r="S96" s="358">
        <f t="shared" si="37"/>
        <v>38</v>
      </c>
      <c r="T96" s="364">
        <f>IF(E96="","",IF(OR(O96=0,S96=0),0,O96+S96))</f>
        <v>68</v>
      </c>
      <c r="U96" s="360" t="str">
        <f t="shared" si="39"/>
        <v>DEB 3</v>
      </c>
      <c r="V96" s="360" t="str">
        <f>IF(E96=0," ",IF(E96="H",IF(H96&lt;1999,VLOOKUP(K96,[3]Minimas!$A$15:$F$29,6),IF(AND(H96&gt;1998,H96&lt;2002),VLOOKUP(K96,[3]Minimas!$A$15:$F$29,5),IF(AND(H96&gt;2001,H96&lt;2004),VLOOKUP(K96,[3]Minimas!$A$15:$F$29,4),IF(AND(H96&gt;2003,H96&lt;2006),VLOOKUP(K96,[3]Minimas!$A$15:$F$29,3),VLOOKUP(K96,[3]Minimas!$A$15:$F$29,2))))),IF(H96&lt;1999,VLOOKUP(K96,[3]Minimas!$G$15:$L$29,6),IF(AND(H96&gt;1998,H96&lt;2002),VLOOKUP(K96,[3]Minimas!$G$15:$L$29,5),IF(AND(H96&gt;2001,H96&lt;2004),VLOOKUP(K96,[3]Minimas!$G$15:$L$29,4),IF(AND(H96&gt;2003,H96&lt;2006),VLOOKUP(K96,[3]Minimas!$G$15:$L$29,3),VLOOKUP(K96,[3]Minimas!$G$15:$L$29,2)))))))</f>
        <v>SE F59</v>
      </c>
      <c r="W96" s="361">
        <f t="shared" si="40"/>
        <v>93.184753792185234</v>
      </c>
      <c r="X96" s="257">
        <v>43610</v>
      </c>
      <c r="Y96" s="261" t="s">
        <v>892</v>
      </c>
      <c r="Z96" s="261" t="s">
        <v>829</v>
      </c>
      <c r="AA96" s="232"/>
      <c r="AB96" s="230">
        <f>T96-HLOOKUP(V96,[3]Minimas!$C$3:$CD$12,2,FALSE)</f>
        <v>3</v>
      </c>
      <c r="AC96" s="230">
        <f>T96-HLOOKUP(V96,[3]Minimas!$C$3:$CD$12,3,FALSE)</f>
        <v>-12</v>
      </c>
      <c r="AD96" s="230">
        <f>T96-HLOOKUP(V96,[3]Minimas!$C$3:$CD$12,4,FALSE)</f>
        <v>-24</v>
      </c>
      <c r="AE96" s="230">
        <f>T96-HLOOKUP(V96,[3]Minimas!$C$3:$CD$12,5,FALSE)</f>
        <v>-39</v>
      </c>
      <c r="AF96" s="230">
        <f>T96-HLOOKUP(V96,[3]Minimas!$C$3:$CD$12,6,FALSE)</f>
        <v>-62</v>
      </c>
      <c r="AG96" s="230">
        <f>T96-HLOOKUP(V96,[3]Minimas!$C$3:$CD$12,7,FALSE)</f>
        <v>-77</v>
      </c>
      <c r="AH96" s="230">
        <f>T96-HLOOKUP(V96,[3]Minimas!$C$3:$CD$12,8,FALSE)</f>
        <v>-97</v>
      </c>
      <c r="AI96" s="230">
        <f>T96-HLOOKUP(V96,[3]Minimas!$C$3:$CD$12,9,FALSE)</f>
        <v>-117</v>
      </c>
      <c r="AJ96" s="230">
        <f>T96-HLOOKUP(V96,[3]Minimas!$C$3:$CD$12,10,FALSE)</f>
        <v>-132</v>
      </c>
      <c r="AK96" s="231" t="str">
        <f>IF(E96=0," ",IF(AJ96&gt;=0,$AJ$5,IF(AI96&gt;=0,$AI$5,IF(AH96&gt;=0,$AH$5,IF(AG96&gt;=0,$AG$5,IF(AF96&gt;=0,$AF$5,IF(AE96&gt;=0,$AE$5,IF(AD96&gt;=0,$AD$5,IF(AC96&gt;=0,$AC$5,$AB$5)))))))))</f>
        <v>DEB</v>
      </c>
      <c r="AL96" s="232"/>
      <c r="AM96" s="232" t="str">
        <f t="shared" si="41"/>
        <v>DEB</v>
      </c>
      <c r="AN96" s="232">
        <f t="shared" si="42"/>
        <v>3</v>
      </c>
      <c r="AO96" s="485"/>
      <c r="AP96" s="485"/>
      <c r="AQ96" s="485"/>
      <c r="AR96" s="485"/>
      <c r="AS96" s="485"/>
      <c r="AT96" s="485"/>
      <c r="AU96" s="485"/>
      <c r="AV96" s="485"/>
      <c r="AW96" s="485"/>
      <c r="AX96" s="485"/>
      <c r="AY96" s="485"/>
      <c r="AZ96" s="485"/>
      <c r="BA96" s="485"/>
      <c r="BB96" s="485"/>
      <c r="BC96" s="485"/>
      <c r="BD96" s="485"/>
      <c r="BE96" s="485"/>
      <c r="BF96" s="485"/>
      <c r="BG96" s="485"/>
      <c r="BH96" s="485"/>
      <c r="BI96" s="485"/>
      <c r="BJ96" s="485"/>
      <c r="BK96" s="485"/>
      <c r="BL96" s="485"/>
      <c r="BM96" s="485"/>
      <c r="BN96" s="485"/>
      <c r="BO96" s="485"/>
      <c r="BP96" s="485"/>
      <c r="BQ96" s="485"/>
      <c r="BR96" s="485"/>
      <c r="BS96" s="485"/>
      <c r="BT96" s="485"/>
      <c r="BU96" s="485"/>
      <c r="BV96" s="485"/>
      <c r="BW96" s="485"/>
      <c r="BX96" s="485"/>
      <c r="BY96" s="485"/>
      <c r="BZ96" s="485"/>
      <c r="CA96" s="485"/>
      <c r="CB96" s="485"/>
      <c r="CC96" s="485"/>
      <c r="CD96" s="485"/>
      <c r="CE96" s="485"/>
      <c r="CF96" s="485"/>
      <c r="CG96" s="485"/>
      <c r="CH96" s="485"/>
      <c r="CI96" s="485"/>
      <c r="CJ96" s="485"/>
      <c r="CK96" s="485"/>
      <c r="CL96" s="485"/>
      <c r="CM96" s="485"/>
      <c r="CN96" s="485"/>
      <c r="CO96" s="485"/>
      <c r="CP96" s="485"/>
      <c r="CQ96" s="485"/>
      <c r="CR96" s="485"/>
      <c r="CS96" s="485"/>
      <c r="CT96" s="485"/>
      <c r="CU96" s="485"/>
      <c r="CV96" s="485"/>
      <c r="CW96" s="485"/>
      <c r="CX96" s="485"/>
      <c r="CY96" s="485"/>
      <c r="CZ96" s="485"/>
      <c r="DA96" s="485"/>
      <c r="DB96" s="485"/>
      <c r="DC96" s="485"/>
      <c r="DD96" s="485"/>
      <c r="DE96" s="485"/>
      <c r="DF96" s="485"/>
      <c r="DG96" s="485"/>
      <c r="DH96" s="485"/>
      <c r="DI96" s="485"/>
      <c r="DJ96" s="485"/>
      <c r="DK96" s="485"/>
      <c r="DL96" s="485"/>
      <c r="DM96" s="485"/>
      <c r="DN96" s="485"/>
      <c r="DO96" s="485"/>
      <c r="DP96" s="485"/>
      <c r="DQ96" s="485"/>
      <c r="DR96" s="485"/>
      <c r="DS96" s="485"/>
      <c r="DT96" s="485"/>
      <c r="DU96" s="484"/>
      <c r="DV96" s="484"/>
      <c r="DW96" s="484"/>
      <c r="DX96" s="484"/>
      <c r="DY96" s="484"/>
      <c r="DZ96" s="484"/>
      <c r="EA96" s="484"/>
      <c r="EB96" s="484"/>
      <c r="EC96" s="484"/>
      <c r="ED96" s="484"/>
      <c r="EE96" s="484"/>
      <c r="EF96" s="484"/>
      <c r="EG96" s="484"/>
      <c r="EH96" s="484"/>
      <c r="EI96" s="484"/>
      <c r="EJ96" s="484"/>
      <c r="EK96" s="484"/>
      <c r="EL96" s="484"/>
      <c r="EM96" s="484"/>
      <c r="EN96" s="484"/>
      <c r="EO96" s="484"/>
      <c r="EP96" s="484"/>
      <c r="EQ96" s="484"/>
      <c r="ER96" s="484"/>
      <c r="ES96" s="484"/>
      <c r="ET96" s="484"/>
      <c r="EU96" s="484"/>
      <c r="EV96" s="484"/>
      <c r="EW96" s="484"/>
      <c r="EX96" s="484"/>
      <c r="EY96" s="484"/>
      <c r="EZ96" s="484"/>
      <c r="FA96" s="484"/>
      <c r="FB96" s="484"/>
      <c r="FC96" s="484"/>
      <c r="FD96" s="484"/>
      <c r="FE96" s="484"/>
      <c r="FF96" s="484"/>
      <c r="FG96" s="484"/>
      <c r="FH96" s="484"/>
      <c r="FI96" s="484"/>
      <c r="FJ96" s="484"/>
      <c r="FK96" s="484"/>
      <c r="FL96" s="484"/>
      <c r="FM96" s="484"/>
      <c r="FN96" s="484"/>
      <c r="FO96" s="484"/>
      <c r="FP96" s="484"/>
      <c r="FQ96" s="484"/>
      <c r="FR96" s="484"/>
      <c r="FS96" s="484"/>
      <c r="FT96" s="484"/>
      <c r="FU96" s="484"/>
      <c r="FV96" s="484"/>
      <c r="FW96" s="484"/>
    </row>
    <row r="97" spans="1:179" ht="23.15" customHeight="1" x14ac:dyDescent="0.25">
      <c r="A97" s="484"/>
      <c r="B97" s="524" t="s">
        <v>543</v>
      </c>
      <c r="C97" s="429">
        <v>637</v>
      </c>
      <c r="D97" s="530"/>
      <c r="E97" s="323" t="s">
        <v>44</v>
      </c>
      <c r="F97" s="443" t="s">
        <v>340</v>
      </c>
      <c r="G97" s="444" t="s">
        <v>863</v>
      </c>
      <c r="H97" s="306">
        <v>1953</v>
      </c>
      <c r="I97" s="683" t="s">
        <v>214</v>
      </c>
      <c r="J97" s="290" t="s">
        <v>44</v>
      </c>
      <c r="K97" s="488">
        <v>57.67</v>
      </c>
      <c r="L97" s="300">
        <v>25</v>
      </c>
      <c r="M97" s="301">
        <v>27</v>
      </c>
      <c r="N97" s="449">
        <v>-29</v>
      </c>
      <c r="O97" s="358">
        <f t="shared" si="36"/>
        <v>27</v>
      </c>
      <c r="P97" s="300">
        <v>35</v>
      </c>
      <c r="Q97" s="301">
        <v>37</v>
      </c>
      <c r="R97" s="449">
        <v>-39</v>
      </c>
      <c r="S97" s="358">
        <f t="shared" si="37"/>
        <v>37</v>
      </c>
      <c r="T97" s="364">
        <f>IF(E97="","",IF(OR(O97=0,S97=0),0,O97+S97))</f>
        <v>64</v>
      </c>
      <c r="U97" s="360" t="str">
        <f t="shared" si="39"/>
        <v>DEB -1</v>
      </c>
      <c r="V97" s="360" t="str">
        <f>IF(E97=0," ",IF(E97="H",IF(H97&lt;1999,VLOOKUP(K97,[14]Minimas!$A$15:$F$29,6),IF(AND(H97&gt;1998,H97&lt;2002),VLOOKUP(K97,[14]Minimas!$A$15:$F$29,5),IF(AND(H97&gt;2001,H97&lt;2004),VLOOKUP(K97,[14]Minimas!$A$15:$F$29,4),IF(AND(H97&gt;2003,H97&lt;2006),VLOOKUP(K97,[14]Minimas!$A$15:$F$29,3),VLOOKUP(K97,[14]Minimas!$A$15:$F$29,2))))),IF(H97&lt;1999,VLOOKUP(K97,[14]Minimas!$G$15:$L$29,6),IF(AND(H97&gt;1998,H97&lt;2002),VLOOKUP(K97,[14]Minimas!$G$15:$L$29,5),IF(AND(H97&gt;2001,H97&lt;2004),VLOOKUP(K97,[14]Minimas!$G$15:$L$29,4),IF(AND(H97&gt;2003,H97&lt;2006),VLOOKUP(K97,[14]Minimas!$G$15:$L$29,3),VLOOKUP(K97,[14]Minimas!$G$15:$L$29,2)))))))</f>
        <v>SE F59</v>
      </c>
      <c r="W97" s="361">
        <f t="shared" si="40"/>
        <v>88.735397870219998</v>
      </c>
      <c r="X97" s="257">
        <v>43575</v>
      </c>
      <c r="Y97" s="261" t="s">
        <v>860</v>
      </c>
      <c r="Z97" s="261" t="s">
        <v>861</v>
      </c>
      <c r="AA97" s="232"/>
      <c r="AB97" s="230">
        <f>T97-HLOOKUP(V97,[14]Minimas!$C$3:$CD$12,2,FALSE)</f>
        <v>-1</v>
      </c>
      <c r="AC97" s="230">
        <f>T97-HLOOKUP(V97,[14]Minimas!$C$3:$CD$12,3,FALSE)</f>
        <v>-16</v>
      </c>
      <c r="AD97" s="230">
        <f>T97-HLOOKUP(V97,[14]Minimas!$C$3:$CD$12,4,FALSE)</f>
        <v>-28</v>
      </c>
      <c r="AE97" s="230">
        <f>T97-HLOOKUP(V97,[14]Minimas!$C$3:$CD$12,5,FALSE)</f>
        <v>-43</v>
      </c>
      <c r="AF97" s="230">
        <f>T97-HLOOKUP(V97,[14]Minimas!$C$3:$CD$12,6,FALSE)</f>
        <v>-66</v>
      </c>
      <c r="AG97" s="230">
        <f>T97-HLOOKUP(V97,[14]Minimas!$C$3:$CD$12,7,FALSE)</f>
        <v>-81</v>
      </c>
      <c r="AH97" s="230">
        <f>T97-HLOOKUP(V97,[14]Minimas!$C$3:$CD$12,8,FALSE)</f>
        <v>-101</v>
      </c>
      <c r="AI97" s="230">
        <f>T97-HLOOKUP(V97,[14]Minimas!$C$3:$CD$12,9,FALSE)</f>
        <v>-121</v>
      </c>
      <c r="AJ97" s="230">
        <f>T97-HLOOKUP(V97,[14]Minimas!$C$3:$CD$12,10,FALSE)</f>
        <v>-136</v>
      </c>
      <c r="AK97" s="231" t="str">
        <f>IF(E97=0," ",IF(AJ97&gt;=0,$AJ$5,IF(AI97&gt;=0,$AI$5,IF(AH97&gt;=0,$AH$5,IF(AG97&gt;=0,$AG$5,IF(AF97&gt;=0,$AF$5,IF(AE97&gt;=0,$AE$5,IF(AD97&gt;=0,$AD$5,IF(AC97&gt;=0,$AC$5,$AB$5)))))))))</f>
        <v>DEB</v>
      </c>
      <c r="AL97" s="232"/>
      <c r="AM97" s="232" t="str">
        <f t="shared" si="41"/>
        <v>DEB</v>
      </c>
      <c r="AN97" s="232">
        <f t="shared" si="42"/>
        <v>-1</v>
      </c>
      <c r="AO97" s="485"/>
      <c r="AP97" s="485"/>
      <c r="AQ97" s="485"/>
      <c r="AR97" s="485"/>
      <c r="AS97" s="485"/>
      <c r="AT97" s="485"/>
      <c r="AU97" s="485"/>
      <c r="AV97" s="485"/>
      <c r="AW97" s="485"/>
      <c r="AX97" s="485"/>
      <c r="AY97" s="485"/>
      <c r="AZ97" s="485"/>
      <c r="BA97" s="485"/>
      <c r="BB97" s="485"/>
      <c r="BC97" s="485"/>
      <c r="BD97" s="485"/>
      <c r="BE97" s="485"/>
      <c r="BF97" s="485"/>
      <c r="BG97" s="485"/>
      <c r="BH97" s="485"/>
      <c r="BI97" s="485"/>
      <c r="BJ97" s="485"/>
      <c r="BK97" s="485"/>
      <c r="BL97" s="485"/>
      <c r="BM97" s="485"/>
      <c r="BN97" s="485"/>
      <c r="BO97" s="485"/>
      <c r="BP97" s="485"/>
      <c r="BQ97" s="485"/>
      <c r="BR97" s="485"/>
      <c r="BS97" s="485"/>
      <c r="BT97" s="485"/>
      <c r="BU97" s="485"/>
      <c r="BV97" s="485"/>
      <c r="BW97" s="485"/>
      <c r="BX97" s="485"/>
      <c r="BY97" s="485"/>
      <c r="BZ97" s="485"/>
      <c r="CA97" s="485"/>
      <c r="CB97" s="485"/>
      <c r="CC97" s="485"/>
      <c r="CD97" s="485"/>
      <c r="CE97" s="485"/>
      <c r="CF97" s="485"/>
      <c r="CG97" s="485"/>
      <c r="CH97" s="485"/>
      <c r="CI97" s="485"/>
      <c r="CJ97" s="485"/>
      <c r="CK97" s="485"/>
      <c r="CL97" s="485"/>
      <c r="CM97" s="485"/>
      <c r="CN97" s="485"/>
      <c r="CO97" s="485"/>
      <c r="CP97" s="485"/>
      <c r="CQ97" s="485"/>
      <c r="CR97" s="485"/>
      <c r="CS97" s="485"/>
      <c r="CT97" s="485"/>
      <c r="CU97" s="485"/>
      <c r="CV97" s="485"/>
      <c r="CW97" s="485"/>
      <c r="CX97" s="485"/>
      <c r="CY97" s="485"/>
      <c r="CZ97" s="485"/>
      <c r="DA97" s="485"/>
      <c r="DB97" s="485"/>
      <c r="DC97" s="485"/>
      <c r="DD97" s="485"/>
      <c r="DE97" s="485"/>
      <c r="DF97" s="485"/>
      <c r="DG97" s="485"/>
      <c r="DH97" s="485"/>
      <c r="DI97" s="485"/>
      <c r="DJ97" s="485"/>
      <c r="DK97" s="485"/>
      <c r="DL97" s="485"/>
      <c r="DM97" s="485"/>
      <c r="DN97" s="485"/>
      <c r="DO97" s="485"/>
      <c r="DP97" s="485"/>
      <c r="DQ97" s="485"/>
      <c r="DR97" s="485"/>
      <c r="DS97" s="485"/>
      <c r="DT97" s="485"/>
      <c r="DU97" s="484"/>
      <c r="DV97" s="484"/>
      <c r="DW97" s="484"/>
      <c r="DX97" s="484"/>
      <c r="DY97" s="484"/>
      <c r="DZ97" s="484"/>
      <c r="EA97" s="484"/>
      <c r="EB97" s="484"/>
      <c r="EC97" s="484"/>
      <c r="ED97" s="484"/>
      <c r="EE97" s="484"/>
      <c r="EF97" s="484"/>
      <c r="EG97" s="484"/>
      <c r="EH97" s="484"/>
      <c r="EI97" s="484"/>
      <c r="EJ97" s="484"/>
      <c r="EK97" s="484"/>
      <c r="EL97" s="484"/>
      <c r="EM97" s="484"/>
      <c r="EN97" s="484"/>
      <c r="EO97" s="484"/>
      <c r="EP97" s="484"/>
      <c r="EQ97" s="484"/>
      <c r="ER97" s="484"/>
      <c r="ES97" s="484"/>
      <c r="ET97" s="484"/>
      <c r="EU97" s="484"/>
      <c r="EV97" s="484"/>
      <c r="EW97" s="484"/>
      <c r="EX97" s="484"/>
      <c r="EY97" s="484"/>
      <c r="EZ97" s="484"/>
      <c r="FA97" s="484"/>
      <c r="FB97" s="484"/>
      <c r="FC97" s="484"/>
      <c r="FD97" s="484"/>
      <c r="FE97" s="484"/>
      <c r="FF97" s="484"/>
      <c r="FG97" s="484"/>
      <c r="FH97" s="484"/>
      <c r="FI97" s="484"/>
      <c r="FJ97" s="484"/>
      <c r="FK97" s="484"/>
      <c r="FL97" s="484"/>
      <c r="FM97" s="484"/>
      <c r="FN97" s="484"/>
      <c r="FO97" s="484"/>
      <c r="FP97" s="484"/>
      <c r="FQ97" s="484"/>
      <c r="FR97" s="484"/>
      <c r="FS97" s="484"/>
      <c r="FT97" s="484"/>
      <c r="FU97" s="484"/>
      <c r="FV97" s="484"/>
      <c r="FW97" s="484"/>
    </row>
    <row r="98" spans="1:179" ht="23.15" customHeight="1" x14ac:dyDescent="0.25">
      <c r="B98" s="136" t="s">
        <v>543</v>
      </c>
      <c r="C98" s="499">
        <v>442067</v>
      </c>
      <c r="D98" s="167"/>
      <c r="E98" s="315" t="s">
        <v>44</v>
      </c>
      <c r="F98" s="486" t="s">
        <v>772</v>
      </c>
      <c r="G98" s="487" t="s">
        <v>773</v>
      </c>
      <c r="H98" s="292">
        <v>1979</v>
      </c>
      <c r="I98" s="337" t="s">
        <v>129</v>
      </c>
      <c r="J98" s="290" t="s">
        <v>44</v>
      </c>
      <c r="K98" s="488">
        <v>56.4</v>
      </c>
      <c r="L98" s="300">
        <v>27</v>
      </c>
      <c r="M98" s="301">
        <v>29</v>
      </c>
      <c r="N98" s="301">
        <v>30</v>
      </c>
      <c r="O98" s="490">
        <f t="shared" si="36"/>
        <v>30</v>
      </c>
      <c r="P98" s="448">
        <v>-30</v>
      </c>
      <c r="Q98" s="301">
        <v>32</v>
      </c>
      <c r="R98" s="449">
        <v>-35</v>
      </c>
      <c r="S98" s="490">
        <f t="shared" si="37"/>
        <v>32</v>
      </c>
      <c r="T98" s="502">
        <f>IF(E98="","",O98+S98)</f>
        <v>62</v>
      </c>
      <c r="U98" s="48" t="str">
        <f t="shared" si="39"/>
        <v>DEB -3</v>
      </c>
      <c r="V98" s="48" t="str">
        <f>IF(E98=0," ",IF(E98="H",IF(H98&lt;1999,VLOOKUP(K98,[7]Minimas!$A$15:$F$29,6),IF(AND(H98&gt;1998,H98&lt;2002),VLOOKUP(K98,[7]Minimas!$A$15:$F$29,5),IF(AND(H98&gt;2001,H98&lt;2004),VLOOKUP(K98,[7]Minimas!$A$15:$F$29,4),IF(AND(H98&gt;2003,H98&lt;2006),VLOOKUP(K98,[7]Minimas!$A$15:$F$29,3),VLOOKUP(K98,[7]Minimas!$A$15:$F$29,2))))),IF(H98&lt;1999,VLOOKUP(K98,[7]Minimas!$G$15:$L$29,6),IF(AND(H98&gt;1998,H98&lt;2002),VLOOKUP(K98,[7]Minimas!$G$15:$L$29,5),IF(AND(H98&gt;2001,H98&lt;2004),VLOOKUP(K98,[7]Minimas!$G$15:$L$29,4),IF(AND(H98&gt;2003,H98&lt;2006),VLOOKUP(K98,[7]Minimas!$G$15:$L$29,3),VLOOKUP(K98,[7]Minimas!$G$15:$L$29,2)))))))</f>
        <v>SE F59</v>
      </c>
      <c r="W98" s="49">
        <f t="shared" si="40"/>
        <v>87.263265002533288</v>
      </c>
      <c r="X98" s="257">
        <v>43540</v>
      </c>
      <c r="Y98" s="261" t="s">
        <v>714</v>
      </c>
      <c r="Z98" s="261" t="s">
        <v>704</v>
      </c>
      <c r="AA98" s="463"/>
      <c r="AB98" s="230">
        <f>T98-HLOOKUP(V98,Minimas!$C$3:$CD$12,2,FALSE)</f>
        <v>-3</v>
      </c>
      <c r="AC98" s="230">
        <f>T98-HLOOKUP(V98,Minimas!$C$3:$CD$12,3,FALSE)</f>
        <v>-18</v>
      </c>
      <c r="AD98" s="230">
        <f>T98-HLOOKUP(V98,Minimas!$C$3:$CD$12,4,FALSE)</f>
        <v>-30</v>
      </c>
      <c r="AE98" s="230">
        <f>T98-HLOOKUP(V98,Minimas!$C$3:$CD$12,5,FALSE)</f>
        <v>-45</v>
      </c>
      <c r="AF98" s="230">
        <f>T98-HLOOKUP(V98,Minimas!$C$3:$CD$12,6,FALSE)</f>
        <v>-68</v>
      </c>
      <c r="AG98" s="230">
        <f>T98-HLOOKUP(V98,Minimas!$C$3:$CD$12,7,FALSE)</f>
        <v>-83</v>
      </c>
      <c r="AH98" s="230">
        <f>T98-HLOOKUP(V98,Minimas!$C$3:$CD$12,8,FALSE)</f>
        <v>-103</v>
      </c>
      <c r="AI98" s="230">
        <f>T98-HLOOKUP(V98,Minimas!$C$3:$CD$12,9,FALSE)</f>
        <v>-123</v>
      </c>
      <c r="AJ98" s="230">
        <f>T98-HLOOKUP(V98,Minimas!$C$3:$CD$12,10,FALSE)</f>
        <v>-138</v>
      </c>
      <c r="AK98" s="231" t="str">
        <f>IF(E98=0," ",IF(AJ98&gt;=0,MASCULINS!$AJ$5,IF(AI98&gt;=0,MASCULINS!$AI$5,IF(AH98&gt;=0,MASCULINS!$AH$5,IF(AG98&gt;=0,MASCULINS!$AG$5,IF(AF98&gt;=0,MASCULINS!$AF$5,IF(AE98&gt;=0,MASCULINS!$AE$5,IF(AD98&gt;=0,MASCULINS!$AD$5,IF(AC98&gt;=0,MASCULINS!$AC$5,MASCULINS!$AB$5)))))))))</f>
        <v>DEB</v>
      </c>
      <c r="AL98" s="232"/>
      <c r="AM98" s="232" t="str">
        <f t="shared" si="41"/>
        <v>DEB</v>
      </c>
      <c r="AN98" s="232">
        <f t="shared" si="42"/>
        <v>-3</v>
      </c>
    </row>
    <row r="99" spans="1:179" ht="23.15" customHeight="1" x14ac:dyDescent="0.5">
      <c r="A99" s="484"/>
      <c r="B99" s="98" t="s">
        <v>543</v>
      </c>
      <c r="C99" s="527">
        <v>429363</v>
      </c>
      <c r="D99" s="99"/>
      <c r="E99" s="534" t="s">
        <v>44</v>
      </c>
      <c r="F99" s="548" t="s">
        <v>232</v>
      </c>
      <c r="G99" s="555" t="s">
        <v>233</v>
      </c>
      <c r="H99" s="534">
        <v>1998</v>
      </c>
      <c r="I99" s="647" t="s">
        <v>129</v>
      </c>
      <c r="J99" s="534" t="s">
        <v>205</v>
      </c>
      <c r="K99" s="582">
        <v>59.2</v>
      </c>
      <c r="L99" s="593">
        <v>-83</v>
      </c>
      <c r="M99" s="595">
        <v>83</v>
      </c>
      <c r="N99" s="595">
        <v>87</v>
      </c>
      <c r="O99" s="490">
        <f t="shared" si="36"/>
        <v>87</v>
      </c>
      <c r="P99" s="591">
        <v>102</v>
      </c>
      <c r="Q99" s="595">
        <v>106</v>
      </c>
      <c r="R99" s="598">
        <v>-110</v>
      </c>
      <c r="S99" s="490">
        <f t="shared" si="37"/>
        <v>106</v>
      </c>
      <c r="T99" s="502">
        <f t="shared" ref="T99:T114" si="43">IF(E99="","",IF(OR(O99=0,S99=0),0,O99+S99))</f>
        <v>193</v>
      </c>
      <c r="U99" s="48" t="str">
        <f t="shared" si="39"/>
        <v>INTB + 18</v>
      </c>
      <c r="V99" s="48" t="str">
        <f>IF(E99=0," ",IF(E99="H",IF(H99&lt;1999,VLOOKUP(K99,Minimas!$A$15:$F$29,6),IF(AND(H99&gt;1998,H99&lt;2002),VLOOKUP(K99,Minimas!$A$15:$F$29,5),IF(AND(H99&gt;2001,H99&lt;2004),VLOOKUP(K99,Minimas!$A$15:$F$29,4),IF(AND(H99&gt;2003,H99&lt;2006),VLOOKUP(K99,Minimas!$A$15:$F$29,3),VLOOKUP(K99,Minimas!$A$15:$F$29,2))))),IF(H99&lt;1999,VLOOKUP(K99,Minimas!$G$15:$L$29,6),IF(AND(H99&gt;1998,H99&lt;2002),VLOOKUP(K99,Minimas!$G$15:$L$29,5),IF(AND(H99&gt;2001,H99&lt;2004),VLOOKUP(K99,Minimas!$G$15:$L$29,4),IF(AND(H99&gt;2003,H99&lt;2006),VLOOKUP(K99,Minimas!$G$15:$L$29,3),VLOOKUP(K99,Minimas!$G$15:$L$29,2)))))))</f>
        <v>SE F64</v>
      </c>
      <c r="W99" s="49">
        <f t="shared" si="40"/>
        <v>263.02173686587474</v>
      </c>
      <c r="X99" s="184">
        <v>43449</v>
      </c>
      <c r="Y99" s="278" t="s">
        <v>512</v>
      </c>
      <c r="Z99" s="278" t="s">
        <v>513</v>
      </c>
      <c r="AA99" s="467"/>
      <c r="AB99" s="230">
        <f>T99-HLOOKUP(V99,Minimas!$C$3:$CD$12,2,FALSE)</f>
        <v>123</v>
      </c>
      <c r="AC99" s="230">
        <f>T99-HLOOKUP(V99,Minimas!$C$3:$CD$12,3,FALSE)</f>
        <v>108</v>
      </c>
      <c r="AD99" s="230">
        <f>T99-HLOOKUP(V99,Minimas!$C$3:$CD$12,4,FALSE)</f>
        <v>93</v>
      </c>
      <c r="AE99" s="230">
        <f>T99-HLOOKUP(V99,Minimas!$C$3:$CD$12,5,FALSE)</f>
        <v>76</v>
      </c>
      <c r="AF99" s="230">
        <f>T99-HLOOKUP(V99,Minimas!$C$3:$CD$12,6,FALSE)</f>
        <v>56</v>
      </c>
      <c r="AG99" s="230">
        <f>T99-HLOOKUP(V99,Minimas!$C$3:$CD$12,7,FALSE)</f>
        <v>38</v>
      </c>
      <c r="AH99" s="230">
        <f>T99-HLOOKUP(V99,Minimas!$C$3:$CD$12,8,FALSE)</f>
        <v>18</v>
      </c>
      <c r="AI99" s="230">
        <f>T99-HLOOKUP(V99,Minimas!$C$3:$CD$12,9,FALSE)</f>
        <v>-2</v>
      </c>
      <c r="AJ99" s="230">
        <f>T99-HLOOKUP(V99,Minimas!$C$3:$CD$12,10,FALSE)</f>
        <v>-17</v>
      </c>
      <c r="AK99" s="231" t="str">
        <f t="shared" ref="AK99:AK104" si="44">IF(E99=0," ",IF(AJ99&gt;=0,$AJ$5,IF(AI99&gt;=0,$AI$5,IF(AH99&gt;=0,$AH$5,IF(AG99&gt;=0,$AG$5,IF(AF99&gt;=0,$AF$5,IF(AE99&gt;=0,$AE$5,IF(AD99&gt;=0,$AD$5,IF(AC99&gt;=0,$AC$5,$AB$5)))))))))</f>
        <v>INTB +</v>
      </c>
      <c r="AL99" s="232"/>
      <c r="AM99" s="232" t="str">
        <f t="shared" si="41"/>
        <v>INTB +</v>
      </c>
      <c r="AN99" s="232">
        <f t="shared" si="42"/>
        <v>18</v>
      </c>
      <c r="AO99" s="485"/>
      <c r="AP99" s="485"/>
      <c r="AQ99" s="485"/>
      <c r="AR99" s="485"/>
      <c r="AS99" s="485"/>
      <c r="AT99" s="485"/>
      <c r="AU99" s="485"/>
      <c r="AV99" s="485"/>
      <c r="AW99" s="485"/>
      <c r="AX99" s="485"/>
      <c r="AY99" s="485"/>
      <c r="AZ99" s="485"/>
      <c r="BA99" s="485"/>
      <c r="BB99" s="485"/>
      <c r="BC99" s="485"/>
      <c r="BD99" s="485"/>
      <c r="BE99" s="485"/>
      <c r="BF99" s="485"/>
      <c r="BG99" s="485"/>
      <c r="BH99" s="485"/>
      <c r="BI99" s="485"/>
      <c r="BJ99" s="485"/>
      <c r="BK99" s="485"/>
      <c r="BL99" s="485"/>
      <c r="BM99" s="485"/>
      <c r="BN99" s="485"/>
      <c r="BO99" s="485"/>
      <c r="BP99" s="485"/>
      <c r="BQ99" s="485"/>
      <c r="BR99" s="485"/>
      <c r="BS99" s="485"/>
      <c r="BT99" s="485"/>
      <c r="BU99" s="485"/>
      <c r="BV99" s="485"/>
      <c r="BW99" s="485"/>
      <c r="BX99" s="485"/>
      <c r="BY99" s="485"/>
      <c r="BZ99" s="485"/>
      <c r="CA99" s="485"/>
      <c r="CB99" s="485"/>
      <c r="CC99" s="485"/>
      <c r="CD99" s="485"/>
      <c r="CE99" s="485"/>
      <c r="CF99" s="485"/>
      <c r="CG99" s="485"/>
      <c r="CH99" s="485"/>
      <c r="CI99" s="485"/>
      <c r="CJ99" s="485"/>
      <c r="CK99" s="485"/>
      <c r="CL99" s="485"/>
      <c r="CM99" s="485"/>
      <c r="CN99" s="485"/>
      <c r="CO99" s="485"/>
      <c r="CP99" s="485"/>
      <c r="CQ99" s="485"/>
      <c r="CR99" s="485"/>
      <c r="CS99" s="485"/>
      <c r="CT99" s="485"/>
      <c r="CU99" s="485"/>
      <c r="CV99" s="485"/>
      <c r="CW99" s="485"/>
      <c r="CX99" s="485"/>
      <c r="CY99" s="485"/>
      <c r="CZ99" s="485"/>
      <c r="DA99" s="485"/>
      <c r="DB99" s="485"/>
      <c r="DC99" s="485"/>
      <c r="DD99" s="485"/>
      <c r="DE99" s="485"/>
      <c r="DF99" s="485"/>
      <c r="DG99" s="485"/>
      <c r="DH99" s="485"/>
      <c r="DI99" s="485"/>
      <c r="DJ99" s="485"/>
      <c r="DK99" s="485"/>
      <c r="DL99" s="485"/>
      <c r="DM99" s="485"/>
      <c r="DN99" s="485"/>
      <c r="DO99" s="485"/>
      <c r="DP99" s="485"/>
      <c r="DQ99" s="485"/>
      <c r="DR99" s="485"/>
      <c r="DS99" s="485"/>
      <c r="DT99" s="485"/>
      <c r="DU99" s="484"/>
      <c r="DV99" s="484"/>
      <c r="DW99" s="484"/>
      <c r="DX99" s="484"/>
      <c r="DY99" s="484"/>
      <c r="DZ99" s="484"/>
      <c r="EA99" s="484"/>
      <c r="EB99" s="484"/>
      <c r="EC99" s="484"/>
      <c r="ED99" s="484"/>
      <c r="EE99" s="484"/>
      <c r="EF99" s="484"/>
      <c r="EG99" s="484"/>
      <c r="EH99" s="484"/>
      <c r="EI99" s="484"/>
      <c r="EJ99" s="484"/>
      <c r="EK99" s="484"/>
      <c r="EL99" s="484"/>
      <c r="EM99" s="484"/>
      <c r="EN99" s="484"/>
      <c r="EO99" s="484"/>
      <c r="EP99" s="484"/>
      <c r="EQ99" s="484"/>
      <c r="ER99" s="484"/>
      <c r="ES99" s="484"/>
      <c r="ET99" s="484"/>
      <c r="EU99" s="484"/>
      <c r="EV99" s="484"/>
      <c r="EW99" s="484"/>
      <c r="EX99" s="484"/>
      <c r="EY99" s="484"/>
      <c r="EZ99" s="484"/>
      <c r="FA99" s="484"/>
      <c r="FB99" s="484"/>
      <c r="FC99" s="484"/>
      <c r="FD99" s="484"/>
      <c r="FE99" s="484"/>
      <c r="FF99" s="484"/>
      <c r="FG99" s="484"/>
      <c r="FH99" s="484"/>
      <c r="FI99" s="484"/>
      <c r="FJ99" s="484"/>
      <c r="FK99" s="484"/>
      <c r="FL99" s="484"/>
      <c r="FM99" s="484"/>
      <c r="FN99" s="484"/>
      <c r="FO99" s="484"/>
      <c r="FP99" s="484"/>
      <c r="FQ99" s="484"/>
      <c r="FR99" s="484"/>
      <c r="FS99" s="484"/>
      <c r="FT99" s="484"/>
      <c r="FU99" s="484"/>
      <c r="FV99" s="484"/>
      <c r="FW99" s="484"/>
    </row>
    <row r="100" spans="1:179" ht="23.15" customHeight="1" x14ac:dyDescent="0.3">
      <c r="A100" s="484"/>
      <c r="B100" s="98" t="s">
        <v>543</v>
      </c>
      <c r="C100" s="525">
        <v>441229</v>
      </c>
      <c r="D100" s="119"/>
      <c r="E100" s="406" t="s">
        <v>44</v>
      </c>
      <c r="F100" s="545" t="s">
        <v>186</v>
      </c>
      <c r="G100" s="552" t="s">
        <v>187</v>
      </c>
      <c r="H100" s="561">
        <v>1992</v>
      </c>
      <c r="I100" s="646" t="s">
        <v>188</v>
      </c>
      <c r="J100" s="578" t="s">
        <v>44</v>
      </c>
      <c r="K100" s="580">
        <v>63.41</v>
      </c>
      <c r="L100" s="456">
        <v>70</v>
      </c>
      <c r="M100" s="457">
        <v>73</v>
      </c>
      <c r="N100" s="457">
        <v>75</v>
      </c>
      <c r="O100" s="490">
        <f t="shared" si="36"/>
        <v>75</v>
      </c>
      <c r="P100" s="456">
        <v>90</v>
      </c>
      <c r="Q100" s="597">
        <v>-93</v>
      </c>
      <c r="R100" s="597">
        <v>-93</v>
      </c>
      <c r="S100" s="490">
        <f t="shared" si="37"/>
        <v>90</v>
      </c>
      <c r="T100" s="502">
        <f t="shared" si="43"/>
        <v>165</v>
      </c>
      <c r="U100" s="48" t="str">
        <f t="shared" si="39"/>
        <v>NAT + 10</v>
      </c>
      <c r="V100" s="48" t="str">
        <f>IF(E100=0," ",IF(E100="H",IF(H100&lt;1999,VLOOKUP(K100,Minimas!$A$15:$F$29,6),IF(AND(H100&gt;1998,H100&lt;2002),VLOOKUP(K100,Minimas!$A$15:$F$29,5),IF(AND(H100&gt;2001,H100&lt;2004),VLOOKUP(K100,Minimas!$A$15:$F$29,4),IF(AND(H100&gt;2003,H100&lt;2006),VLOOKUP(K100,Minimas!$A$15:$F$29,3),VLOOKUP(K100,Minimas!$A$15:$F$29,2))))),IF(H100&lt;1999,VLOOKUP(K100,Minimas!$G$15:$L$29,6),IF(AND(H100&gt;1998,H100&lt;2002),VLOOKUP(K100,Minimas!$G$15:$L$29,5),IF(AND(H100&gt;2001,H100&lt;2004),VLOOKUP(K100,Minimas!$G$15:$L$29,4),IF(AND(H100&gt;2003,H100&lt;2006),VLOOKUP(K100,Minimas!$G$15:$L$29,3),VLOOKUP(K100,Minimas!$G$15:$L$29,2)))))))</f>
        <v>SE F64</v>
      </c>
      <c r="W100" s="49">
        <f t="shared" si="40"/>
        <v>215.40188729848154</v>
      </c>
      <c r="X100" s="184">
        <v>43401</v>
      </c>
      <c r="Y100" s="278" t="s">
        <v>507</v>
      </c>
      <c r="Z100" s="278"/>
      <c r="AA100" s="232"/>
      <c r="AB100" s="230">
        <f>T100-HLOOKUP(V100,Minimas!$C$3:$CD$12,2,FALSE)</f>
        <v>95</v>
      </c>
      <c r="AC100" s="230">
        <f>T100-HLOOKUP(V100,Minimas!$C$3:$CD$12,3,FALSE)</f>
        <v>80</v>
      </c>
      <c r="AD100" s="230">
        <f>T100-HLOOKUP(V100,Minimas!$C$3:$CD$12,4,FALSE)</f>
        <v>65</v>
      </c>
      <c r="AE100" s="230">
        <f>T100-HLOOKUP(V100,Minimas!$C$3:$CD$12,5,FALSE)</f>
        <v>48</v>
      </c>
      <c r="AF100" s="230">
        <f>T100-HLOOKUP(V100,Minimas!$C$3:$CD$12,6,FALSE)</f>
        <v>28</v>
      </c>
      <c r="AG100" s="230">
        <f>T100-HLOOKUP(V100,Minimas!$C$3:$CD$12,7,FALSE)</f>
        <v>10</v>
      </c>
      <c r="AH100" s="230">
        <f>T100-HLOOKUP(V100,Minimas!$C$3:$CD$12,8,FALSE)</f>
        <v>-10</v>
      </c>
      <c r="AI100" s="230">
        <f>T100-HLOOKUP(V100,Minimas!$C$3:$CD$12,9,FALSE)</f>
        <v>-30</v>
      </c>
      <c r="AJ100" s="230">
        <f>T100-HLOOKUP(V100,Minimas!$C$3:$CD$12,10,FALSE)</f>
        <v>-45</v>
      </c>
      <c r="AK100" s="231" t="str">
        <f t="shared" si="44"/>
        <v>NAT +</v>
      </c>
      <c r="AL100" s="232"/>
      <c r="AM100" s="232" t="str">
        <f t="shared" si="41"/>
        <v>NAT +</v>
      </c>
      <c r="AN100" s="232">
        <f t="shared" si="42"/>
        <v>10</v>
      </c>
      <c r="AO100" s="485"/>
      <c r="AP100" s="485"/>
      <c r="AQ100" s="485"/>
      <c r="AR100" s="485"/>
      <c r="AS100" s="485"/>
      <c r="AT100" s="485"/>
      <c r="AU100" s="485"/>
      <c r="AV100" s="485"/>
      <c r="AW100" s="485"/>
      <c r="AX100" s="485"/>
      <c r="AY100" s="485"/>
      <c r="AZ100" s="485"/>
      <c r="BA100" s="485"/>
      <c r="BB100" s="485"/>
      <c r="BC100" s="485"/>
      <c r="BD100" s="485"/>
      <c r="BE100" s="485"/>
      <c r="BF100" s="485"/>
      <c r="BG100" s="485"/>
      <c r="BH100" s="485"/>
      <c r="BI100" s="485"/>
      <c r="BJ100" s="485"/>
      <c r="BK100" s="485"/>
      <c r="BL100" s="485"/>
      <c r="BM100" s="485"/>
      <c r="BN100" s="485"/>
      <c r="BO100" s="485"/>
      <c r="BP100" s="485"/>
      <c r="BQ100" s="485"/>
      <c r="BR100" s="485"/>
      <c r="BS100" s="485"/>
      <c r="BT100" s="485"/>
      <c r="BU100" s="485"/>
      <c r="BV100" s="485"/>
      <c r="BW100" s="485"/>
      <c r="BX100" s="485"/>
      <c r="BY100" s="485"/>
      <c r="BZ100" s="485"/>
      <c r="CA100" s="485"/>
      <c r="CB100" s="485"/>
      <c r="CC100" s="485"/>
      <c r="CD100" s="485"/>
      <c r="CE100" s="485"/>
      <c r="CF100" s="485"/>
      <c r="CG100" s="485"/>
      <c r="CH100" s="485"/>
      <c r="CI100" s="485"/>
      <c r="CJ100" s="485"/>
      <c r="CK100" s="485"/>
      <c r="CL100" s="485"/>
      <c r="CM100" s="485"/>
      <c r="CN100" s="485"/>
      <c r="CO100" s="485"/>
      <c r="CP100" s="485"/>
      <c r="CQ100" s="485"/>
      <c r="CR100" s="485"/>
      <c r="CS100" s="485"/>
      <c r="CT100" s="485"/>
      <c r="CU100" s="485"/>
      <c r="CV100" s="485"/>
      <c r="CW100" s="485"/>
      <c r="CX100" s="485"/>
      <c r="CY100" s="485"/>
      <c r="CZ100" s="485"/>
      <c r="DA100" s="485"/>
      <c r="DB100" s="485"/>
      <c r="DC100" s="485"/>
      <c r="DD100" s="485"/>
      <c r="DE100" s="485"/>
      <c r="DF100" s="485"/>
      <c r="DG100" s="485"/>
      <c r="DH100" s="485"/>
      <c r="DI100" s="485"/>
      <c r="DJ100" s="485"/>
      <c r="DK100" s="485"/>
      <c r="DL100" s="485"/>
      <c r="DM100" s="485"/>
      <c r="DN100" s="485"/>
      <c r="DO100" s="485"/>
      <c r="DP100" s="485"/>
      <c r="DQ100" s="485"/>
      <c r="DR100" s="485"/>
      <c r="DS100" s="485"/>
      <c r="DT100" s="485"/>
      <c r="DU100" s="484"/>
      <c r="DV100" s="484"/>
      <c r="DW100" s="484"/>
      <c r="DX100" s="484"/>
      <c r="DY100" s="484"/>
      <c r="DZ100" s="484"/>
      <c r="EA100" s="484"/>
      <c r="EB100" s="484"/>
      <c r="EC100" s="484"/>
      <c r="ED100" s="484"/>
      <c r="EE100" s="484"/>
      <c r="EF100" s="484"/>
      <c r="EG100" s="484"/>
      <c r="EH100" s="484"/>
      <c r="EI100" s="484"/>
      <c r="EJ100" s="484"/>
      <c r="EK100" s="484"/>
      <c r="EL100" s="484"/>
      <c r="EM100" s="484"/>
      <c r="EN100" s="484"/>
      <c r="EO100" s="484"/>
      <c r="EP100" s="484"/>
      <c r="EQ100" s="484"/>
      <c r="ER100" s="484"/>
      <c r="ES100" s="484"/>
      <c r="ET100" s="484"/>
      <c r="EU100" s="484"/>
      <c r="EV100" s="484"/>
      <c r="EW100" s="484"/>
      <c r="EX100" s="484"/>
      <c r="EY100" s="484"/>
      <c r="EZ100" s="484"/>
      <c r="FA100" s="484"/>
      <c r="FB100" s="484"/>
      <c r="FC100" s="484"/>
      <c r="FD100" s="484"/>
      <c r="FE100" s="484"/>
      <c r="FF100" s="484"/>
      <c r="FG100" s="484"/>
      <c r="FH100" s="484"/>
      <c r="FI100" s="484"/>
      <c r="FJ100" s="484"/>
      <c r="FK100" s="484"/>
      <c r="FL100" s="484"/>
      <c r="FM100" s="484"/>
      <c r="FN100" s="484"/>
      <c r="FO100" s="484"/>
      <c r="FP100" s="484"/>
      <c r="FQ100" s="484"/>
      <c r="FR100" s="484"/>
      <c r="FS100" s="484"/>
      <c r="FT100" s="484"/>
      <c r="FU100" s="484"/>
      <c r="FV100" s="484"/>
      <c r="FW100" s="484"/>
    </row>
    <row r="101" spans="1:179" ht="23.15" customHeight="1" x14ac:dyDescent="0.25">
      <c r="A101" s="484"/>
      <c r="B101" s="524" t="s">
        <v>543</v>
      </c>
      <c r="C101" s="429">
        <v>431354</v>
      </c>
      <c r="D101" s="530"/>
      <c r="E101" s="315" t="s">
        <v>44</v>
      </c>
      <c r="F101" s="319" t="s">
        <v>592</v>
      </c>
      <c r="G101" s="320" t="s">
        <v>593</v>
      </c>
      <c r="H101" s="306">
        <v>1997</v>
      </c>
      <c r="I101" s="683" t="s">
        <v>336</v>
      </c>
      <c r="J101" s="290" t="s">
        <v>44</v>
      </c>
      <c r="K101" s="488">
        <v>61.7</v>
      </c>
      <c r="L101" s="300">
        <v>68</v>
      </c>
      <c r="M101" s="301">
        <v>71</v>
      </c>
      <c r="N101" s="449">
        <v>-72</v>
      </c>
      <c r="O101" s="358">
        <f t="shared" si="36"/>
        <v>71</v>
      </c>
      <c r="P101" s="300">
        <v>78</v>
      </c>
      <c r="Q101" s="301">
        <v>84</v>
      </c>
      <c r="R101" s="449">
        <v>-85</v>
      </c>
      <c r="S101" s="358">
        <f t="shared" si="37"/>
        <v>84</v>
      </c>
      <c r="T101" s="364">
        <f t="shared" si="43"/>
        <v>155</v>
      </c>
      <c r="U101" s="360" t="str">
        <f t="shared" si="39"/>
        <v>NAT + 0</v>
      </c>
      <c r="V101" s="360" t="str">
        <f>IF(E101=0," ",IF(E101="H",IF(H101&lt;1999,VLOOKUP(K101,[14]Minimas!$A$15:$F$29,6),IF(AND(H101&gt;1998,H101&lt;2002),VLOOKUP(K101,[14]Minimas!$A$15:$F$29,5),IF(AND(H101&gt;2001,H101&lt;2004),VLOOKUP(K101,[14]Minimas!$A$15:$F$29,4),IF(AND(H101&gt;2003,H101&lt;2006),VLOOKUP(K101,[14]Minimas!$A$15:$F$29,3),VLOOKUP(K101,[14]Minimas!$A$15:$F$29,2))))),IF(H101&lt;1999,VLOOKUP(K101,[14]Minimas!$G$15:$L$29,6),IF(AND(H101&gt;1998,H101&lt;2002),VLOOKUP(K101,[14]Minimas!$G$15:$L$29,5),IF(AND(H101&gt;2001,H101&lt;2004),VLOOKUP(K101,[14]Minimas!$G$15:$L$29,4),IF(AND(H101&gt;2003,H101&lt;2006),VLOOKUP(K101,[14]Minimas!$G$15:$L$29,3),VLOOKUP(K101,[14]Minimas!$G$15:$L$29,2)))))))</f>
        <v>SE F64</v>
      </c>
      <c r="W101" s="361">
        <f t="shared" si="40"/>
        <v>205.759066530539</v>
      </c>
      <c r="X101" s="257">
        <v>43562</v>
      </c>
      <c r="Y101" s="261" t="s">
        <v>846</v>
      </c>
      <c r="Z101" s="261" t="s">
        <v>806</v>
      </c>
      <c r="AA101" s="232"/>
      <c r="AB101" s="230">
        <f>T101-HLOOKUP(V101,[14]Minimas!$C$3:$CD$12,2,FALSE)</f>
        <v>85</v>
      </c>
      <c r="AC101" s="230">
        <f>T101-HLOOKUP(V101,[14]Minimas!$C$3:$CD$12,3,FALSE)</f>
        <v>70</v>
      </c>
      <c r="AD101" s="230">
        <f>T101-HLOOKUP(V101,[14]Minimas!$C$3:$CD$12,4,FALSE)</f>
        <v>55</v>
      </c>
      <c r="AE101" s="230">
        <f>T101-HLOOKUP(V101,[14]Minimas!$C$3:$CD$12,5,FALSE)</f>
        <v>38</v>
      </c>
      <c r="AF101" s="230">
        <f>T101-HLOOKUP(V101,[14]Minimas!$C$3:$CD$12,6,FALSE)</f>
        <v>18</v>
      </c>
      <c r="AG101" s="230">
        <f>T101-HLOOKUP(V101,[14]Minimas!$C$3:$CD$12,7,FALSE)</f>
        <v>0</v>
      </c>
      <c r="AH101" s="230">
        <f>T101-HLOOKUP(V101,[14]Minimas!$C$3:$CD$12,8,FALSE)</f>
        <v>-20</v>
      </c>
      <c r="AI101" s="230">
        <f>T101-HLOOKUP(V101,[14]Minimas!$C$3:$CD$12,9,FALSE)</f>
        <v>-40</v>
      </c>
      <c r="AJ101" s="230">
        <f>T101-HLOOKUP(V101,[14]Minimas!$C$3:$CD$12,10,FALSE)</f>
        <v>-55</v>
      </c>
      <c r="AK101" s="231" t="str">
        <f t="shared" si="44"/>
        <v>NAT +</v>
      </c>
      <c r="AL101" s="232"/>
      <c r="AM101" s="232" t="str">
        <f t="shared" si="41"/>
        <v>NAT +</v>
      </c>
      <c r="AN101" s="232">
        <f t="shared" si="42"/>
        <v>0</v>
      </c>
      <c r="AO101" s="485"/>
      <c r="AP101" s="485"/>
      <c r="AQ101" s="485"/>
      <c r="AR101" s="485"/>
      <c r="AS101" s="485"/>
      <c r="AT101" s="485"/>
      <c r="AU101" s="485"/>
      <c r="AV101" s="485"/>
      <c r="AW101" s="485"/>
      <c r="AX101" s="485"/>
      <c r="AY101" s="485"/>
      <c r="AZ101" s="485"/>
      <c r="BA101" s="485"/>
      <c r="BB101" s="485"/>
      <c r="BC101" s="485"/>
      <c r="BD101" s="485"/>
      <c r="BE101" s="485"/>
      <c r="BF101" s="485"/>
      <c r="BG101" s="485"/>
      <c r="BH101" s="485"/>
      <c r="BI101" s="485"/>
      <c r="BJ101" s="485"/>
      <c r="BK101" s="485"/>
      <c r="BL101" s="485"/>
      <c r="BM101" s="485"/>
      <c r="BN101" s="485"/>
      <c r="BO101" s="485"/>
      <c r="BP101" s="485"/>
      <c r="BQ101" s="485"/>
      <c r="BR101" s="485"/>
      <c r="BS101" s="485"/>
      <c r="BT101" s="485"/>
      <c r="BU101" s="485"/>
      <c r="BV101" s="485"/>
      <c r="BW101" s="485"/>
      <c r="BX101" s="485"/>
      <c r="BY101" s="485"/>
      <c r="BZ101" s="485"/>
      <c r="CA101" s="485"/>
      <c r="CB101" s="485"/>
      <c r="CC101" s="485"/>
      <c r="CD101" s="485"/>
      <c r="CE101" s="485"/>
      <c r="CF101" s="485"/>
      <c r="CG101" s="485"/>
      <c r="CH101" s="485"/>
      <c r="CI101" s="485"/>
      <c r="CJ101" s="485"/>
      <c r="CK101" s="485"/>
      <c r="CL101" s="485"/>
      <c r="CM101" s="485"/>
      <c r="CN101" s="485"/>
      <c r="CO101" s="485"/>
      <c r="CP101" s="485"/>
      <c r="CQ101" s="485"/>
      <c r="CR101" s="485"/>
      <c r="CS101" s="485"/>
      <c r="CT101" s="485"/>
      <c r="CU101" s="485"/>
      <c r="CV101" s="485"/>
      <c r="CW101" s="485"/>
      <c r="CX101" s="485"/>
      <c r="CY101" s="485"/>
      <c r="CZ101" s="485"/>
      <c r="DA101" s="485"/>
      <c r="DB101" s="485"/>
      <c r="DC101" s="485"/>
      <c r="DD101" s="485"/>
      <c r="DE101" s="485"/>
      <c r="DF101" s="485"/>
      <c r="DG101" s="485"/>
      <c r="DH101" s="485"/>
      <c r="DI101" s="485"/>
      <c r="DJ101" s="485"/>
      <c r="DK101" s="485"/>
      <c r="DL101" s="485"/>
      <c r="DM101" s="485"/>
      <c r="DN101" s="485"/>
      <c r="DO101" s="485"/>
      <c r="DP101" s="485"/>
      <c r="DQ101" s="485"/>
      <c r="DR101" s="485"/>
      <c r="DS101" s="485"/>
      <c r="DT101" s="485"/>
      <c r="DU101" s="484"/>
      <c r="DV101" s="484"/>
      <c r="DW101" s="484"/>
      <c r="DX101" s="484"/>
      <c r="DY101" s="484"/>
      <c r="DZ101" s="484"/>
      <c r="EA101" s="484"/>
      <c r="EB101" s="484"/>
      <c r="EC101" s="484"/>
      <c r="ED101" s="484"/>
      <c r="EE101" s="484"/>
      <c r="EF101" s="484"/>
      <c r="EG101" s="484"/>
      <c r="EH101" s="484"/>
      <c r="EI101" s="484"/>
      <c r="EJ101" s="484"/>
      <c r="EK101" s="484"/>
      <c r="EL101" s="484"/>
      <c r="EM101" s="484"/>
      <c r="EN101" s="484"/>
      <c r="EO101" s="484"/>
      <c r="EP101" s="484"/>
      <c r="EQ101" s="484"/>
      <c r="ER101" s="484"/>
      <c r="ES101" s="484"/>
      <c r="ET101" s="484"/>
      <c r="EU101" s="484"/>
      <c r="EV101" s="484"/>
      <c r="EW101" s="484"/>
      <c r="EX101" s="484"/>
      <c r="EY101" s="484"/>
      <c r="EZ101" s="484"/>
      <c r="FA101" s="484"/>
      <c r="FB101" s="484"/>
      <c r="FC101" s="484"/>
      <c r="FD101" s="484"/>
      <c r="FE101" s="484"/>
      <c r="FF101" s="484"/>
      <c r="FG101" s="484"/>
      <c r="FH101" s="484"/>
      <c r="FI101" s="484"/>
      <c r="FJ101" s="484"/>
      <c r="FK101" s="484"/>
      <c r="FL101" s="484"/>
      <c r="FM101" s="484"/>
      <c r="FN101" s="484"/>
      <c r="FO101" s="484"/>
      <c r="FP101" s="484"/>
      <c r="FQ101" s="484"/>
      <c r="FR101" s="484"/>
      <c r="FS101" s="484"/>
      <c r="FT101" s="484"/>
      <c r="FU101" s="484"/>
      <c r="FV101" s="484"/>
      <c r="FW101" s="484"/>
    </row>
    <row r="102" spans="1:179" ht="23.15" customHeight="1" x14ac:dyDescent="0.3">
      <c r="A102" s="441"/>
      <c r="B102" s="98" t="s">
        <v>543</v>
      </c>
      <c r="C102" s="525">
        <v>430811</v>
      </c>
      <c r="D102" s="122"/>
      <c r="E102" s="406" t="s">
        <v>44</v>
      </c>
      <c r="F102" s="414" t="s">
        <v>189</v>
      </c>
      <c r="G102" s="415" t="s">
        <v>190</v>
      </c>
      <c r="H102" s="416">
        <v>1995</v>
      </c>
      <c r="I102" s="575" t="s">
        <v>170</v>
      </c>
      <c r="J102" s="578" t="s">
        <v>44</v>
      </c>
      <c r="K102" s="580">
        <v>61.7</v>
      </c>
      <c r="L102" s="456">
        <v>64</v>
      </c>
      <c r="M102" s="457">
        <v>67</v>
      </c>
      <c r="N102" s="457">
        <v>-71</v>
      </c>
      <c r="O102" s="52">
        <f t="shared" si="36"/>
        <v>67</v>
      </c>
      <c r="P102" s="456">
        <v>83</v>
      </c>
      <c r="Q102" s="457">
        <v>87</v>
      </c>
      <c r="R102" s="605">
        <v>-90</v>
      </c>
      <c r="S102" s="52">
        <f t="shared" si="37"/>
        <v>87</v>
      </c>
      <c r="T102" s="502">
        <f t="shared" si="43"/>
        <v>154</v>
      </c>
      <c r="U102" s="48" t="str">
        <f t="shared" si="39"/>
        <v>FED + 17</v>
      </c>
      <c r="V102" s="48" t="str">
        <f>IF(E102=0," ",IF(E102="H",IF(H102&lt;1999,VLOOKUP(K102,Minimas!$A$15:$F$29,6),IF(AND(H102&gt;1998,H102&lt;2002),VLOOKUP(K102,Minimas!$A$15:$F$29,5),IF(AND(H102&gt;2001,H102&lt;2004),VLOOKUP(K102,Minimas!$A$15:$F$29,4),IF(AND(H102&gt;2003,H102&lt;2006),VLOOKUP(K102,Minimas!$A$15:$F$29,3),VLOOKUP(K102,Minimas!$A$15:$F$29,2))))),IF(H102&lt;1999,VLOOKUP(K102,Minimas!$G$15:$L$29,6),IF(AND(H102&gt;1998,H102&lt;2002),VLOOKUP(K102,Minimas!$G$15:$L$29,5),IF(AND(H102&gt;2001,H102&lt;2004),VLOOKUP(K102,Minimas!$G$15:$L$29,4),IF(AND(H102&gt;2003,H102&lt;2006),VLOOKUP(K102,Minimas!$G$15:$L$29,3),VLOOKUP(K102,Minimas!$G$15:$L$29,2)))))))</f>
        <v>SE F64</v>
      </c>
      <c r="W102" s="49">
        <f t="shared" si="40"/>
        <v>204.43158868195488</v>
      </c>
      <c r="X102" s="184">
        <v>43435</v>
      </c>
      <c r="Y102" s="186" t="s">
        <v>526</v>
      </c>
      <c r="Z102" s="278" t="s">
        <v>511</v>
      </c>
      <c r="AA102" s="467"/>
      <c r="AB102" s="230">
        <f>T102-HLOOKUP(V102,Minimas!$C$3:$CD$12,2,FALSE)</f>
        <v>84</v>
      </c>
      <c r="AC102" s="230">
        <f>T102-HLOOKUP(V102,Minimas!$C$3:$CD$12,3,FALSE)</f>
        <v>69</v>
      </c>
      <c r="AD102" s="230">
        <f>T102-HLOOKUP(V102,Minimas!$C$3:$CD$12,4,FALSE)</f>
        <v>54</v>
      </c>
      <c r="AE102" s="230">
        <f>T102-HLOOKUP(V102,Minimas!$C$3:$CD$12,5,FALSE)</f>
        <v>37</v>
      </c>
      <c r="AF102" s="230">
        <f>T102-HLOOKUP(V102,Minimas!$C$3:$CD$12,6,FALSE)</f>
        <v>17</v>
      </c>
      <c r="AG102" s="230">
        <f>T102-HLOOKUP(V102,Minimas!$C$3:$CD$12,7,FALSE)</f>
        <v>-1</v>
      </c>
      <c r="AH102" s="230">
        <f>T102-HLOOKUP(V102,Minimas!$C$3:$CD$12,8,FALSE)</f>
        <v>-21</v>
      </c>
      <c r="AI102" s="230">
        <f>T102-HLOOKUP(V102,Minimas!$C$3:$CD$12,9,FALSE)</f>
        <v>-41</v>
      </c>
      <c r="AJ102" s="230">
        <f>T102-HLOOKUP(V102,Minimas!$C$3:$CD$12,10,FALSE)</f>
        <v>-56</v>
      </c>
      <c r="AK102" s="231" t="str">
        <f t="shared" si="44"/>
        <v>FED +</v>
      </c>
      <c r="AL102" s="232"/>
      <c r="AM102" s="232" t="str">
        <f t="shared" si="41"/>
        <v>FED +</v>
      </c>
      <c r="AN102" s="232">
        <f t="shared" si="42"/>
        <v>17</v>
      </c>
      <c r="AO102" s="485"/>
      <c r="AP102" s="485"/>
      <c r="AQ102" s="485"/>
      <c r="AR102" s="485"/>
      <c r="AS102" s="485"/>
      <c r="AT102" s="485"/>
      <c r="AU102" s="485"/>
      <c r="AV102" s="485"/>
      <c r="AW102" s="485"/>
      <c r="AX102" s="485"/>
      <c r="AY102" s="485"/>
      <c r="AZ102" s="485"/>
      <c r="BA102" s="485"/>
      <c r="BB102" s="485"/>
      <c r="BC102" s="485"/>
      <c r="BD102" s="485"/>
      <c r="BE102" s="485"/>
      <c r="BF102" s="485"/>
      <c r="BG102" s="485"/>
      <c r="BH102" s="485"/>
      <c r="BI102" s="485"/>
      <c r="BJ102" s="485"/>
      <c r="BK102" s="485"/>
      <c r="BL102" s="485"/>
      <c r="BM102" s="485"/>
      <c r="BN102" s="485"/>
      <c r="BO102" s="485"/>
      <c r="BP102" s="485"/>
      <c r="BQ102" s="485"/>
      <c r="BR102" s="485"/>
      <c r="BS102" s="485"/>
      <c r="BT102" s="485"/>
      <c r="BU102" s="485"/>
      <c r="BV102" s="485"/>
      <c r="BW102" s="485"/>
      <c r="BX102" s="485"/>
      <c r="BY102" s="485"/>
      <c r="BZ102" s="485"/>
      <c r="CA102" s="485"/>
      <c r="CB102" s="485"/>
      <c r="CC102" s="485"/>
      <c r="CD102" s="485"/>
      <c r="CE102" s="485"/>
      <c r="CF102" s="485"/>
      <c r="CG102" s="485"/>
      <c r="CH102" s="485"/>
      <c r="CI102" s="485"/>
      <c r="CJ102" s="485"/>
      <c r="CK102" s="485"/>
      <c r="CL102" s="485"/>
      <c r="CM102" s="485"/>
      <c r="CN102" s="485"/>
      <c r="CO102" s="485"/>
      <c r="CP102" s="485"/>
      <c r="CQ102" s="485"/>
      <c r="CR102" s="485"/>
      <c r="CS102" s="485"/>
      <c r="CT102" s="485"/>
      <c r="CU102" s="485"/>
      <c r="CV102" s="485"/>
      <c r="CW102" s="485"/>
      <c r="CX102" s="485"/>
      <c r="CY102" s="485"/>
      <c r="CZ102" s="485"/>
      <c r="DA102" s="485"/>
      <c r="DB102" s="485"/>
      <c r="DC102" s="485"/>
      <c r="DD102" s="485"/>
      <c r="DE102" s="485"/>
      <c r="DF102" s="485"/>
      <c r="DG102" s="485"/>
      <c r="DH102" s="485"/>
      <c r="DI102" s="485"/>
      <c r="DJ102" s="485"/>
      <c r="DK102" s="485"/>
      <c r="DL102" s="485"/>
      <c r="DM102" s="485"/>
      <c r="DN102" s="485"/>
      <c r="DO102" s="485"/>
      <c r="DP102" s="485"/>
      <c r="DQ102" s="485"/>
      <c r="DR102" s="485"/>
      <c r="DS102" s="485"/>
      <c r="DT102" s="485"/>
      <c r="DU102" s="484"/>
      <c r="DV102" s="484"/>
      <c r="DW102" s="484"/>
      <c r="DX102" s="484"/>
      <c r="DY102" s="484"/>
      <c r="DZ102" s="484"/>
      <c r="EA102" s="484"/>
      <c r="EB102" s="484"/>
      <c r="EC102" s="484"/>
      <c r="ED102" s="484"/>
      <c r="EE102" s="484"/>
      <c r="EF102" s="484"/>
      <c r="EG102" s="484"/>
      <c r="EH102" s="484"/>
      <c r="EI102" s="484"/>
      <c r="EJ102" s="484"/>
      <c r="EK102" s="484"/>
      <c r="EL102" s="484"/>
      <c r="EM102" s="484"/>
      <c r="EN102" s="484"/>
      <c r="EO102" s="484"/>
      <c r="EP102" s="484"/>
      <c r="EQ102" s="484"/>
      <c r="ER102" s="484"/>
      <c r="ES102" s="484"/>
      <c r="ET102" s="484"/>
      <c r="EU102" s="484"/>
      <c r="EV102" s="484"/>
      <c r="EW102" s="484"/>
      <c r="EX102" s="484"/>
      <c r="EY102" s="484"/>
      <c r="EZ102" s="484"/>
      <c r="FA102" s="484"/>
      <c r="FB102" s="484"/>
      <c r="FC102" s="484"/>
      <c r="FD102" s="484"/>
      <c r="FE102" s="484"/>
      <c r="FF102" s="484"/>
      <c r="FG102" s="484"/>
      <c r="FH102" s="484"/>
      <c r="FI102" s="484"/>
      <c r="FJ102" s="484"/>
      <c r="FK102" s="484"/>
      <c r="FL102" s="484"/>
      <c r="FM102" s="484"/>
      <c r="FN102" s="484"/>
      <c r="FO102" s="484"/>
      <c r="FP102" s="484"/>
      <c r="FQ102" s="484"/>
      <c r="FR102" s="484"/>
      <c r="FS102" s="484"/>
      <c r="FT102" s="484"/>
      <c r="FU102" s="484"/>
      <c r="FV102" s="484"/>
      <c r="FW102" s="484"/>
    </row>
    <row r="103" spans="1:179" ht="23.15" customHeight="1" x14ac:dyDescent="0.3">
      <c r="A103" s="484"/>
      <c r="B103" s="98" t="s">
        <v>543</v>
      </c>
      <c r="C103" s="499">
        <v>230430</v>
      </c>
      <c r="D103" s="167"/>
      <c r="E103" s="323" t="s">
        <v>44</v>
      </c>
      <c r="F103" s="328" t="s">
        <v>537</v>
      </c>
      <c r="G103" s="487" t="s">
        <v>138</v>
      </c>
      <c r="H103" s="563">
        <v>1991</v>
      </c>
      <c r="I103" s="571" t="s">
        <v>139</v>
      </c>
      <c r="J103" s="498" t="s">
        <v>44</v>
      </c>
      <c r="K103" s="297">
        <v>62.8</v>
      </c>
      <c r="L103" s="300">
        <v>64</v>
      </c>
      <c r="M103" s="301">
        <v>67</v>
      </c>
      <c r="N103" s="301">
        <v>70</v>
      </c>
      <c r="O103" s="490">
        <f t="shared" si="36"/>
        <v>70</v>
      </c>
      <c r="P103" s="300">
        <v>75</v>
      </c>
      <c r="Q103" s="301">
        <v>78</v>
      </c>
      <c r="R103" s="449">
        <v>-81</v>
      </c>
      <c r="S103" s="490">
        <f t="shared" si="37"/>
        <v>78</v>
      </c>
      <c r="T103" s="502">
        <f t="shared" si="43"/>
        <v>148</v>
      </c>
      <c r="U103" s="48" t="str">
        <f t="shared" si="39"/>
        <v>FED + 11</v>
      </c>
      <c r="V103" s="48" t="str">
        <f>IF(E103=0," ",IF(E103="H",IF(H103&lt;1999,VLOOKUP(K103,Minimas!$A$15:$F$29,6),IF(AND(H103&gt;1998,H103&lt;2002),VLOOKUP(K103,Minimas!$A$15:$F$29,5),IF(AND(H103&gt;2001,H103&lt;2004),VLOOKUP(K103,Minimas!$A$15:$F$29,4),IF(AND(H103&gt;2003,H103&lt;2006),VLOOKUP(K103,Minimas!$A$15:$F$29,3),VLOOKUP(K103,Minimas!$A$15:$F$29,2))))),IF(H103&lt;1999,VLOOKUP(K103,Minimas!$G$15:$L$29,6),IF(AND(H103&gt;1998,H103&lt;2002),VLOOKUP(K103,Minimas!$G$15:$L$29,5),IF(AND(H103&gt;2001,H103&lt;2004),VLOOKUP(K103,Minimas!$G$15:$L$29,4),IF(AND(H103&gt;2003,H103&lt;2006),VLOOKUP(K103,Minimas!$G$15:$L$29,3),VLOOKUP(K103,Minimas!$G$15:$L$29,2)))))))</f>
        <v>SE F64</v>
      </c>
      <c r="W103" s="49">
        <f t="shared" si="40"/>
        <v>194.34338117787695</v>
      </c>
      <c r="X103" s="184">
        <v>43484</v>
      </c>
      <c r="Y103" s="278" t="s">
        <v>545</v>
      </c>
      <c r="Z103" s="278" t="s">
        <v>514</v>
      </c>
      <c r="AA103" s="467"/>
      <c r="AB103" s="230">
        <f>T103-HLOOKUP(V103,Minimas!$C$3:$CD$12,2,FALSE)</f>
        <v>78</v>
      </c>
      <c r="AC103" s="230">
        <f>T103-HLOOKUP(V103,Minimas!$C$3:$CD$12,3,FALSE)</f>
        <v>63</v>
      </c>
      <c r="AD103" s="230">
        <f>T103-HLOOKUP(V103,Minimas!$C$3:$CD$12,4,FALSE)</f>
        <v>48</v>
      </c>
      <c r="AE103" s="230">
        <f>T103-HLOOKUP(V103,Minimas!$C$3:$CD$12,5,FALSE)</f>
        <v>31</v>
      </c>
      <c r="AF103" s="230">
        <f>T103-HLOOKUP(V103,Minimas!$C$3:$CD$12,6,FALSE)</f>
        <v>11</v>
      </c>
      <c r="AG103" s="230">
        <f>T103-HLOOKUP(V103,Minimas!$C$3:$CD$12,7,FALSE)</f>
        <v>-7</v>
      </c>
      <c r="AH103" s="230">
        <f>T103-HLOOKUP(V103,Minimas!$C$3:$CD$12,8,FALSE)</f>
        <v>-27</v>
      </c>
      <c r="AI103" s="230">
        <f>T103-HLOOKUP(V103,Minimas!$C$3:$CD$12,9,FALSE)</f>
        <v>-47</v>
      </c>
      <c r="AJ103" s="230">
        <f>T103-HLOOKUP(V103,Minimas!$C$3:$CD$12,10,FALSE)</f>
        <v>-62</v>
      </c>
      <c r="AK103" s="231" t="str">
        <f t="shared" si="44"/>
        <v>FED +</v>
      </c>
      <c r="AL103" s="232"/>
      <c r="AM103" s="232" t="str">
        <f t="shared" si="41"/>
        <v>FED +</v>
      </c>
      <c r="AN103" s="232">
        <f t="shared" si="42"/>
        <v>11</v>
      </c>
      <c r="AO103" s="485"/>
      <c r="AP103" s="485"/>
      <c r="AQ103" s="485"/>
      <c r="AR103" s="485"/>
      <c r="AS103" s="485"/>
      <c r="AT103" s="485"/>
      <c r="AU103" s="485"/>
      <c r="AV103" s="485"/>
      <c r="AW103" s="485"/>
      <c r="AX103" s="485"/>
      <c r="AY103" s="485"/>
      <c r="AZ103" s="485"/>
      <c r="BA103" s="485"/>
      <c r="BB103" s="485"/>
      <c r="BC103" s="485"/>
      <c r="BD103" s="485"/>
      <c r="BE103" s="485"/>
      <c r="BF103" s="485"/>
      <c r="BG103" s="485"/>
      <c r="BH103" s="485"/>
      <c r="BI103" s="485"/>
      <c r="BJ103" s="485"/>
      <c r="BK103" s="485"/>
      <c r="BL103" s="485"/>
      <c r="BM103" s="485"/>
      <c r="BN103" s="485"/>
      <c r="BO103" s="485"/>
      <c r="BP103" s="485"/>
      <c r="BQ103" s="485"/>
      <c r="BR103" s="485"/>
      <c r="BS103" s="485"/>
      <c r="BT103" s="485"/>
      <c r="BU103" s="485"/>
      <c r="BV103" s="485"/>
      <c r="BW103" s="485"/>
      <c r="BX103" s="485"/>
      <c r="BY103" s="485"/>
      <c r="BZ103" s="485"/>
      <c r="CA103" s="485"/>
      <c r="CB103" s="485"/>
      <c r="CC103" s="485"/>
      <c r="CD103" s="485"/>
      <c r="CE103" s="485"/>
      <c r="CF103" s="485"/>
      <c r="CG103" s="485"/>
      <c r="CH103" s="485"/>
      <c r="CI103" s="485"/>
      <c r="CJ103" s="485"/>
      <c r="CK103" s="485"/>
      <c r="CL103" s="485"/>
      <c r="CM103" s="485"/>
      <c r="CN103" s="485"/>
      <c r="CO103" s="485"/>
      <c r="CP103" s="485"/>
      <c r="CQ103" s="485"/>
      <c r="CR103" s="485"/>
      <c r="CS103" s="485"/>
      <c r="CT103" s="485"/>
      <c r="CU103" s="485"/>
      <c r="CV103" s="485"/>
      <c r="CW103" s="485"/>
      <c r="CX103" s="485"/>
      <c r="CY103" s="485"/>
      <c r="CZ103" s="485"/>
      <c r="DA103" s="485"/>
      <c r="DB103" s="485"/>
      <c r="DC103" s="485"/>
      <c r="DD103" s="485"/>
      <c r="DE103" s="485"/>
      <c r="DF103" s="485"/>
      <c r="DG103" s="485"/>
      <c r="DH103" s="485"/>
      <c r="DI103" s="485"/>
      <c r="DJ103" s="485"/>
      <c r="DK103" s="485"/>
      <c r="DL103" s="485"/>
      <c r="DM103" s="485"/>
      <c r="DN103" s="485"/>
      <c r="DO103" s="485"/>
      <c r="DP103" s="485"/>
      <c r="DQ103" s="485"/>
      <c r="DR103" s="485"/>
      <c r="DS103" s="485"/>
      <c r="DT103" s="485"/>
      <c r="DU103" s="484"/>
      <c r="DV103" s="484"/>
      <c r="DW103" s="484"/>
      <c r="DX103" s="484"/>
      <c r="DY103" s="484"/>
      <c r="DZ103" s="484"/>
      <c r="EA103" s="484"/>
      <c r="EB103" s="484"/>
      <c r="EC103" s="484"/>
      <c r="ED103" s="484"/>
      <c r="EE103" s="484"/>
      <c r="EF103" s="484"/>
      <c r="EG103" s="484"/>
      <c r="EH103" s="484"/>
      <c r="EI103" s="484"/>
      <c r="EJ103" s="484"/>
      <c r="EK103" s="484"/>
      <c r="EL103" s="484"/>
      <c r="EM103" s="484"/>
      <c r="EN103" s="484"/>
      <c r="EO103" s="484"/>
      <c r="EP103" s="484"/>
      <c r="EQ103" s="484"/>
      <c r="ER103" s="484"/>
      <c r="ES103" s="484"/>
      <c r="ET103" s="484"/>
      <c r="EU103" s="484"/>
      <c r="EV103" s="484"/>
      <c r="EW103" s="484"/>
      <c r="EX103" s="484"/>
      <c r="EY103" s="484"/>
      <c r="EZ103" s="484"/>
      <c r="FA103" s="484"/>
      <c r="FB103" s="484"/>
      <c r="FC103" s="484"/>
      <c r="FD103" s="484"/>
      <c r="FE103" s="484"/>
      <c r="FF103" s="484"/>
      <c r="FG103" s="484"/>
      <c r="FH103" s="484"/>
      <c r="FI103" s="484"/>
      <c r="FJ103" s="484"/>
      <c r="FK103" s="484"/>
      <c r="FL103" s="484"/>
      <c r="FM103" s="484"/>
      <c r="FN103" s="484"/>
      <c r="FO103" s="484"/>
      <c r="FP103" s="484"/>
      <c r="FQ103" s="484"/>
      <c r="FR103" s="484"/>
      <c r="FS103" s="484"/>
      <c r="FT103" s="484"/>
      <c r="FU103" s="484"/>
      <c r="FV103" s="484"/>
      <c r="FW103" s="484"/>
    </row>
    <row r="104" spans="1:179" ht="23.15" customHeight="1" x14ac:dyDescent="0.25">
      <c r="A104" s="484"/>
      <c r="B104" s="516" t="s">
        <v>543</v>
      </c>
      <c r="C104" s="474">
        <v>444665</v>
      </c>
      <c r="D104" s="531"/>
      <c r="E104" s="315" t="s">
        <v>44</v>
      </c>
      <c r="F104" s="368" t="s">
        <v>378</v>
      </c>
      <c r="G104" s="491" t="s">
        <v>594</v>
      </c>
      <c r="H104" s="559">
        <v>1998</v>
      </c>
      <c r="I104" s="648" t="s">
        <v>587</v>
      </c>
      <c r="J104" s="497" t="s">
        <v>44</v>
      </c>
      <c r="K104" s="294">
        <v>63.6</v>
      </c>
      <c r="L104" s="295">
        <v>60</v>
      </c>
      <c r="M104" s="296">
        <v>64</v>
      </c>
      <c r="N104" s="296">
        <v>67</v>
      </c>
      <c r="O104" s="363">
        <f t="shared" si="36"/>
        <v>67</v>
      </c>
      <c r="P104" s="295">
        <v>81</v>
      </c>
      <c r="Q104" s="296">
        <v>-85</v>
      </c>
      <c r="R104" s="296">
        <v>-85</v>
      </c>
      <c r="S104" s="363">
        <f t="shared" si="37"/>
        <v>81</v>
      </c>
      <c r="T104" s="364">
        <f t="shared" si="43"/>
        <v>148</v>
      </c>
      <c r="U104" s="360" t="str">
        <f t="shared" si="39"/>
        <v>FED + 11</v>
      </c>
      <c r="V104" s="360" t="str">
        <f>IF(E104=0," ",IF(E104="H",IF(H104&lt;1999,VLOOKUP(K104,[15]Minimas!$A$15:$F$29,6),IF(AND(H104&gt;1998,H104&lt;2002),VLOOKUP(K104,[15]Minimas!$A$15:$F$29,5),IF(AND(H104&gt;2001,H104&lt;2004),VLOOKUP(K104,[15]Minimas!$A$15:$F$29,4),IF(AND(H104&gt;2003,H104&lt;2006),VLOOKUP(K104,[15]Minimas!$A$15:$F$29,3),VLOOKUP(K104,[15]Minimas!$A$15:$F$29,2))))),IF(H104&lt;1999,VLOOKUP(K104,[15]Minimas!$G$15:$L$29,6),IF(AND(H104&gt;1998,H104&lt;2002),VLOOKUP(K104,[15]Minimas!$G$15:$L$29,5),IF(AND(H104&gt;2001,H104&lt;2004),VLOOKUP(K104,[15]Minimas!$G$15:$L$29,4),IF(AND(H104&gt;2003,H104&lt;2006),VLOOKUP(K104,[15]Minimas!$G$15:$L$29,3),VLOOKUP(K104,[15]Minimas!$G$15:$L$29,2)))))))</f>
        <v>SE F64</v>
      </c>
      <c r="W104" s="366">
        <f t="shared" si="40"/>
        <v>192.86168019122499</v>
      </c>
      <c r="X104" s="257">
        <v>43526</v>
      </c>
      <c r="Y104" s="261" t="s">
        <v>705</v>
      </c>
      <c r="Z104" s="261" t="s">
        <v>711</v>
      </c>
      <c r="AA104" s="232"/>
      <c r="AB104" s="230">
        <f>T104-HLOOKUP(V104,[15]Minimas!$C$3:$CD$12,2,FALSE)</f>
        <v>78</v>
      </c>
      <c r="AC104" s="230">
        <f>T104-HLOOKUP(V104,[15]Minimas!$C$3:$CD$12,3,FALSE)</f>
        <v>63</v>
      </c>
      <c r="AD104" s="230">
        <f>T104-HLOOKUP(V104,[15]Minimas!$C$3:$CD$12,4,FALSE)</f>
        <v>48</v>
      </c>
      <c r="AE104" s="230">
        <f>T104-HLOOKUP(V104,[15]Minimas!$C$3:$CD$12,5,FALSE)</f>
        <v>31</v>
      </c>
      <c r="AF104" s="230">
        <f>T104-HLOOKUP(V104,[15]Minimas!$C$3:$CD$12,6,FALSE)</f>
        <v>11</v>
      </c>
      <c r="AG104" s="230">
        <f>T104-HLOOKUP(V104,[15]Minimas!$C$3:$CD$12,7,FALSE)</f>
        <v>-7</v>
      </c>
      <c r="AH104" s="230">
        <f>T104-HLOOKUP(V104,[15]Minimas!$C$3:$CD$12,8,FALSE)</f>
        <v>-27</v>
      </c>
      <c r="AI104" s="230">
        <f>T104-HLOOKUP(V104,[15]Minimas!$C$3:$CD$12,9,FALSE)</f>
        <v>-47</v>
      </c>
      <c r="AJ104" s="230">
        <f>T104-HLOOKUP(V104,[15]Minimas!$C$3:$CD$12,10,FALSE)</f>
        <v>-62</v>
      </c>
      <c r="AK104" s="231" t="str">
        <f t="shared" si="44"/>
        <v>FED +</v>
      </c>
      <c r="AL104" s="232"/>
      <c r="AM104" s="232" t="str">
        <f t="shared" si="41"/>
        <v>FED +</v>
      </c>
      <c r="AN104" s="232">
        <f t="shared" si="42"/>
        <v>11</v>
      </c>
      <c r="AO104" s="485"/>
      <c r="AP104" s="485"/>
      <c r="AQ104" s="485"/>
      <c r="AR104" s="485"/>
      <c r="AS104" s="485"/>
      <c r="AT104" s="485"/>
      <c r="AU104" s="485"/>
      <c r="AV104" s="485"/>
      <c r="AW104" s="485"/>
      <c r="AX104" s="485"/>
      <c r="AY104" s="485"/>
      <c r="AZ104" s="485"/>
      <c r="BA104" s="485"/>
      <c r="BB104" s="485"/>
      <c r="BC104" s="485"/>
      <c r="BD104" s="485"/>
      <c r="BE104" s="485"/>
      <c r="BF104" s="485"/>
      <c r="BG104" s="485"/>
      <c r="BH104" s="485"/>
      <c r="BI104" s="485"/>
      <c r="BJ104" s="485"/>
      <c r="BK104" s="485"/>
      <c r="BL104" s="485"/>
      <c r="BM104" s="485"/>
      <c r="BN104" s="485"/>
      <c r="BO104" s="485"/>
      <c r="BP104" s="485"/>
      <c r="BQ104" s="485"/>
      <c r="BR104" s="485"/>
      <c r="BS104" s="485"/>
      <c r="BT104" s="485"/>
      <c r="BU104" s="485"/>
      <c r="BV104" s="485"/>
      <c r="BW104" s="485"/>
      <c r="BX104" s="485"/>
      <c r="BY104" s="485"/>
      <c r="BZ104" s="485"/>
      <c r="CA104" s="485"/>
      <c r="CB104" s="485"/>
      <c r="CC104" s="485"/>
      <c r="CD104" s="485"/>
      <c r="CE104" s="485"/>
      <c r="CF104" s="485"/>
      <c r="CG104" s="485"/>
      <c r="CH104" s="485"/>
      <c r="CI104" s="485"/>
      <c r="CJ104" s="485"/>
      <c r="CK104" s="485"/>
      <c r="CL104" s="485"/>
      <c r="CM104" s="485"/>
      <c r="CN104" s="485"/>
      <c r="CO104" s="485"/>
      <c r="CP104" s="485"/>
      <c r="CQ104" s="485"/>
      <c r="CR104" s="485"/>
      <c r="CS104" s="485"/>
      <c r="CT104" s="485"/>
      <c r="CU104" s="485"/>
      <c r="CV104" s="485"/>
      <c r="CW104" s="485"/>
      <c r="CX104" s="485"/>
      <c r="CY104" s="485"/>
      <c r="CZ104" s="485"/>
      <c r="DA104" s="485"/>
      <c r="DB104" s="485"/>
      <c r="DC104" s="485"/>
      <c r="DD104" s="485"/>
      <c r="DE104" s="485"/>
      <c r="DF104" s="485"/>
      <c r="DG104" s="485"/>
      <c r="DH104" s="485"/>
      <c r="DI104" s="485"/>
      <c r="DJ104" s="485"/>
      <c r="DK104" s="485"/>
      <c r="DL104" s="485"/>
      <c r="DM104" s="485"/>
      <c r="DN104" s="485"/>
      <c r="DO104" s="485"/>
      <c r="DP104" s="485"/>
      <c r="DQ104" s="485"/>
      <c r="DR104" s="485"/>
      <c r="DS104" s="485"/>
      <c r="DT104" s="485"/>
      <c r="DU104" s="484"/>
      <c r="DV104" s="484"/>
      <c r="DW104" s="484"/>
      <c r="DX104" s="484"/>
      <c r="DY104" s="484"/>
      <c r="DZ104" s="484"/>
      <c r="EA104" s="484"/>
      <c r="EB104" s="484"/>
      <c r="EC104" s="484"/>
      <c r="ED104" s="484"/>
      <c r="EE104" s="484"/>
      <c r="EF104" s="484"/>
      <c r="EG104" s="484"/>
      <c r="EH104" s="484"/>
      <c r="EI104" s="484"/>
      <c r="EJ104" s="484"/>
      <c r="EK104" s="484"/>
      <c r="EL104" s="484"/>
      <c r="EM104" s="484"/>
      <c r="EN104" s="484"/>
      <c r="EO104" s="484"/>
      <c r="EP104" s="484"/>
      <c r="EQ104" s="484"/>
      <c r="ER104" s="484"/>
      <c r="ES104" s="484"/>
      <c r="ET104" s="484"/>
      <c r="EU104" s="484"/>
      <c r="EV104" s="484"/>
      <c r="EW104" s="484"/>
      <c r="EX104" s="484"/>
      <c r="EY104" s="484"/>
      <c r="EZ104" s="484"/>
      <c r="FA104" s="484"/>
      <c r="FB104" s="484"/>
      <c r="FC104" s="484"/>
      <c r="FD104" s="484"/>
      <c r="FE104" s="484"/>
      <c r="FF104" s="484"/>
      <c r="FG104" s="484"/>
      <c r="FH104" s="484"/>
      <c r="FI104" s="484"/>
      <c r="FJ104" s="484"/>
      <c r="FK104" s="484"/>
      <c r="FL104" s="484"/>
      <c r="FM104" s="484"/>
      <c r="FN104" s="484"/>
      <c r="FO104" s="484"/>
      <c r="FP104" s="484"/>
      <c r="FQ104" s="484"/>
      <c r="FR104" s="484"/>
      <c r="FS104" s="484"/>
      <c r="FT104" s="484"/>
      <c r="FU104" s="484"/>
      <c r="FV104" s="484"/>
      <c r="FW104" s="484"/>
    </row>
    <row r="105" spans="1:179" ht="23" x14ac:dyDescent="0.25">
      <c r="A105" s="484"/>
      <c r="B105" s="316" t="s">
        <v>543</v>
      </c>
      <c r="C105" s="317">
        <v>112257</v>
      </c>
      <c r="D105" s="318"/>
      <c r="E105" s="315" t="s">
        <v>44</v>
      </c>
      <c r="F105" s="319" t="s">
        <v>590</v>
      </c>
      <c r="G105" s="320" t="s">
        <v>591</v>
      </c>
      <c r="H105" s="305">
        <v>1985</v>
      </c>
      <c r="I105" s="324" t="s">
        <v>170</v>
      </c>
      <c r="J105" s="325" t="s">
        <v>44</v>
      </c>
      <c r="K105" s="326">
        <v>61.2</v>
      </c>
      <c r="L105" s="300">
        <v>58</v>
      </c>
      <c r="M105" s="301">
        <v>-61</v>
      </c>
      <c r="N105" s="301">
        <v>-61</v>
      </c>
      <c r="O105" s="490">
        <v>58</v>
      </c>
      <c r="P105" s="300">
        <v>79</v>
      </c>
      <c r="Q105" s="301">
        <v>82</v>
      </c>
      <c r="R105" s="301">
        <v>-85</v>
      </c>
      <c r="S105" s="490">
        <f t="shared" si="37"/>
        <v>82</v>
      </c>
      <c r="T105" s="489">
        <f t="shared" si="43"/>
        <v>140</v>
      </c>
      <c r="U105" s="48" t="str">
        <f t="shared" si="39"/>
        <v>FED + 3</v>
      </c>
      <c r="V105" s="48" t="str">
        <f>IF(E105=0," ",IF(E105="H",IF(H105&lt;1999,VLOOKUP(K105,[16]Minimas!$A$15:$F$29,6),IF(AND(H105&gt;1998,H105&lt;2002),VLOOKUP(K105,[16]Minimas!$A$15:$F$29,5),IF(AND(H105&gt;2001,H105&lt;2004),VLOOKUP(K105,[16]Minimas!$A$15:$F$29,4),IF(AND(H105&gt;2003,H105&lt;2006),VLOOKUP(K105,[16]Minimas!$A$15:$F$29,3),VLOOKUP(K105,[16]Minimas!$A$15:$F$29,2))))),IF(H105&lt;1999,VLOOKUP(K105,[16]Minimas!$G$15:$L$29,6),IF(AND(H105&gt;1998,H105&lt;2002),VLOOKUP(K105,[16]Minimas!$G$15:$L$29,5),IF(AND(H105&gt;2001,H105&lt;2004),VLOOKUP(K105,[16]Minimas!$G$15:$L$29,4),IF(AND(H105&gt;2003,H105&lt;2006),VLOOKUP(K105,[16]Minimas!$G$15:$L$29,3),VLOOKUP(K105,[16]Minimas!$G$15:$L$29,2)))))))</f>
        <v>SE F64</v>
      </c>
      <c r="W105" s="49">
        <f t="shared" si="40"/>
        <v>186.79246071914244</v>
      </c>
      <c r="X105" s="257">
        <v>43492</v>
      </c>
      <c r="Y105" s="261" t="s">
        <v>694</v>
      </c>
      <c r="Z105" s="261" t="s">
        <v>701</v>
      </c>
      <c r="AA105" s="232"/>
      <c r="AB105" s="230">
        <f>T105-HLOOKUP(V105,[15]Minimas!$C$3:$CD$12,2,FALSE)</f>
        <v>70</v>
      </c>
      <c r="AC105" s="230">
        <f>T105-HLOOKUP(V105,[15]Minimas!$C$3:$CD$12,3,FALSE)</f>
        <v>55</v>
      </c>
      <c r="AD105" s="230">
        <f>T105-HLOOKUP(V105,[15]Minimas!$C$3:$CD$12,4,FALSE)</f>
        <v>40</v>
      </c>
      <c r="AE105" s="230">
        <f>T105-HLOOKUP(V105,[15]Minimas!$C$3:$CD$12,5,FALSE)</f>
        <v>23</v>
      </c>
      <c r="AF105" s="230">
        <f>T105-HLOOKUP(V105,[15]Minimas!$C$3:$CD$12,6,FALSE)</f>
        <v>3</v>
      </c>
      <c r="AG105" s="230">
        <f>T105-HLOOKUP(V105,[15]Minimas!$C$3:$CD$12,7,FALSE)</f>
        <v>-15</v>
      </c>
      <c r="AH105" s="230">
        <f>T105-HLOOKUP(V105,[15]Minimas!$C$3:$CD$12,8,FALSE)</f>
        <v>-35</v>
      </c>
      <c r="AI105" s="230">
        <f>T105-HLOOKUP(V105,[15]Minimas!$C$3:$CD$12,9,FALSE)</f>
        <v>-55</v>
      </c>
      <c r="AJ105" s="230">
        <f>T105-HLOOKUP(V105,[15]Minimas!$C$3:$CD$12,10,FALSE)</f>
        <v>-70</v>
      </c>
      <c r="AK105" s="231" t="str">
        <f t="shared" ref="AK105" si="45">IF(E105=0," ",IF(AJ105&gt;=0,$AJ$5,IF(AI105&gt;=0,$AI$5,IF(AH105&gt;=0,$AH$5,IF(AG105&gt;=0,$AG$5,IF(AF105&gt;=0,$AF$5,IF(AE105&gt;=0,$AE$5,IF(AD105&gt;=0,$AD$5,IF(AC105&gt;=0,$AC$5,$AB$5)))))))))</f>
        <v>FED +</v>
      </c>
      <c r="AL105" s="232"/>
      <c r="AM105" s="232" t="str">
        <f t="shared" ref="AM105" si="46">IF(AK105="","",AK105)</f>
        <v>FED +</v>
      </c>
      <c r="AN105" s="232">
        <f t="shared" ref="AN105" si="47">IF(E105=0," ",IF(AJ105&gt;=0,AJ105,IF(AI105&gt;=0,AI105,IF(AH105&gt;=0,AH105,IF(AG105&gt;=0,AG105,IF(AF105&gt;=0,AF105,IF(AE105&gt;=0,AE105,IF(AD105&gt;=0,AD105,IF(AC105&gt;=0,AC105,AB105)))))))))</f>
        <v>3</v>
      </c>
      <c r="AO105" s="485"/>
      <c r="AP105" s="485"/>
      <c r="AQ105" s="485"/>
      <c r="AR105" s="485"/>
      <c r="AS105" s="485"/>
      <c r="AT105" s="485"/>
      <c r="AU105" s="485"/>
      <c r="AV105" s="485"/>
      <c r="AW105" s="485"/>
      <c r="AX105" s="485"/>
      <c r="AY105" s="485"/>
      <c r="AZ105" s="485"/>
      <c r="BA105" s="485"/>
      <c r="BB105" s="485"/>
      <c r="BC105" s="485"/>
      <c r="BD105" s="485"/>
      <c r="BE105" s="485"/>
      <c r="BF105" s="485"/>
      <c r="BG105" s="485"/>
      <c r="BH105" s="485"/>
      <c r="BI105" s="485"/>
      <c r="BJ105" s="485"/>
      <c r="BK105" s="485"/>
      <c r="BL105" s="485"/>
      <c r="BM105" s="485"/>
      <c r="BN105" s="485"/>
      <c r="BO105" s="485"/>
      <c r="BP105" s="485"/>
      <c r="BQ105" s="485"/>
      <c r="BR105" s="485"/>
      <c r="BS105" s="485"/>
      <c r="BT105" s="485"/>
      <c r="BU105" s="485"/>
      <c r="BV105" s="485"/>
      <c r="BW105" s="485"/>
      <c r="BX105" s="485"/>
      <c r="BY105" s="485"/>
      <c r="BZ105" s="485"/>
      <c r="CA105" s="485"/>
      <c r="CB105" s="485"/>
      <c r="CC105" s="485"/>
      <c r="CD105" s="485"/>
      <c r="CE105" s="485"/>
      <c r="CF105" s="485"/>
      <c r="CG105" s="485"/>
      <c r="CH105" s="485"/>
      <c r="CI105" s="485"/>
      <c r="CJ105" s="485"/>
      <c r="CK105" s="485"/>
      <c r="CL105" s="485"/>
      <c r="CM105" s="485"/>
      <c r="CN105" s="485"/>
      <c r="CO105" s="485"/>
      <c r="CP105" s="485"/>
      <c r="CQ105" s="485"/>
      <c r="CR105" s="485"/>
      <c r="CS105" s="485"/>
      <c r="CT105" s="485"/>
      <c r="CU105" s="485"/>
      <c r="CV105" s="485"/>
      <c r="CW105" s="485"/>
      <c r="CX105" s="485"/>
      <c r="CY105" s="485"/>
      <c r="CZ105" s="485"/>
      <c r="DA105" s="485"/>
      <c r="DB105" s="485"/>
      <c r="DC105" s="485"/>
      <c r="DD105" s="485"/>
      <c r="DE105" s="485"/>
      <c r="DF105" s="485"/>
      <c r="DG105" s="485"/>
      <c r="DH105" s="485"/>
      <c r="DI105" s="485"/>
      <c r="DJ105" s="485"/>
      <c r="DK105" s="485"/>
      <c r="DL105" s="485"/>
      <c r="DM105" s="485"/>
      <c r="DN105" s="485"/>
      <c r="DO105" s="485"/>
      <c r="DP105" s="485"/>
      <c r="DQ105" s="485"/>
      <c r="DR105" s="485"/>
      <c r="DS105" s="485"/>
      <c r="DT105" s="485"/>
      <c r="DU105" s="484"/>
      <c r="DV105" s="484"/>
      <c r="DW105" s="484"/>
      <c r="DX105" s="484"/>
      <c r="DY105" s="484"/>
      <c r="DZ105" s="484"/>
      <c r="EA105" s="484"/>
      <c r="EB105" s="484"/>
      <c r="EC105" s="484"/>
      <c r="ED105" s="484"/>
      <c r="EE105" s="484"/>
      <c r="EF105" s="484"/>
      <c r="EG105" s="484"/>
      <c r="EH105" s="484"/>
      <c r="EI105" s="484"/>
      <c r="EJ105" s="484"/>
      <c r="EK105" s="484"/>
      <c r="EL105" s="484"/>
      <c r="EM105" s="484"/>
      <c r="EN105" s="484"/>
      <c r="EO105" s="484"/>
      <c r="EP105" s="484"/>
      <c r="EQ105" s="484"/>
      <c r="ER105" s="484"/>
      <c r="ES105" s="484"/>
      <c r="ET105" s="484"/>
      <c r="EU105" s="484"/>
      <c r="EV105" s="484"/>
      <c r="EW105" s="484"/>
      <c r="EX105" s="484"/>
      <c r="EY105" s="484"/>
      <c r="EZ105" s="484"/>
      <c r="FA105" s="484"/>
      <c r="FB105" s="484"/>
      <c r="FC105" s="484"/>
      <c r="FD105" s="484"/>
      <c r="FE105" s="484"/>
      <c r="FF105" s="484"/>
      <c r="FG105" s="484"/>
      <c r="FH105" s="484"/>
      <c r="FI105" s="484"/>
      <c r="FJ105" s="484"/>
      <c r="FK105" s="484"/>
      <c r="FL105" s="484"/>
      <c r="FM105" s="484"/>
      <c r="FN105" s="484"/>
      <c r="FO105" s="484"/>
      <c r="FP105" s="484"/>
      <c r="FQ105" s="484"/>
      <c r="FR105" s="484"/>
      <c r="FS105" s="484"/>
      <c r="FT105" s="484"/>
      <c r="FU105" s="484"/>
      <c r="FV105" s="484"/>
      <c r="FW105" s="484"/>
    </row>
    <row r="106" spans="1:179" s="5" customFormat="1" ht="30" customHeight="1" x14ac:dyDescent="0.25">
      <c r="A106" s="484"/>
      <c r="B106" s="355" t="s">
        <v>543</v>
      </c>
      <c r="C106" s="356">
        <v>433409</v>
      </c>
      <c r="D106" s="357"/>
      <c r="E106" s="323" t="s">
        <v>44</v>
      </c>
      <c r="F106" s="328" t="s">
        <v>595</v>
      </c>
      <c r="G106" s="487" t="s">
        <v>596</v>
      </c>
      <c r="H106" s="329">
        <v>1994</v>
      </c>
      <c r="I106" s="330" t="s">
        <v>587</v>
      </c>
      <c r="J106" s="331" t="s">
        <v>44</v>
      </c>
      <c r="K106" s="297">
        <v>62.13</v>
      </c>
      <c r="L106" s="300">
        <v>57</v>
      </c>
      <c r="M106" s="301">
        <v>60</v>
      </c>
      <c r="N106" s="301">
        <v>-64</v>
      </c>
      <c r="O106" s="358">
        <f t="shared" ref="O106:O120" si="48">IF(E106="","",IF(MAXA(L106:N106)&lt;=0,0,MAXA(L106:N106)))</f>
        <v>60</v>
      </c>
      <c r="P106" s="300">
        <v>77</v>
      </c>
      <c r="Q106" s="301">
        <v>-80</v>
      </c>
      <c r="R106" s="301">
        <v>80</v>
      </c>
      <c r="S106" s="358">
        <f t="shared" si="37"/>
        <v>80</v>
      </c>
      <c r="T106" s="359">
        <f t="shared" si="43"/>
        <v>140</v>
      </c>
      <c r="U106" s="360" t="str">
        <f t="shared" si="39"/>
        <v>FED + 3</v>
      </c>
      <c r="V106" s="360" t="str">
        <f>IF(E106=0," ",IF(E106="H",IF(H106&lt;1999,VLOOKUP(K106,[15]Minimas!$A$15:$F$29,6),IF(AND(H106&gt;1998,H106&lt;2002),VLOOKUP(K106,[15]Minimas!$A$15:$F$29,5),IF(AND(H106&gt;2001,H106&lt;2004),VLOOKUP(K106,[15]Minimas!$A$15:$F$29,4),IF(AND(H106&gt;2003,H106&lt;2006),VLOOKUP(K106,[15]Minimas!$A$15:$F$29,3),VLOOKUP(K106,[15]Minimas!$A$15:$F$29,2))))),IF(H106&lt;1999,VLOOKUP(K106,[15]Minimas!$G$15:$L$29,6),IF(AND(H106&gt;1998,H106&lt;2002),VLOOKUP(K106,[15]Minimas!$G$15:$L$29,5),IF(AND(H106&gt;2001,H106&lt;2004),VLOOKUP(K106,[15]Minimas!$G$15:$L$29,4),IF(AND(H106&gt;2003,H106&lt;2006),VLOOKUP(K106,[15]Minimas!$G$15:$L$29,3),VLOOKUP(K106,[15]Minimas!$G$15:$L$29,2)))))))</f>
        <v>SE F64</v>
      </c>
      <c r="W106" s="361">
        <f t="shared" si="40"/>
        <v>185.0502064961594</v>
      </c>
      <c r="X106" s="257">
        <v>43526</v>
      </c>
      <c r="Y106" s="261" t="s">
        <v>705</v>
      </c>
      <c r="Z106" s="261" t="s">
        <v>711</v>
      </c>
      <c r="AA106" s="232"/>
      <c r="AB106" s="230">
        <f>T106-HLOOKUP(V106,[15]Minimas!$C$3:$CD$12,2,FALSE)</f>
        <v>70</v>
      </c>
      <c r="AC106" s="230">
        <f>T106-HLOOKUP(V106,[15]Minimas!$C$3:$CD$12,3,FALSE)</f>
        <v>55</v>
      </c>
      <c r="AD106" s="230">
        <f>T106-HLOOKUP(V106,[15]Minimas!$C$3:$CD$12,4,FALSE)</f>
        <v>40</v>
      </c>
      <c r="AE106" s="230">
        <f>T106-HLOOKUP(V106,[15]Minimas!$C$3:$CD$12,5,FALSE)</f>
        <v>23</v>
      </c>
      <c r="AF106" s="230">
        <f>T106-HLOOKUP(V106,[15]Minimas!$C$3:$CD$12,6,FALSE)</f>
        <v>3</v>
      </c>
      <c r="AG106" s="230">
        <f>T106-HLOOKUP(V106,[15]Minimas!$C$3:$CD$12,7,FALSE)</f>
        <v>-15</v>
      </c>
      <c r="AH106" s="230">
        <f>T106-HLOOKUP(V106,[15]Minimas!$C$3:$CD$12,8,FALSE)</f>
        <v>-35</v>
      </c>
      <c r="AI106" s="230">
        <f>T106-HLOOKUP(V106,[15]Minimas!$C$3:$CD$12,9,FALSE)</f>
        <v>-55</v>
      </c>
      <c r="AJ106" s="230">
        <f>T106-HLOOKUP(V106,[15]Minimas!$C$3:$CD$12,10,FALSE)</f>
        <v>-70</v>
      </c>
      <c r="AK106" s="231" t="str">
        <f>IF(E106=0," ",IF(AJ106&gt;=0,$AJ$5,IF(AI106&gt;=0,$AI$5,IF(AH106&gt;=0,$AH$5,IF(AG106&gt;=0,$AG$5,IF(AF106&gt;=0,$AF$5,IF(AE106&gt;=0,$AE$5,IF(AD106&gt;=0,$AD$5,IF(AC106&gt;=0,$AC$5,$AB$5)))))))))</f>
        <v>FED +</v>
      </c>
      <c r="AL106" s="232"/>
      <c r="AM106" s="232" t="str">
        <f t="shared" si="41"/>
        <v>FED +</v>
      </c>
      <c r="AN106" s="232">
        <f>IF(E106=0," ",IF(AJ106&gt;=0,AJ106,IF(AI106&gt;=0,AI106,IF(AH106&gt;=0,AH106,IF(AG106&gt;=0,AG106,IF(AF106&gt;=0,AF106,IF(AE106&gt;=0,AE106,IF(AD106&gt;=0,AD106,IF(AC106&gt;=0,AC106,AB106)))))))))</f>
        <v>3</v>
      </c>
      <c r="AO106" s="485"/>
      <c r="AP106" s="485"/>
      <c r="AQ106" s="485"/>
      <c r="AR106" s="485"/>
      <c r="AS106" s="485"/>
      <c r="AT106" s="485"/>
      <c r="AU106" s="485"/>
      <c r="AV106" s="485"/>
      <c r="AW106" s="485"/>
      <c r="AX106" s="485"/>
      <c r="AY106" s="485"/>
      <c r="AZ106" s="485"/>
      <c r="BA106" s="485"/>
      <c r="BB106" s="485"/>
      <c r="BC106" s="485"/>
      <c r="BD106" s="485"/>
      <c r="BE106" s="485"/>
      <c r="BF106" s="485"/>
      <c r="BG106" s="485"/>
      <c r="BH106" s="485"/>
      <c r="BI106" s="485"/>
      <c r="BJ106" s="485"/>
      <c r="BK106" s="485"/>
      <c r="BL106" s="485"/>
      <c r="BM106" s="485"/>
      <c r="BN106" s="485"/>
      <c r="BO106" s="485"/>
      <c r="BP106" s="485"/>
      <c r="BQ106" s="485"/>
      <c r="BR106" s="485"/>
      <c r="BS106" s="485"/>
      <c r="BT106" s="485"/>
      <c r="BU106" s="485"/>
      <c r="BV106" s="485"/>
      <c r="BW106" s="485"/>
      <c r="BX106" s="485"/>
      <c r="BY106" s="485"/>
      <c r="BZ106" s="485"/>
      <c r="CA106" s="485"/>
      <c r="CB106" s="485"/>
      <c r="CC106" s="485"/>
      <c r="CD106" s="485"/>
      <c r="CE106" s="485"/>
      <c r="CF106" s="485"/>
      <c r="CG106" s="485"/>
      <c r="CH106" s="485"/>
      <c r="CI106" s="485"/>
      <c r="CJ106" s="485"/>
      <c r="CK106" s="485"/>
      <c r="CL106" s="485"/>
      <c r="CM106" s="485"/>
      <c r="CN106" s="485"/>
      <c r="CO106" s="485"/>
      <c r="CP106" s="485"/>
      <c r="CQ106" s="485"/>
      <c r="CR106" s="485"/>
      <c r="CS106" s="485"/>
      <c r="CT106" s="485"/>
      <c r="CU106" s="485"/>
      <c r="CV106" s="485"/>
      <c r="CW106" s="485"/>
      <c r="CX106" s="485"/>
      <c r="CY106" s="485"/>
      <c r="CZ106" s="485"/>
      <c r="DA106" s="485"/>
      <c r="DB106" s="485"/>
      <c r="DC106" s="485"/>
      <c r="DD106" s="485"/>
      <c r="DE106" s="485"/>
      <c r="DF106" s="485"/>
      <c r="DG106" s="485"/>
      <c r="DH106" s="485"/>
      <c r="DI106" s="485"/>
      <c r="DJ106" s="485"/>
      <c r="DK106" s="485"/>
      <c r="DL106" s="485"/>
      <c r="DM106" s="485"/>
      <c r="DN106" s="485"/>
      <c r="DO106" s="485"/>
      <c r="DP106" s="485"/>
      <c r="DQ106" s="485"/>
      <c r="DR106" s="485"/>
      <c r="DS106" s="485"/>
      <c r="DT106" s="485"/>
      <c r="DU106" s="484"/>
      <c r="DV106" s="484"/>
      <c r="DW106" s="484"/>
      <c r="DX106" s="484"/>
      <c r="DY106" s="484"/>
      <c r="DZ106" s="484"/>
      <c r="EA106" s="484"/>
      <c r="EB106" s="484"/>
      <c r="EC106" s="484"/>
      <c r="ED106" s="484"/>
      <c r="EE106" s="484"/>
      <c r="EF106" s="484"/>
      <c r="EG106" s="484"/>
      <c r="EH106" s="484"/>
      <c r="EI106" s="484"/>
      <c r="EJ106" s="484"/>
      <c r="EK106" s="484"/>
      <c r="EL106" s="484"/>
      <c r="EM106" s="484"/>
      <c r="EN106" s="484"/>
      <c r="EO106" s="484"/>
      <c r="EP106" s="484"/>
      <c r="EQ106" s="484"/>
      <c r="ER106" s="484"/>
      <c r="ES106" s="484"/>
      <c r="ET106" s="484"/>
      <c r="EU106" s="484"/>
      <c r="EV106" s="484"/>
      <c r="EW106" s="484"/>
      <c r="EX106" s="484"/>
      <c r="EY106" s="484"/>
      <c r="EZ106" s="484"/>
      <c r="FA106" s="484"/>
      <c r="FB106" s="484"/>
      <c r="FC106" s="484"/>
      <c r="FD106" s="484"/>
      <c r="FE106" s="484"/>
      <c r="FF106" s="484"/>
      <c r="FG106" s="484"/>
      <c r="FH106" s="484"/>
      <c r="FI106" s="484"/>
      <c r="FJ106" s="484"/>
      <c r="FK106" s="484"/>
      <c r="FL106" s="484"/>
      <c r="FM106" s="484"/>
      <c r="FN106" s="484"/>
      <c r="FO106" s="484"/>
      <c r="FP106" s="484"/>
      <c r="FQ106" s="484"/>
      <c r="FR106" s="484"/>
      <c r="FS106" s="484"/>
      <c r="FT106" s="484"/>
      <c r="FU106" s="484"/>
      <c r="FV106" s="484"/>
      <c r="FW106" s="484"/>
    </row>
    <row r="107" spans="1:179" s="5" customFormat="1" ht="30" customHeight="1" x14ac:dyDescent="0.25">
      <c r="B107" s="495" t="s">
        <v>543</v>
      </c>
      <c r="C107" s="499">
        <v>433900</v>
      </c>
      <c r="D107" s="496"/>
      <c r="E107" s="323" t="s">
        <v>44</v>
      </c>
      <c r="F107" s="328" t="s">
        <v>538</v>
      </c>
      <c r="G107" s="487" t="s">
        <v>539</v>
      </c>
      <c r="H107" s="329">
        <v>1982</v>
      </c>
      <c r="I107" s="332" t="s">
        <v>540</v>
      </c>
      <c r="J107" s="331" t="s">
        <v>44</v>
      </c>
      <c r="K107" s="297">
        <v>63.1</v>
      </c>
      <c r="L107" s="448">
        <v>-57</v>
      </c>
      <c r="M107" s="301">
        <v>58</v>
      </c>
      <c r="N107" s="301">
        <v>61</v>
      </c>
      <c r="O107" s="490">
        <f t="shared" si="48"/>
        <v>61</v>
      </c>
      <c r="P107" s="300">
        <v>74</v>
      </c>
      <c r="Q107" s="301">
        <v>77</v>
      </c>
      <c r="R107" s="301">
        <v>-80</v>
      </c>
      <c r="S107" s="490">
        <f t="shared" si="37"/>
        <v>77</v>
      </c>
      <c r="T107" s="489">
        <f t="shared" si="43"/>
        <v>138</v>
      </c>
      <c r="U107" s="48" t="str">
        <f t="shared" si="39"/>
        <v>FED + 1</v>
      </c>
      <c r="V107" s="48" t="str">
        <f>IF(E107=0," ",IF(E107="H",IF(H107&lt;1999,VLOOKUP(K107,[8]Minimas!$A$15:$F$29,6),IF(AND(H107&gt;1998,H107&lt;2002),VLOOKUP(K107,[8]Minimas!$A$15:$F$29,5),IF(AND(H107&gt;2001,H107&lt;2004),VLOOKUP(K107,[8]Minimas!$A$15:$F$29,4),IF(AND(H107&gt;2003,H107&lt;2006),VLOOKUP(K107,[8]Minimas!$A$15:$F$29,3),VLOOKUP(K107,[8]Minimas!$A$15:$F$29,2))))),IF(H107&lt;1999,VLOOKUP(K107,[8]Minimas!$G$15:$L$29,6),IF(AND(H107&gt;1998,H107&lt;2002),VLOOKUP(K107,[8]Minimas!$G$15:$L$29,5),IF(AND(H107&gt;2001,H107&lt;2004),VLOOKUP(K107,[8]Minimas!$G$15:$L$29,4),IF(AND(H107&gt;2003,H107&lt;2006),VLOOKUP(K107,[8]Minimas!$G$15:$L$29,3),VLOOKUP(K107,[8]Minimas!$G$15:$L$29,2)))))))</f>
        <v>SE F64</v>
      </c>
      <c r="W107" s="49">
        <f t="shared" si="40"/>
        <v>180.68837117706283</v>
      </c>
      <c r="X107" s="257">
        <v>43526</v>
      </c>
      <c r="Y107" s="261" t="s">
        <v>705</v>
      </c>
      <c r="Z107" s="261" t="s">
        <v>504</v>
      </c>
      <c r="AA107" s="232"/>
      <c r="AB107" s="230">
        <f>T107-HLOOKUP(V107,[8]Minimas!$C$3:$CD$12,2,FALSE)</f>
        <v>68</v>
      </c>
      <c r="AC107" s="230">
        <f>T107-HLOOKUP(V107,[8]Minimas!$C$3:$CD$12,3,FALSE)</f>
        <v>53</v>
      </c>
      <c r="AD107" s="230">
        <f>T107-HLOOKUP(V107,[8]Minimas!$C$3:$CD$12,4,FALSE)</f>
        <v>38</v>
      </c>
      <c r="AE107" s="230">
        <f>T107-HLOOKUP(V107,[8]Minimas!$C$3:$CD$12,5,FALSE)</f>
        <v>21</v>
      </c>
      <c r="AF107" s="230">
        <f>T107-HLOOKUP(V107,[8]Minimas!$C$3:$CD$12,6,FALSE)</f>
        <v>1</v>
      </c>
      <c r="AG107" s="230">
        <f>T107-HLOOKUP(V107,[8]Minimas!$C$3:$CD$12,7,FALSE)</f>
        <v>-17</v>
      </c>
      <c r="AH107" s="230">
        <f>T107-HLOOKUP(V107,[8]Minimas!$C$3:$CD$12,8,FALSE)</f>
        <v>-37</v>
      </c>
      <c r="AI107" s="230">
        <f>T107-HLOOKUP(V107,[8]Minimas!$C$3:$CD$12,9,FALSE)</f>
        <v>-57</v>
      </c>
      <c r="AJ107" s="230">
        <f>T107-HLOOKUP(V107,[8]Minimas!$C$3:$CD$12,10,FALSE)</f>
        <v>-72</v>
      </c>
      <c r="AK107" s="231" t="str">
        <f>IF(E107=0," ",IF(AJ107&gt;=0,$AJ$5,IF(AI107&gt;=0,$AI$5,IF(AH107&gt;=0,$AH$5,IF(AG107&gt;=0,$AG$5,IF(AF107&gt;=0,$AF$5,IF(AE107&gt;=0,$AE$5,IF(AD107&gt;=0,$AD$5,IF(AC107&gt;=0,$AC$5,$AB$5)))))))))</f>
        <v>FED +</v>
      </c>
      <c r="AL107" s="232"/>
      <c r="AM107" s="232" t="str">
        <f t="shared" si="41"/>
        <v>FED +</v>
      </c>
      <c r="AN107" s="232">
        <f>IF(E107=0," ",IF(AJ107&gt;=0,AJ107,IF(AI107&gt;=0,AI107,IF(AH107&gt;=0,AH107,IF(AG107&gt;=0,AG107,IF(AF107&gt;=0,AF107,IF(AE107&gt;=0,AE107,IF(AD107&gt;=0,AD107,IF(AC107&gt;=0,AC107,AB107)))))))))</f>
        <v>1</v>
      </c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  <c r="BF107" s="38"/>
      <c r="BG107" s="38"/>
      <c r="BH107" s="38"/>
      <c r="BI107" s="38"/>
      <c r="BJ107" s="38"/>
      <c r="BK107" s="38"/>
      <c r="BL107" s="38"/>
      <c r="BM107" s="38"/>
      <c r="BN107" s="38"/>
      <c r="BO107" s="38"/>
      <c r="BP107" s="38"/>
      <c r="BQ107" s="38"/>
      <c r="BR107" s="38"/>
      <c r="BS107" s="38"/>
      <c r="BT107" s="38"/>
      <c r="BU107" s="38"/>
      <c r="BV107" s="38"/>
      <c r="BW107" s="38"/>
      <c r="BX107" s="38"/>
      <c r="BY107" s="38"/>
      <c r="BZ107" s="38"/>
      <c r="CA107" s="38"/>
      <c r="CB107" s="38"/>
      <c r="CC107" s="38"/>
      <c r="CD107" s="38"/>
      <c r="CE107" s="38"/>
      <c r="CF107" s="38"/>
      <c r="CG107" s="38"/>
      <c r="CH107" s="38"/>
      <c r="CI107" s="38"/>
      <c r="CJ107" s="38"/>
      <c r="CK107" s="38"/>
      <c r="CL107" s="38"/>
      <c r="CM107" s="38"/>
      <c r="CN107" s="38"/>
      <c r="CO107" s="38"/>
      <c r="CP107" s="38"/>
      <c r="CQ107" s="38"/>
      <c r="CR107" s="38"/>
      <c r="CS107" s="38"/>
      <c r="CT107" s="38"/>
      <c r="CU107" s="38"/>
      <c r="CV107" s="38"/>
      <c r="CW107" s="38"/>
      <c r="CX107" s="38"/>
      <c r="CY107" s="38"/>
      <c r="CZ107" s="38"/>
      <c r="DA107" s="38"/>
      <c r="DB107" s="38"/>
      <c r="DC107" s="38"/>
      <c r="DD107" s="38"/>
      <c r="DE107" s="38"/>
      <c r="DF107" s="38"/>
      <c r="DG107" s="38"/>
      <c r="DH107" s="38"/>
      <c r="DI107" s="38"/>
      <c r="DJ107" s="38"/>
      <c r="DK107" s="38"/>
      <c r="DL107" s="38"/>
      <c r="DM107" s="38"/>
      <c r="DN107" s="38"/>
      <c r="DO107" s="38"/>
      <c r="DP107" s="38"/>
      <c r="DQ107" s="38"/>
      <c r="DR107" s="38"/>
      <c r="DS107" s="38"/>
      <c r="DT107" s="38"/>
    </row>
    <row r="108" spans="1:179" s="5" customFormat="1" ht="30" customHeight="1" x14ac:dyDescent="0.25">
      <c r="A108" s="484"/>
      <c r="B108" s="433" t="s">
        <v>543</v>
      </c>
      <c r="C108" s="429">
        <v>392577</v>
      </c>
      <c r="D108" s="430"/>
      <c r="E108" s="323" t="s">
        <v>44</v>
      </c>
      <c r="F108" s="319" t="s">
        <v>133</v>
      </c>
      <c r="G108" s="320" t="s">
        <v>134</v>
      </c>
      <c r="H108" s="305">
        <v>1998</v>
      </c>
      <c r="I108" s="324" t="s">
        <v>129</v>
      </c>
      <c r="J108" s="493" t="s">
        <v>44</v>
      </c>
      <c r="K108" s="488">
        <v>63.8</v>
      </c>
      <c r="L108" s="448">
        <v>-66</v>
      </c>
      <c r="M108" s="301">
        <v>66</v>
      </c>
      <c r="N108" s="449">
        <v>-70</v>
      </c>
      <c r="O108" s="358">
        <f t="shared" si="48"/>
        <v>66</v>
      </c>
      <c r="P108" s="300">
        <v>71</v>
      </c>
      <c r="Q108" s="449">
        <v>-75</v>
      </c>
      <c r="R108" s="449">
        <v>-75</v>
      </c>
      <c r="S108" s="358">
        <f t="shared" si="37"/>
        <v>71</v>
      </c>
      <c r="T108" s="359">
        <f t="shared" si="43"/>
        <v>137</v>
      </c>
      <c r="U108" s="360" t="str">
        <f t="shared" ref="U108:U133" si="49">+CONCATENATE(AM108," ",AN108)</f>
        <v>FED + 0</v>
      </c>
      <c r="V108" s="360" t="str">
        <f>IF(E108=0," ",IF(E108="H",IF(H108&lt;1999,VLOOKUP(K108,[14]Minimas!$A$15:$F$29,6),IF(AND(H108&gt;1998,H108&lt;2002),VLOOKUP(K108,[14]Minimas!$A$15:$F$29,5),IF(AND(H108&gt;2001,H108&lt;2004),VLOOKUP(K108,[14]Minimas!$A$15:$F$29,4),IF(AND(H108&gt;2003,H108&lt;2006),VLOOKUP(K108,[14]Minimas!$A$15:$F$29,3),VLOOKUP(K108,[14]Minimas!$A$15:$F$29,2))))),IF(H108&lt;1999,VLOOKUP(K108,[14]Minimas!$G$15:$L$29,6),IF(AND(H108&gt;1998,H108&lt;2002),VLOOKUP(K108,[14]Minimas!$G$15:$L$29,5),IF(AND(H108&gt;2001,H108&lt;2004),VLOOKUP(K108,[14]Minimas!$G$15:$L$29,4),IF(AND(H108&gt;2003,H108&lt;2006),VLOOKUP(K108,[14]Minimas!$G$15:$L$29,3),VLOOKUP(K108,[14]Minimas!$G$15:$L$29,2)))))))</f>
        <v>SE F64</v>
      </c>
      <c r="W108" s="361">
        <f t="shared" ref="W108:W133" si="50">IF(E108=" "," ",IF(E108="H",10^(0.75194503*LOG(K108/175.508)^2)*T108,IF(E108="F",10^(0.783497476* LOG(K108/153.655)^2)*T108,"")))</f>
        <v>178.19179732180186</v>
      </c>
      <c r="X108" s="257">
        <v>43562</v>
      </c>
      <c r="Y108" s="261" t="s">
        <v>846</v>
      </c>
      <c r="Z108" s="261" t="s">
        <v>806</v>
      </c>
      <c r="AA108" s="232"/>
      <c r="AB108" s="230">
        <f>T108-HLOOKUP(V108,[14]Minimas!$C$3:$CD$12,2,FALSE)</f>
        <v>67</v>
      </c>
      <c r="AC108" s="230">
        <f>T108-HLOOKUP(V108,[14]Minimas!$C$3:$CD$12,3,FALSE)</f>
        <v>52</v>
      </c>
      <c r="AD108" s="230">
        <f>T108-HLOOKUP(V108,[14]Minimas!$C$3:$CD$12,4,FALSE)</f>
        <v>37</v>
      </c>
      <c r="AE108" s="230">
        <f>T108-HLOOKUP(V108,[14]Minimas!$C$3:$CD$12,5,FALSE)</f>
        <v>20</v>
      </c>
      <c r="AF108" s="230">
        <f>T108-HLOOKUP(V108,[14]Minimas!$C$3:$CD$12,6,FALSE)</f>
        <v>0</v>
      </c>
      <c r="AG108" s="230">
        <f>T108-HLOOKUP(V108,[14]Minimas!$C$3:$CD$12,7,FALSE)</f>
        <v>-18</v>
      </c>
      <c r="AH108" s="230">
        <f>T108-HLOOKUP(V108,[14]Minimas!$C$3:$CD$12,8,FALSE)</f>
        <v>-38</v>
      </c>
      <c r="AI108" s="230">
        <f>T108-HLOOKUP(V108,[14]Minimas!$C$3:$CD$12,9,FALSE)</f>
        <v>-58</v>
      </c>
      <c r="AJ108" s="230">
        <f>T108-HLOOKUP(V108,[14]Minimas!$C$3:$CD$12,10,FALSE)</f>
        <v>-73</v>
      </c>
      <c r="AK108" s="231" t="str">
        <f>IF(E108=0," ",IF(AJ108&gt;=0,$AJ$5,IF(AI108&gt;=0,$AI$5,IF(AH108&gt;=0,$AH$5,IF(AG108&gt;=0,$AG$5,IF(AF108&gt;=0,$AF$5,IF(AE108&gt;=0,$AE$5,IF(AD108&gt;=0,$AD$5,IF(AC108&gt;=0,$AC$5,$AB$5)))))))))</f>
        <v>FED +</v>
      </c>
      <c r="AL108" s="232"/>
      <c r="AM108" s="232" t="str">
        <f t="shared" si="41"/>
        <v>FED +</v>
      </c>
      <c r="AN108" s="232">
        <f>IF(E108=0," ",IF(AJ108&gt;=0,AJ108,IF(AI108&gt;=0,AI108,IF(AH108&gt;=0,AH108,IF(AG108&gt;=0,AG108,IF(AF108&gt;=0,AF108,IF(AE108&gt;=0,AE108,IF(AD108&gt;=0,AD108,IF(AC108&gt;=0,AC108,AB108)))))))))</f>
        <v>0</v>
      </c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  <c r="BF108" s="38"/>
      <c r="BG108" s="38"/>
      <c r="BH108" s="38"/>
      <c r="BI108" s="38"/>
      <c r="BJ108" s="38"/>
      <c r="BK108" s="38"/>
      <c r="BL108" s="38"/>
      <c r="BM108" s="38"/>
      <c r="BN108" s="38"/>
      <c r="BO108" s="38"/>
      <c r="BP108" s="38"/>
      <c r="BQ108" s="38"/>
      <c r="BR108" s="38"/>
      <c r="BS108" s="38"/>
      <c r="BT108" s="38"/>
      <c r="BU108" s="38"/>
      <c r="BV108" s="38"/>
      <c r="BW108" s="38"/>
      <c r="BX108" s="38"/>
      <c r="BY108" s="38"/>
      <c r="BZ108" s="38"/>
      <c r="CA108" s="38"/>
      <c r="CB108" s="38"/>
      <c r="CC108" s="38"/>
      <c r="CD108" s="38"/>
      <c r="CE108" s="38"/>
      <c r="CF108" s="38"/>
      <c r="CG108" s="38"/>
      <c r="CH108" s="38"/>
      <c r="CI108" s="38"/>
      <c r="CJ108" s="38"/>
      <c r="CK108" s="38"/>
      <c r="CL108" s="38"/>
      <c r="CM108" s="38"/>
      <c r="CN108" s="38"/>
      <c r="CO108" s="38"/>
      <c r="CP108" s="38"/>
      <c r="CQ108" s="38"/>
      <c r="CR108" s="38"/>
      <c r="CS108" s="38"/>
      <c r="CT108" s="38"/>
      <c r="CU108" s="38"/>
      <c r="CV108" s="38"/>
      <c r="CW108" s="38"/>
      <c r="CX108" s="38"/>
      <c r="CY108" s="38"/>
      <c r="CZ108" s="38"/>
      <c r="DA108" s="38"/>
      <c r="DB108" s="38"/>
      <c r="DC108" s="38"/>
      <c r="DD108" s="38"/>
      <c r="DE108" s="38"/>
      <c r="DF108" s="38"/>
      <c r="DG108" s="38"/>
      <c r="DH108" s="38"/>
      <c r="DI108" s="38"/>
      <c r="DJ108" s="38"/>
      <c r="DK108" s="38"/>
      <c r="DL108" s="38"/>
      <c r="DM108" s="38"/>
      <c r="DN108" s="38"/>
      <c r="DO108" s="38"/>
      <c r="DP108" s="38"/>
      <c r="DQ108" s="38"/>
      <c r="DR108" s="38"/>
      <c r="DS108" s="38"/>
      <c r="DT108" s="38"/>
    </row>
    <row r="109" spans="1:179" s="5" customFormat="1" ht="30" customHeight="1" x14ac:dyDescent="0.25">
      <c r="B109" s="312" t="s">
        <v>543</v>
      </c>
      <c r="C109" s="499">
        <v>419441</v>
      </c>
      <c r="D109" s="313"/>
      <c r="E109" s="323" t="s">
        <v>44</v>
      </c>
      <c r="F109" s="486" t="s">
        <v>159</v>
      </c>
      <c r="G109" s="487" t="s">
        <v>160</v>
      </c>
      <c r="H109" s="492">
        <v>1978</v>
      </c>
      <c r="I109" s="528" t="s">
        <v>155</v>
      </c>
      <c r="J109" s="493" t="s">
        <v>44</v>
      </c>
      <c r="K109" s="488">
        <v>59.8</v>
      </c>
      <c r="L109" s="300">
        <v>55</v>
      </c>
      <c r="M109" s="301">
        <v>58</v>
      </c>
      <c r="N109" s="301">
        <v>61</v>
      </c>
      <c r="O109" s="490">
        <f t="shared" si="48"/>
        <v>61</v>
      </c>
      <c r="P109" s="300">
        <v>70</v>
      </c>
      <c r="Q109" s="301">
        <v>75</v>
      </c>
      <c r="R109" s="299">
        <v>-78</v>
      </c>
      <c r="S109" s="490">
        <f t="shared" si="37"/>
        <v>75</v>
      </c>
      <c r="T109" s="489">
        <f t="shared" si="43"/>
        <v>136</v>
      </c>
      <c r="U109" s="48" t="str">
        <f t="shared" si="49"/>
        <v>IRG + 19</v>
      </c>
      <c r="V109" s="48" t="str">
        <f>IF(E109=0," ",IF(E109="H",IF(H109&lt;1999,VLOOKUP(K109,[4]Minimas!$A$15:$F$29,6),IF(AND(H109&gt;1998,H109&lt;2002),VLOOKUP(K109,[4]Minimas!$A$15:$F$29,5),IF(AND(H109&gt;2001,H109&lt;2004),VLOOKUP(K109,[4]Minimas!$A$15:$F$29,4),IF(AND(H109&gt;2003,H109&lt;2006),VLOOKUP(K109,[4]Minimas!$A$15:$F$29,3),VLOOKUP(K109,[4]Minimas!$A$15:$F$29,2))))),IF(H109&lt;1999,VLOOKUP(K109,[4]Minimas!$G$15:$L$29,6),IF(AND(H109&gt;1998,H109&lt;2002),VLOOKUP(K109,[4]Minimas!$G$15:$L$29,5),IF(AND(H109&gt;2001,H109&lt;2004),VLOOKUP(K109,[4]Minimas!$G$15:$L$29,4),IF(AND(H109&gt;2003,H109&lt;2006),VLOOKUP(K109,[4]Minimas!$G$15:$L$29,3),VLOOKUP(K109,[4]Minimas!$G$15:$L$29,2)))))))</f>
        <v>SE F64</v>
      </c>
      <c r="W109" s="49">
        <f t="shared" si="50"/>
        <v>184.1389234734728</v>
      </c>
      <c r="X109" s="257">
        <v>43492</v>
      </c>
      <c r="Y109" s="261" t="s">
        <v>694</v>
      </c>
      <c r="Z109" s="261" t="s">
        <v>695</v>
      </c>
      <c r="AA109" s="232"/>
      <c r="AB109" s="230">
        <f>T109-HLOOKUP(V109,[14]Minimas!$C$3:$CD$12,2,FALSE)</f>
        <v>66</v>
      </c>
      <c r="AC109" s="230">
        <f>T109-HLOOKUP(V109,[14]Minimas!$C$3:$CD$12,3,FALSE)</f>
        <v>51</v>
      </c>
      <c r="AD109" s="230">
        <f>T109-HLOOKUP(V109,[14]Minimas!$C$3:$CD$12,4,FALSE)</f>
        <v>36</v>
      </c>
      <c r="AE109" s="230">
        <f>T109-HLOOKUP(V109,[14]Minimas!$C$3:$CD$12,5,FALSE)</f>
        <v>19</v>
      </c>
      <c r="AF109" s="230">
        <f>T109-HLOOKUP(V109,[14]Minimas!$C$3:$CD$12,6,FALSE)</f>
        <v>-1</v>
      </c>
      <c r="AG109" s="230">
        <f>T109-HLOOKUP(V109,[14]Minimas!$C$3:$CD$12,7,FALSE)</f>
        <v>-19</v>
      </c>
      <c r="AH109" s="230">
        <f>T109-HLOOKUP(V109,[14]Minimas!$C$3:$CD$12,8,FALSE)</f>
        <v>-39</v>
      </c>
      <c r="AI109" s="230">
        <f>T109-HLOOKUP(V109,[14]Minimas!$C$3:$CD$12,9,FALSE)</f>
        <v>-59</v>
      </c>
      <c r="AJ109" s="230">
        <f>T109-HLOOKUP(V109,[14]Minimas!$C$3:$CD$12,10,FALSE)</f>
        <v>-74</v>
      </c>
      <c r="AK109" s="231" t="str">
        <f>IF(E109=0," ",IF(AJ109&gt;=0,$AJ$5,IF(AI109&gt;=0,$AI$5,IF(AH109&gt;=0,$AH$5,IF(AG109&gt;=0,$AG$5,IF(AF109&gt;=0,$AF$5,IF(AE109&gt;=0,$AE$5,IF(AD109&gt;=0,$AD$5,IF(AC109&gt;=0,$AC$5,$AB$5)))))))))</f>
        <v>IRG +</v>
      </c>
      <c r="AL109" s="232"/>
      <c r="AM109" s="232" t="str">
        <f t="shared" ref="AM109" si="51">IF(AK109="","",AK109)</f>
        <v>IRG +</v>
      </c>
      <c r="AN109" s="232">
        <f>IF(E109=0," ",IF(AJ109&gt;=0,AJ109,IF(AI109&gt;=0,AI109,IF(AH109&gt;=0,AH109,IF(AG109&gt;=0,AG109,IF(AF109&gt;=0,AF109,IF(AE109&gt;=0,AE109,IF(AD109&gt;=0,AD109,IF(AC109&gt;=0,AC109,AB109)))))))))</f>
        <v>19</v>
      </c>
      <c r="AO109" s="485"/>
      <c r="AP109" s="485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  <c r="BF109" s="38"/>
      <c r="BG109" s="38"/>
      <c r="BH109" s="38"/>
      <c r="BI109" s="38"/>
      <c r="BJ109" s="38"/>
      <c r="BK109" s="38"/>
      <c r="BL109" s="38"/>
      <c r="BM109" s="38"/>
      <c r="BN109" s="38"/>
      <c r="BO109" s="38"/>
      <c r="BP109" s="38"/>
      <c r="BQ109" s="38"/>
      <c r="BR109" s="38"/>
      <c r="BS109" s="38"/>
      <c r="BT109" s="38"/>
      <c r="BU109" s="38"/>
      <c r="BV109" s="38"/>
      <c r="BW109" s="38"/>
      <c r="BX109" s="38"/>
      <c r="BY109" s="38"/>
      <c r="BZ109" s="38"/>
      <c r="CA109" s="38"/>
      <c r="CB109" s="38"/>
      <c r="CC109" s="38"/>
      <c r="CD109" s="38"/>
      <c r="CE109" s="38"/>
      <c r="CF109" s="38"/>
      <c r="CG109" s="38"/>
      <c r="CH109" s="38"/>
      <c r="CI109" s="38"/>
      <c r="CJ109" s="38"/>
      <c r="CK109" s="38"/>
      <c r="CL109" s="38"/>
      <c r="CM109" s="38"/>
      <c r="CN109" s="38"/>
      <c r="CO109" s="38"/>
      <c r="CP109" s="38"/>
      <c r="CQ109" s="38"/>
      <c r="CR109" s="38"/>
      <c r="CS109" s="38"/>
      <c r="CT109" s="38"/>
      <c r="CU109" s="38"/>
      <c r="CV109" s="38"/>
      <c r="CW109" s="38"/>
      <c r="CX109" s="38"/>
      <c r="CY109" s="38"/>
      <c r="CZ109" s="38"/>
      <c r="DA109" s="38"/>
      <c r="DB109" s="38"/>
      <c r="DC109" s="38"/>
      <c r="DD109" s="38"/>
      <c r="DE109" s="38"/>
      <c r="DF109" s="38"/>
      <c r="DG109" s="38"/>
      <c r="DH109" s="38"/>
      <c r="DI109" s="38"/>
      <c r="DJ109" s="38"/>
      <c r="DK109" s="38"/>
      <c r="DL109" s="38"/>
      <c r="DM109" s="38"/>
      <c r="DN109" s="38"/>
      <c r="DO109" s="38"/>
      <c r="DP109" s="38"/>
      <c r="DQ109" s="38"/>
      <c r="DR109" s="38"/>
      <c r="DS109" s="38"/>
      <c r="DT109" s="38"/>
    </row>
    <row r="110" spans="1:179" s="5" customFormat="1" ht="30" customHeight="1" x14ac:dyDescent="0.25">
      <c r="A110" s="484"/>
      <c r="B110" s="316" t="s">
        <v>543</v>
      </c>
      <c r="C110" s="317">
        <v>443525</v>
      </c>
      <c r="D110" s="318"/>
      <c r="E110" s="323" t="s">
        <v>44</v>
      </c>
      <c r="F110" s="319" t="s">
        <v>181</v>
      </c>
      <c r="G110" s="320" t="s">
        <v>225</v>
      </c>
      <c r="H110" s="305">
        <v>1984</v>
      </c>
      <c r="I110" s="321" t="s">
        <v>170</v>
      </c>
      <c r="J110" s="322" t="s">
        <v>44</v>
      </c>
      <c r="K110" s="326">
        <v>60.9</v>
      </c>
      <c r="L110" s="300">
        <v>45</v>
      </c>
      <c r="M110" s="301">
        <v>48</v>
      </c>
      <c r="N110" s="301">
        <v>52</v>
      </c>
      <c r="O110" s="490">
        <f t="shared" si="48"/>
        <v>52</v>
      </c>
      <c r="P110" s="300">
        <v>60</v>
      </c>
      <c r="Q110" s="301">
        <v>-65</v>
      </c>
      <c r="R110" s="301">
        <v>68</v>
      </c>
      <c r="S110" s="490">
        <f t="shared" si="37"/>
        <v>68</v>
      </c>
      <c r="T110" s="489">
        <f t="shared" si="43"/>
        <v>120</v>
      </c>
      <c r="U110" s="48" t="str">
        <f t="shared" si="49"/>
        <v>IRG + 3</v>
      </c>
      <c r="V110" s="48" t="str">
        <f>IF(E110=0," ",IF(E110="H",IF(H110&lt;1999,VLOOKUP(K110,[12]Minimas!$A$15:$F$29,6),IF(AND(H110&gt;1998,H110&lt;2002),VLOOKUP(K110,[12]Minimas!$A$15:$F$29,5),IF(AND(H110&gt;2001,H110&lt;2004),VLOOKUP(K110,[12]Minimas!$A$15:$F$29,4),IF(AND(H110&gt;2003,H110&lt;2006),VLOOKUP(K110,[12]Minimas!$A$15:$F$29,3),VLOOKUP(K110,[12]Minimas!$A$15:$F$29,2))))),IF(H110&lt;1999,VLOOKUP(K110,[12]Minimas!$G$15:$L$29,6),IF(AND(H110&gt;1998,H110&lt;2002),VLOOKUP(K110,[12]Minimas!$G$15:$L$29,5),IF(AND(H110&gt;2001,H110&lt;2004),VLOOKUP(K110,[12]Minimas!$G$15:$L$29,4),IF(AND(H110&gt;2003,H110&lt;2006),VLOOKUP(K110,[12]Minimas!$G$15:$L$29,3),VLOOKUP(K110,[12]Minimas!$G$15:$L$29,2)))))))</f>
        <v>SE F64</v>
      </c>
      <c r="W110" s="49">
        <f t="shared" si="50"/>
        <v>160.60279739349772</v>
      </c>
      <c r="X110" s="257">
        <v>43492</v>
      </c>
      <c r="Y110" s="261" t="s">
        <v>525</v>
      </c>
      <c r="Z110" s="261" t="s">
        <v>701</v>
      </c>
      <c r="AA110" s="232"/>
      <c r="AB110" s="230">
        <f>T110-HLOOKUP(V110,Minimas!$C$3:$CD$12,2,FALSE)</f>
        <v>50</v>
      </c>
      <c r="AC110" s="230">
        <f>T110-HLOOKUP(V110,Minimas!$C$3:$CD$12,3,FALSE)</f>
        <v>35</v>
      </c>
      <c r="AD110" s="230">
        <f>T110-HLOOKUP(V110,Minimas!$C$3:$CD$12,4,FALSE)</f>
        <v>20</v>
      </c>
      <c r="AE110" s="230">
        <f>T110-HLOOKUP(V110,Minimas!$C$3:$CD$12,5,FALSE)</f>
        <v>3</v>
      </c>
      <c r="AF110" s="230">
        <f>T110-HLOOKUP(V110,Minimas!$C$3:$CD$12,6,FALSE)</f>
        <v>-17</v>
      </c>
      <c r="AG110" s="230">
        <f>T110-HLOOKUP(V110,Minimas!$C$3:$CD$12,7,FALSE)</f>
        <v>-35</v>
      </c>
      <c r="AH110" s="230">
        <f>T110-HLOOKUP(V110,Minimas!$C$3:$CD$12,8,FALSE)</f>
        <v>-55</v>
      </c>
      <c r="AI110" s="230">
        <f>T110-HLOOKUP(V110,Minimas!$C$3:$CD$12,9,FALSE)</f>
        <v>-75</v>
      </c>
      <c r="AJ110" s="230">
        <f>T110-HLOOKUP(V110,Minimas!$C$3:$CD$12,10,FALSE)</f>
        <v>-90</v>
      </c>
      <c r="AK110" s="231" t="str">
        <f>IF(E110=0," ",IF(AJ110&gt;=0,$AJ$5,IF(AI110&gt;=0,$AI$5,IF(AH110&gt;=0,$AH$5,IF(AG110&gt;=0,$AG$5,IF(AF110&gt;=0,$AF$5,IF(AE110&gt;=0,$AE$5,IF(AD110&gt;=0,$AD$5,IF(AC110&gt;=0,$AC$5,$AB$5)))))))))</f>
        <v>IRG +</v>
      </c>
      <c r="AL110" s="232"/>
      <c r="AM110" s="232" t="str">
        <f t="shared" ref="AM110:AM133" si="52">IF(AK110="","",AK110)</f>
        <v>IRG +</v>
      </c>
      <c r="AN110" s="232">
        <f t="shared" ref="AN110:AN133" si="53">IF(E110=0," ",IF(AJ110&gt;=0,AJ110,IF(AI110&gt;=0,AI110,IF(AH110&gt;=0,AH110,IF(AG110&gt;=0,AG110,IF(AF110&gt;=0,AF110,IF(AE110&gt;=0,AE110,IF(AD110&gt;=0,AD110,IF(AC110&gt;=0,AC110,AB110)))))))))</f>
        <v>3</v>
      </c>
      <c r="AO110" s="485"/>
      <c r="AP110" s="485"/>
      <c r="AQ110" s="485"/>
      <c r="AR110" s="485"/>
      <c r="AS110" s="485"/>
      <c r="AT110" s="485"/>
      <c r="AU110" s="485"/>
      <c r="AV110" s="485"/>
      <c r="AW110" s="485"/>
      <c r="AX110" s="485"/>
      <c r="AY110" s="485"/>
      <c r="AZ110" s="485"/>
      <c r="BA110" s="485"/>
      <c r="BB110" s="485"/>
      <c r="BC110" s="485"/>
      <c r="BD110" s="485"/>
      <c r="BE110" s="485"/>
      <c r="BF110" s="485"/>
      <c r="BG110" s="485"/>
      <c r="BH110" s="485"/>
      <c r="BI110" s="485"/>
      <c r="BJ110" s="485"/>
      <c r="BK110" s="485"/>
      <c r="BL110" s="485"/>
      <c r="BM110" s="485"/>
      <c r="BN110" s="485"/>
      <c r="BO110" s="485"/>
      <c r="BP110" s="485"/>
      <c r="BQ110" s="485"/>
      <c r="BR110" s="485"/>
      <c r="BS110" s="485"/>
      <c r="BT110" s="485"/>
      <c r="BU110" s="485"/>
      <c r="BV110" s="485"/>
      <c r="BW110" s="485"/>
      <c r="BX110" s="485"/>
      <c r="BY110" s="485"/>
      <c r="BZ110" s="485"/>
      <c r="CA110" s="485"/>
      <c r="CB110" s="485"/>
      <c r="CC110" s="485"/>
      <c r="CD110" s="485"/>
      <c r="CE110" s="485"/>
      <c r="CF110" s="485"/>
      <c r="CG110" s="485"/>
      <c r="CH110" s="485"/>
      <c r="CI110" s="485"/>
      <c r="CJ110" s="485"/>
      <c r="CK110" s="485"/>
      <c r="CL110" s="485"/>
      <c r="CM110" s="485"/>
      <c r="CN110" s="485"/>
      <c r="CO110" s="485"/>
      <c r="CP110" s="485"/>
      <c r="CQ110" s="485"/>
      <c r="CR110" s="485"/>
      <c r="CS110" s="485"/>
      <c r="CT110" s="485"/>
      <c r="CU110" s="485"/>
      <c r="CV110" s="485"/>
      <c r="CW110" s="485"/>
      <c r="CX110" s="485"/>
      <c r="CY110" s="485"/>
      <c r="CZ110" s="485"/>
      <c r="DA110" s="485"/>
      <c r="DB110" s="485"/>
      <c r="DC110" s="485"/>
      <c r="DD110" s="485"/>
      <c r="DE110" s="485"/>
      <c r="DF110" s="485"/>
      <c r="DG110" s="485"/>
      <c r="DH110" s="485"/>
      <c r="DI110" s="485"/>
      <c r="DJ110" s="485"/>
      <c r="DK110" s="485"/>
      <c r="DL110" s="485"/>
      <c r="DM110" s="485"/>
      <c r="DN110" s="485"/>
      <c r="DO110" s="485"/>
      <c r="DP110" s="485"/>
      <c r="DQ110" s="485"/>
      <c r="DR110" s="485"/>
      <c r="DS110" s="485"/>
      <c r="DT110" s="485"/>
      <c r="DU110" s="484"/>
      <c r="DV110" s="484"/>
      <c r="DW110" s="484"/>
      <c r="DX110" s="484"/>
      <c r="DY110" s="484"/>
      <c r="DZ110" s="484"/>
      <c r="EA110" s="484"/>
      <c r="EB110" s="484"/>
      <c r="EC110" s="484"/>
      <c r="ED110" s="484"/>
      <c r="EE110" s="484"/>
      <c r="EF110" s="484"/>
      <c r="EG110" s="484"/>
      <c r="EH110" s="484"/>
      <c r="EI110" s="484"/>
      <c r="EJ110" s="484"/>
      <c r="EK110" s="484"/>
      <c r="EL110" s="484"/>
      <c r="EM110" s="484"/>
      <c r="EN110" s="484"/>
      <c r="EO110" s="484"/>
      <c r="EP110" s="484"/>
      <c r="EQ110" s="484"/>
      <c r="ER110" s="484"/>
      <c r="ES110" s="484"/>
      <c r="ET110" s="484"/>
      <c r="EU110" s="484"/>
      <c r="EV110" s="484"/>
      <c r="EW110" s="484"/>
      <c r="EX110" s="484"/>
      <c r="EY110" s="484"/>
      <c r="EZ110" s="484"/>
      <c r="FA110" s="484"/>
      <c r="FB110" s="484"/>
      <c r="FC110" s="484"/>
      <c r="FD110" s="484"/>
      <c r="FE110" s="484"/>
      <c r="FF110" s="484"/>
      <c r="FG110" s="484"/>
      <c r="FH110" s="484"/>
      <c r="FI110" s="484"/>
      <c r="FJ110" s="484"/>
      <c r="FK110" s="484"/>
      <c r="FL110" s="484"/>
      <c r="FM110" s="484"/>
      <c r="FN110" s="484"/>
      <c r="FO110" s="484"/>
      <c r="FP110" s="484"/>
      <c r="FQ110" s="484"/>
      <c r="FR110" s="484"/>
      <c r="FS110" s="484"/>
      <c r="FT110" s="484"/>
      <c r="FU110" s="484"/>
      <c r="FV110" s="484"/>
      <c r="FW110" s="484"/>
    </row>
    <row r="111" spans="1:179" s="5" customFormat="1" ht="30" customHeight="1" x14ac:dyDescent="0.3">
      <c r="B111" s="97" t="s">
        <v>543</v>
      </c>
      <c r="C111" s="116">
        <v>448057</v>
      </c>
      <c r="D111" s="265"/>
      <c r="E111" s="175" t="s">
        <v>44</v>
      </c>
      <c r="F111" s="266" t="s">
        <v>576</v>
      </c>
      <c r="G111" s="125" t="s">
        <v>577</v>
      </c>
      <c r="H111" s="267">
        <v>1992</v>
      </c>
      <c r="I111" s="158" t="s">
        <v>560</v>
      </c>
      <c r="J111" s="120"/>
      <c r="K111" s="182">
        <v>62.4</v>
      </c>
      <c r="L111" s="133">
        <v>47</v>
      </c>
      <c r="M111" s="130">
        <v>-50</v>
      </c>
      <c r="N111" s="130">
        <v>-50</v>
      </c>
      <c r="O111" s="490">
        <f t="shared" si="48"/>
        <v>47</v>
      </c>
      <c r="P111" s="109">
        <v>60</v>
      </c>
      <c r="Q111" s="109">
        <v>63</v>
      </c>
      <c r="R111" s="109">
        <v>66</v>
      </c>
      <c r="S111" s="490">
        <f t="shared" si="37"/>
        <v>66</v>
      </c>
      <c r="T111" s="489">
        <f t="shared" si="43"/>
        <v>113</v>
      </c>
      <c r="U111" s="48" t="str">
        <f t="shared" si="49"/>
        <v>REG + 13</v>
      </c>
      <c r="V111" s="48" t="str">
        <f>IF(E111=0," ",IF(E111="H",IF(H111&lt;1999,VLOOKUP(K111,Minimas!$A$15:$F$29,6),IF(AND(H111&gt;1998,H111&lt;2002),VLOOKUP(K111,Minimas!$A$15:$F$29,5),IF(AND(H111&gt;2001,H111&lt;2004),VLOOKUP(K111,Minimas!$A$15:$F$29,4),IF(AND(H111&gt;2003,H111&lt;2006),VLOOKUP(K111,Minimas!$A$15:$F$29,3),VLOOKUP(K111,Minimas!$A$15:$F$29,2))))),IF(H111&lt;1999,VLOOKUP(K111,Minimas!$G$15:$L$29,6),IF(AND(H111&gt;1998,H111&lt;2002),VLOOKUP(K111,Minimas!$G$15:$L$29,5),IF(AND(H111&gt;2001,H111&lt;2004),VLOOKUP(K111,Minimas!$G$15:$L$29,4),IF(AND(H111&gt;2003,H111&lt;2006),VLOOKUP(K111,Minimas!$G$15:$L$29,3),VLOOKUP(K111,Minimas!$G$15:$L$29,2)))))))</f>
        <v>SE F64</v>
      </c>
      <c r="W111" s="49">
        <f t="shared" si="50"/>
        <v>148.96432916069111</v>
      </c>
      <c r="X111" s="257">
        <v>43484</v>
      </c>
      <c r="Y111" s="261" t="s">
        <v>580</v>
      </c>
      <c r="Z111" s="261" t="s">
        <v>581</v>
      </c>
      <c r="AA111" s="232"/>
      <c r="AB111" s="230">
        <f>T111-HLOOKUP(V111,Minimas!$C$3:$CD$12,2,FALSE)</f>
        <v>43</v>
      </c>
      <c r="AC111" s="230">
        <f>T111-HLOOKUP(V111,Minimas!$C$3:$CD$12,3,FALSE)</f>
        <v>28</v>
      </c>
      <c r="AD111" s="230">
        <f>T111-HLOOKUP(V111,Minimas!$C$3:$CD$12,4,FALSE)</f>
        <v>13</v>
      </c>
      <c r="AE111" s="230">
        <f>T111-HLOOKUP(V111,Minimas!$C$3:$CD$12,5,FALSE)</f>
        <v>-4</v>
      </c>
      <c r="AF111" s="230">
        <f>T111-HLOOKUP(V111,Minimas!$C$3:$CD$12,6,FALSE)</f>
        <v>-24</v>
      </c>
      <c r="AG111" s="230">
        <f>T111-HLOOKUP(V111,Minimas!$C$3:$CD$12,7,FALSE)</f>
        <v>-42</v>
      </c>
      <c r="AH111" s="230">
        <f>T111-HLOOKUP(V111,Minimas!$C$3:$CD$12,8,FALSE)</f>
        <v>-62</v>
      </c>
      <c r="AI111" s="230">
        <f>T111-HLOOKUP(V111,Minimas!$C$3:$CD$12,9,FALSE)</f>
        <v>-82</v>
      </c>
      <c r="AJ111" s="230">
        <f>T111-HLOOKUP(V111,Minimas!$C$3:$CD$12,10,FALSE)</f>
        <v>-97</v>
      </c>
      <c r="AK111" s="231" t="str">
        <f>IF(E111=0," ",IF(AJ111&gt;=0,$AJ$5,IF(AI111&gt;=0,$AI$5,IF(AH111&gt;=0,$AH$5,IF(AG111&gt;=0,$AG$5,IF(AF111&gt;=0,$AF$5,IF(AE111&gt;=0,$AE$5,IF(AD111&gt;=0,$AD$5,IF(AC111&gt;=0,$AC$5,$AB$5)))))))))</f>
        <v>REG +</v>
      </c>
      <c r="AL111" s="232"/>
      <c r="AM111" s="232" t="str">
        <f t="shared" si="52"/>
        <v>REG +</v>
      </c>
      <c r="AN111" s="232">
        <f t="shared" si="53"/>
        <v>13</v>
      </c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  <c r="BF111" s="38"/>
      <c r="BG111" s="38"/>
      <c r="BH111" s="38"/>
      <c r="BI111" s="38"/>
      <c r="BJ111" s="38"/>
      <c r="BK111" s="38"/>
      <c r="BL111" s="38"/>
      <c r="BM111" s="38"/>
      <c r="BN111" s="38"/>
      <c r="BO111" s="38"/>
      <c r="BP111" s="38"/>
      <c r="BQ111" s="38"/>
      <c r="BR111" s="38"/>
      <c r="BS111" s="38"/>
      <c r="BT111" s="38"/>
      <c r="BU111" s="38"/>
      <c r="BV111" s="38"/>
      <c r="BW111" s="38"/>
      <c r="BX111" s="38"/>
      <c r="BY111" s="38"/>
      <c r="BZ111" s="38"/>
      <c r="CA111" s="38"/>
      <c r="CB111" s="38"/>
      <c r="CC111" s="38"/>
      <c r="CD111" s="38"/>
      <c r="CE111" s="38"/>
      <c r="CF111" s="38"/>
      <c r="CG111" s="38"/>
      <c r="CH111" s="38"/>
      <c r="CI111" s="38"/>
      <c r="CJ111" s="38"/>
      <c r="CK111" s="38"/>
      <c r="CL111" s="38"/>
      <c r="CM111" s="38"/>
      <c r="CN111" s="38"/>
      <c r="CO111" s="38"/>
      <c r="CP111" s="38"/>
      <c r="CQ111" s="38"/>
      <c r="CR111" s="38"/>
      <c r="CS111" s="38"/>
      <c r="CT111" s="38"/>
      <c r="CU111" s="38"/>
      <c r="CV111" s="38"/>
      <c r="CW111" s="38"/>
      <c r="CX111" s="38"/>
      <c r="CY111" s="38"/>
      <c r="CZ111" s="38"/>
      <c r="DA111" s="38"/>
      <c r="DB111" s="38"/>
      <c r="DC111" s="38"/>
      <c r="DD111" s="38"/>
      <c r="DE111" s="38"/>
      <c r="DF111" s="38"/>
      <c r="DG111" s="38"/>
      <c r="DH111" s="38"/>
      <c r="DI111" s="38"/>
      <c r="DJ111" s="38"/>
      <c r="DK111" s="38"/>
      <c r="DL111" s="38"/>
      <c r="DM111" s="38"/>
      <c r="DN111" s="38"/>
      <c r="DO111" s="38"/>
      <c r="DP111" s="38"/>
      <c r="DQ111" s="38"/>
      <c r="DR111" s="38"/>
      <c r="DS111" s="38"/>
      <c r="DT111" s="38"/>
    </row>
    <row r="112" spans="1:179" s="5" customFormat="1" ht="30" customHeight="1" x14ac:dyDescent="0.25">
      <c r="B112" s="355" t="s">
        <v>543</v>
      </c>
      <c r="C112" s="356">
        <v>445674</v>
      </c>
      <c r="D112" s="504"/>
      <c r="E112" s="498" t="s">
        <v>44</v>
      </c>
      <c r="F112" s="486" t="s">
        <v>211</v>
      </c>
      <c r="G112" s="291" t="s">
        <v>708</v>
      </c>
      <c r="H112" s="492">
        <v>1994</v>
      </c>
      <c r="I112" s="321" t="s">
        <v>322</v>
      </c>
      <c r="J112" s="493" t="s">
        <v>44</v>
      </c>
      <c r="K112" s="500">
        <v>59.5</v>
      </c>
      <c r="L112" s="300">
        <v>42</v>
      </c>
      <c r="M112" s="301">
        <v>45</v>
      </c>
      <c r="N112" s="301">
        <v>47</v>
      </c>
      <c r="O112" s="358">
        <f t="shared" si="48"/>
        <v>47</v>
      </c>
      <c r="P112" s="300">
        <v>62</v>
      </c>
      <c r="Q112" s="301">
        <v>65</v>
      </c>
      <c r="R112" s="301">
        <v>-68</v>
      </c>
      <c r="S112" s="358">
        <f t="shared" si="37"/>
        <v>65</v>
      </c>
      <c r="T112" s="359">
        <f t="shared" si="43"/>
        <v>112</v>
      </c>
      <c r="U112" s="360" t="str">
        <f t="shared" si="49"/>
        <v>REG + 12</v>
      </c>
      <c r="V112" s="360" t="str">
        <f>IF(E112=0," ",IF(E112="H",IF(H112&lt;1999,VLOOKUP(K112,[3]Minimas!$A$15:$F$29,6),IF(AND(H112&gt;1998,H112&lt;2002),VLOOKUP(K112,[3]Minimas!$A$15:$F$29,5),IF(AND(H112&gt;2001,H112&lt;2004),VLOOKUP(K112,[3]Minimas!$A$15:$F$29,4),IF(AND(H112&gt;2003,H112&lt;2006),VLOOKUP(K112,[3]Minimas!$A$15:$F$29,3),VLOOKUP(K112,[3]Minimas!$A$15:$F$29,2))))),IF(H112&lt;1999,VLOOKUP(K112,[3]Minimas!$G$15:$L$29,6),IF(AND(H112&gt;1998,H112&lt;2002),VLOOKUP(K112,[3]Minimas!$G$15:$L$29,5),IF(AND(H112&gt;2001,H112&lt;2004),VLOOKUP(K112,[3]Minimas!$G$15:$L$29,4),IF(AND(H112&gt;2003,H112&lt;2006),VLOOKUP(K112,[3]Minimas!$G$15:$L$29,3),VLOOKUP(K112,[3]Minimas!$G$15:$L$29,2)))))))</f>
        <v>SE F64</v>
      </c>
      <c r="W112" s="361">
        <f t="shared" si="50"/>
        <v>152.13572675462257</v>
      </c>
      <c r="X112" s="257">
        <v>43610</v>
      </c>
      <c r="Y112" s="261" t="s">
        <v>892</v>
      </c>
      <c r="Z112" s="261" t="s">
        <v>829</v>
      </c>
      <c r="AA112" s="232"/>
      <c r="AB112" s="230">
        <f>T112-HLOOKUP(V112,[3]Minimas!$C$3:$CD$12,2,FALSE)</f>
        <v>42</v>
      </c>
      <c r="AC112" s="230">
        <f>T112-HLOOKUP(V112,[3]Minimas!$C$3:$CD$12,3,FALSE)</f>
        <v>27</v>
      </c>
      <c r="AD112" s="230">
        <f>T112-HLOOKUP(V112,[3]Minimas!$C$3:$CD$12,4,FALSE)</f>
        <v>12</v>
      </c>
      <c r="AE112" s="230">
        <f>T112-HLOOKUP(V112,[3]Minimas!$C$3:$CD$12,5,FALSE)</f>
        <v>-5</v>
      </c>
      <c r="AF112" s="230">
        <f>T112-HLOOKUP(V112,[3]Minimas!$C$3:$CD$12,6,FALSE)</f>
        <v>-25</v>
      </c>
      <c r="AG112" s="230">
        <f>T112-HLOOKUP(V112,[3]Minimas!$C$3:$CD$12,7,FALSE)</f>
        <v>-43</v>
      </c>
      <c r="AH112" s="230">
        <f>T112-HLOOKUP(V112,[3]Minimas!$C$3:$CD$12,8,FALSE)</f>
        <v>-63</v>
      </c>
      <c r="AI112" s="230">
        <f>T112-HLOOKUP(V112,[3]Minimas!$C$3:$CD$12,9,FALSE)</f>
        <v>-83</v>
      </c>
      <c r="AJ112" s="230">
        <f>T112-HLOOKUP(V112,[3]Minimas!$C$3:$CD$12,10,FALSE)</f>
        <v>-98</v>
      </c>
      <c r="AK112" s="231" t="str">
        <f>IF(E112=0," ",IF(AJ112&gt;=0,$AJ$5,IF(AI112&gt;=0,$AI$5,IF(AH112&gt;=0,$AH$5,IF(AG112&gt;=0,$AG$5,IF(AF112&gt;=0,$AF$5,IF(AE112&gt;=0,$AE$5,IF(AD112&gt;=0,$AD$5,IF(AC112&gt;=0,$AC$5,$AB$5)))))))))</f>
        <v>REG +</v>
      </c>
      <c r="AL112" s="232"/>
      <c r="AM112" s="232" t="str">
        <f t="shared" si="52"/>
        <v>REG +</v>
      </c>
      <c r="AN112" s="232">
        <f t="shared" si="53"/>
        <v>12</v>
      </c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  <c r="BF112" s="38"/>
      <c r="BG112" s="38"/>
      <c r="BH112" s="38"/>
      <c r="BI112" s="38"/>
      <c r="BJ112" s="38"/>
      <c r="BK112" s="38"/>
      <c r="BL112" s="38"/>
      <c r="BM112" s="38"/>
      <c r="BN112" s="38"/>
      <c r="BO112" s="38"/>
      <c r="BP112" s="38"/>
      <c r="BQ112" s="38"/>
      <c r="BR112" s="38"/>
      <c r="BS112" s="38"/>
      <c r="BT112" s="38"/>
      <c r="BU112" s="38"/>
      <c r="BV112" s="38"/>
      <c r="BW112" s="38"/>
      <c r="BX112" s="38"/>
      <c r="BY112" s="38"/>
      <c r="BZ112" s="38"/>
      <c r="CA112" s="38"/>
      <c r="CB112" s="38"/>
      <c r="CC112" s="38"/>
      <c r="CD112" s="38"/>
      <c r="CE112" s="38"/>
      <c r="CF112" s="38"/>
      <c r="CG112" s="38"/>
      <c r="CH112" s="38"/>
      <c r="CI112" s="38"/>
      <c r="CJ112" s="38"/>
      <c r="CK112" s="38"/>
      <c r="CL112" s="38"/>
      <c r="CM112" s="38"/>
      <c r="CN112" s="38"/>
      <c r="CO112" s="38"/>
      <c r="CP112" s="38"/>
      <c r="CQ112" s="38"/>
      <c r="CR112" s="38"/>
      <c r="CS112" s="38"/>
      <c r="CT112" s="38"/>
      <c r="CU112" s="38"/>
      <c r="CV112" s="38"/>
      <c r="CW112" s="38"/>
      <c r="CX112" s="38"/>
      <c r="CY112" s="38"/>
      <c r="CZ112" s="38"/>
      <c r="DA112" s="38"/>
      <c r="DB112" s="38"/>
      <c r="DC112" s="38"/>
      <c r="DD112" s="38"/>
      <c r="DE112" s="38"/>
      <c r="DF112" s="38"/>
      <c r="DG112" s="38"/>
      <c r="DH112" s="38"/>
      <c r="DI112" s="38"/>
      <c r="DJ112" s="38"/>
      <c r="DK112" s="38"/>
      <c r="DL112" s="38"/>
      <c r="DM112" s="38"/>
      <c r="DN112" s="38"/>
      <c r="DO112" s="38"/>
      <c r="DP112" s="38"/>
      <c r="DQ112" s="38"/>
      <c r="DR112" s="38"/>
      <c r="DS112" s="38"/>
      <c r="DT112" s="38"/>
    </row>
    <row r="113" spans="1:179" s="5" customFormat="1" ht="30" customHeight="1" x14ac:dyDescent="0.25">
      <c r="B113" s="355" t="s">
        <v>543</v>
      </c>
      <c r="C113" s="356">
        <v>445676</v>
      </c>
      <c r="D113" s="357"/>
      <c r="E113" s="323" t="s">
        <v>44</v>
      </c>
      <c r="F113" s="328" t="s">
        <v>571</v>
      </c>
      <c r="G113" s="487" t="s">
        <v>572</v>
      </c>
      <c r="H113" s="329">
        <v>1988</v>
      </c>
      <c r="I113" s="330" t="s">
        <v>709</v>
      </c>
      <c r="J113" s="331" t="s">
        <v>44</v>
      </c>
      <c r="K113" s="297">
        <v>64</v>
      </c>
      <c r="L113" s="300">
        <v>40</v>
      </c>
      <c r="M113" s="301">
        <v>44</v>
      </c>
      <c r="N113" s="301">
        <v>-48</v>
      </c>
      <c r="O113" s="358">
        <f t="shared" si="48"/>
        <v>44</v>
      </c>
      <c r="P113" s="300">
        <v>60</v>
      </c>
      <c r="Q113" s="301">
        <v>64</v>
      </c>
      <c r="R113" s="301">
        <v>67</v>
      </c>
      <c r="S113" s="358">
        <f t="shared" si="37"/>
        <v>67</v>
      </c>
      <c r="T113" s="359">
        <f t="shared" si="43"/>
        <v>111</v>
      </c>
      <c r="U113" s="360" t="str">
        <f t="shared" si="49"/>
        <v>REG + 11</v>
      </c>
      <c r="V113" s="360" t="str">
        <f>IF(E113=0," ",IF(E113="H",IF(H113&lt;1999,VLOOKUP(K113,[15]Minimas!$A$15:$F$29,6),IF(AND(H113&gt;1998,H113&lt;2002),VLOOKUP(K113,[15]Minimas!$A$15:$F$29,5),IF(AND(H113&gt;2001,H113&lt;2004),VLOOKUP(K113,[15]Minimas!$A$15:$F$29,4),IF(AND(H113&gt;2003,H113&lt;2006),VLOOKUP(K113,[15]Minimas!$A$15:$F$29,3),VLOOKUP(K113,[15]Minimas!$A$15:$F$29,2))))),IF(H113&lt;1999,VLOOKUP(K113,[15]Minimas!$G$15:$L$29,6),IF(AND(H113&gt;1998,H113&lt;2002),VLOOKUP(K113,[15]Minimas!$G$15:$L$29,5),IF(AND(H113&gt;2001,H113&lt;2004),VLOOKUP(K113,[15]Minimas!$G$15:$L$29,4),IF(AND(H113&gt;2003,H113&lt;2006),VLOOKUP(K113,[15]Minimas!$G$15:$L$29,3),VLOOKUP(K113,[15]Minimas!$G$15:$L$29,2)))))))</f>
        <v>SE F64</v>
      </c>
      <c r="W113" s="361">
        <f t="shared" si="50"/>
        <v>144.1048135498973</v>
      </c>
      <c r="X113" s="257">
        <v>43526</v>
      </c>
      <c r="Y113" s="261" t="s">
        <v>705</v>
      </c>
      <c r="Z113" s="261" t="s">
        <v>711</v>
      </c>
      <c r="AA113" s="232"/>
      <c r="AB113" s="230">
        <f>T113-HLOOKUP(V113,[15]Minimas!$C$3:$CD$12,2,FALSE)</f>
        <v>41</v>
      </c>
      <c r="AC113" s="230">
        <f>T113-HLOOKUP(V113,[15]Minimas!$C$3:$CD$12,3,FALSE)</f>
        <v>26</v>
      </c>
      <c r="AD113" s="230">
        <f>T113-HLOOKUP(V113,[15]Minimas!$C$3:$CD$12,4,FALSE)</f>
        <v>11</v>
      </c>
      <c r="AE113" s="230">
        <f>T113-HLOOKUP(V113,[15]Minimas!$C$3:$CD$12,5,FALSE)</f>
        <v>-6</v>
      </c>
      <c r="AF113" s="230">
        <f>T113-HLOOKUP(V113,[15]Minimas!$C$3:$CD$12,6,FALSE)</f>
        <v>-26</v>
      </c>
      <c r="AG113" s="230">
        <f>T113-HLOOKUP(V113,[15]Minimas!$C$3:$CD$12,7,FALSE)</f>
        <v>-44</v>
      </c>
      <c r="AH113" s="230">
        <f>T113-HLOOKUP(V113,[15]Minimas!$C$3:$CD$12,8,FALSE)</f>
        <v>-64</v>
      </c>
      <c r="AI113" s="230">
        <f>T113-HLOOKUP(V113,[15]Minimas!$C$3:$CD$12,9,FALSE)</f>
        <v>-84</v>
      </c>
      <c r="AJ113" s="230">
        <f>T113-HLOOKUP(V113,[15]Minimas!$C$3:$CD$12,10,FALSE)</f>
        <v>-99</v>
      </c>
      <c r="AK113" s="231" t="str">
        <f>IF(E113=0," ",IF(AJ113&gt;=0,$AJ$5,IF(AI113&gt;=0,$AI$5,IF(AH113&gt;=0,$AH$5,IF(AG113&gt;=0,$AG$5,IF(AF113&gt;=0,$AF$5,IF(AE113&gt;=0,$AE$5,IF(AD113&gt;=0,$AD$5,IF(AC113&gt;=0,$AC$5,$AB$5)))))))))</f>
        <v>REG +</v>
      </c>
      <c r="AL113" s="232"/>
      <c r="AM113" s="232" t="str">
        <f t="shared" si="52"/>
        <v>REG +</v>
      </c>
      <c r="AN113" s="232">
        <f t="shared" si="53"/>
        <v>11</v>
      </c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  <c r="BF113" s="38"/>
      <c r="BG113" s="38"/>
      <c r="BH113" s="38"/>
      <c r="BI113" s="38"/>
      <c r="BJ113" s="38"/>
      <c r="BK113" s="38"/>
      <c r="BL113" s="38"/>
      <c r="BM113" s="38"/>
      <c r="BN113" s="38"/>
      <c r="BO113" s="38"/>
      <c r="BP113" s="38"/>
      <c r="BQ113" s="38"/>
      <c r="BR113" s="38"/>
      <c r="BS113" s="38"/>
      <c r="BT113" s="38"/>
      <c r="BU113" s="38"/>
      <c r="BV113" s="38"/>
      <c r="BW113" s="38"/>
      <c r="BX113" s="38"/>
      <c r="BY113" s="38"/>
      <c r="BZ113" s="38"/>
      <c r="CA113" s="38"/>
      <c r="CB113" s="38"/>
      <c r="CC113" s="38"/>
      <c r="CD113" s="38"/>
      <c r="CE113" s="38"/>
      <c r="CF113" s="38"/>
      <c r="CG113" s="38"/>
      <c r="CH113" s="38"/>
      <c r="CI113" s="38"/>
      <c r="CJ113" s="38"/>
      <c r="CK113" s="38"/>
      <c r="CL113" s="38"/>
      <c r="CM113" s="38"/>
      <c r="CN113" s="38"/>
      <c r="CO113" s="38"/>
      <c r="CP113" s="38"/>
      <c r="CQ113" s="38"/>
      <c r="CR113" s="38"/>
      <c r="CS113" s="38"/>
      <c r="CT113" s="38"/>
      <c r="CU113" s="38"/>
      <c r="CV113" s="38"/>
      <c r="CW113" s="38"/>
      <c r="CX113" s="38"/>
      <c r="CY113" s="38"/>
      <c r="CZ113" s="38"/>
      <c r="DA113" s="38"/>
      <c r="DB113" s="38"/>
      <c r="DC113" s="38"/>
      <c r="DD113" s="38"/>
      <c r="DE113" s="38"/>
      <c r="DF113" s="38"/>
      <c r="DG113" s="38"/>
      <c r="DH113" s="38"/>
      <c r="DI113" s="38"/>
      <c r="DJ113" s="38"/>
      <c r="DK113" s="38"/>
      <c r="DL113" s="38"/>
      <c r="DM113" s="38"/>
      <c r="DN113" s="38"/>
      <c r="DO113" s="38"/>
      <c r="DP113" s="38"/>
      <c r="DQ113" s="38"/>
      <c r="DR113" s="38"/>
      <c r="DS113" s="38"/>
      <c r="DT113" s="38"/>
    </row>
    <row r="114" spans="1:179" s="5" customFormat="1" ht="30" customHeight="1" x14ac:dyDescent="0.3">
      <c r="B114" s="517" t="s">
        <v>543</v>
      </c>
      <c r="C114" s="525">
        <v>441230</v>
      </c>
      <c r="D114" s="532"/>
      <c r="E114" s="406" t="s">
        <v>44</v>
      </c>
      <c r="F114" s="545" t="s">
        <v>191</v>
      </c>
      <c r="G114" s="552" t="s">
        <v>192</v>
      </c>
      <c r="H114" s="557">
        <v>1993</v>
      </c>
      <c r="I114" s="644" t="s">
        <v>188</v>
      </c>
      <c r="J114" s="379" t="s">
        <v>44</v>
      </c>
      <c r="K114" s="580">
        <v>59.4</v>
      </c>
      <c r="L114" s="456">
        <v>43</v>
      </c>
      <c r="M114" s="457">
        <v>45</v>
      </c>
      <c r="N114" s="457">
        <v>47</v>
      </c>
      <c r="O114" s="490">
        <f t="shared" si="48"/>
        <v>47</v>
      </c>
      <c r="P114" s="590">
        <v>-55</v>
      </c>
      <c r="Q114" s="457">
        <v>55</v>
      </c>
      <c r="R114" s="457">
        <v>58</v>
      </c>
      <c r="S114" s="490">
        <f t="shared" si="37"/>
        <v>58</v>
      </c>
      <c r="T114" s="489">
        <f t="shared" si="43"/>
        <v>105</v>
      </c>
      <c r="U114" s="48" t="str">
        <f t="shared" si="49"/>
        <v>REG + 5</v>
      </c>
      <c r="V114" s="48" t="str">
        <f>IF(E114=0," ",IF(E114="H",IF(H114&lt;1999,VLOOKUP(K114,Minimas!$A$15:$F$29,6),IF(AND(H114&gt;1998,H114&lt;2002),VLOOKUP(K114,Minimas!$A$15:$F$29,5),IF(AND(H114&gt;2001,H114&lt;2004),VLOOKUP(K114,Minimas!$A$15:$F$29,4),IF(AND(H114&gt;2003,H114&lt;2006),VLOOKUP(K114,Minimas!$A$15:$F$29,3),VLOOKUP(K114,Minimas!$A$15:$F$29,2))))),IF(H114&lt;1999,VLOOKUP(K114,Minimas!$G$15:$L$29,6),IF(AND(H114&gt;1998,H114&lt;2002),VLOOKUP(K114,Minimas!$G$15:$L$29,5),IF(AND(H114&gt;2001,H114&lt;2004),VLOOKUP(K114,Minimas!$G$15:$L$29,4),IF(AND(H114&gt;2003,H114&lt;2006),VLOOKUP(K114,Minimas!$G$15:$L$29,3),VLOOKUP(K114,Minimas!$G$15:$L$29,2)))))))</f>
        <v>SE F64</v>
      </c>
      <c r="W114" s="49">
        <f t="shared" si="50"/>
        <v>142.78236382431015</v>
      </c>
      <c r="X114" s="184">
        <v>43401</v>
      </c>
      <c r="Y114" s="278" t="s">
        <v>507</v>
      </c>
      <c r="Z114" s="278"/>
      <c r="AA114" s="232"/>
      <c r="AB114" s="230">
        <f>T114-HLOOKUP(V114,Minimas!$C$3:$CD$12,2,FALSE)</f>
        <v>35</v>
      </c>
      <c r="AC114" s="230">
        <f>T114-HLOOKUP(V114,Minimas!$C$3:$CD$12,3,FALSE)</f>
        <v>20</v>
      </c>
      <c r="AD114" s="230">
        <f>T114-HLOOKUP(V114,Minimas!$C$3:$CD$12,4,FALSE)</f>
        <v>5</v>
      </c>
      <c r="AE114" s="230">
        <f>T114-HLOOKUP(V114,Minimas!$C$3:$CD$12,5,FALSE)</f>
        <v>-12</v>
      </c>
      <c r="AF114" s="230">
        <f>T114-HLOOKUP(V114,Minimas!$C$3:$CD$12,6,FALSE)</f>
        <v>-32</v>
      </c>
      <c r="AG114" s="230">
        <f>T114-HLOOKUP(V114,Minimas!$C$3:$CD$12,7,FALSE)</f>
        <v>-50</v>
      </c>
      <c r="AH114" s="230">
        <f>T114-HLOOKUP(V114,Minimas!$C$3:$CD$12,8,FALSE)</f>
        <v>-70</v>
      </c>
      <c r="AI114" s="230">
        <f>T114-HLOOKUP(V114,Minimas!$C$3:$CD$12,9,FALSE)</f>
        <v>-90</v>
      </c>
      <c r="AJ114" s="230">
        <f>T114-HLOOKUP(V114,Minimas!$C$3:$CD$12,10,FALSE)</f>
        <v>-105</v>
      </c>
      <c r="AK114" s="231" t="str">
        <f>IF(E114=0," ",IF(AJ114&gt;=0,$AJ$5,IF(AI114&gt;=0,$AI$5,IF(AH114&gt;=0,$AH$5,IF(AG114&gt;=0,$AG$5,IF(AF114&gt;=0,$AF$5,IF(AE114&gt;=0,$AE$5,IF(AD114&gt;=0,$AD$5,IF(AC114&gt;=0,$AC$5,$AB$5)))))))))</f>
        <v>REG +</v>
      </c>
      <c r="AL114" s="232"/>
      <c r="AM114" s="232" t="str">
        <f t="shared" si="52"/>
        <v>REG +</v>
      </c>
      <c r="AN114" s="232">
        <f t="shared" si="53"/>
        <v>5</v>
      </c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  <c r="BF114" s="38"/>
      <c r="BG114" s="38"/>
      <c r="BH114" s="38"/>
      <c r="BI114" s="38"/>
      <c r="BJ114" s="38"/>
      <c r="BK114" s="38"/>
      <c r="BL114" s="38"/>
      <c r="BM114" s="38"/>
      <c r="BN114" s="38"/>
      <c r="BO114" s="38"/>
      <c r="BP114" s="38"/>
      <c r="BQ114" s="38"/>
      <c r="BR114" s="38"/>
      <c r="BS114" s="38"/>
      <c r="BT114" s="38"/>
      <c r="BU114" s="38"/>
      <c r="BV114" s="38"/>
      <c r="BW114" s="38"/>
      <c r="BX114" s="38"/>
      <c r="BY114" s="38"/>
      <c r="BZ114" s="38"/>
      <c r="CA114" s="38"/>
      <c r="CB114" s="38"/>
      <c r="CC114" s="38"/>
      <c r="CD114" s="38"/>
      <c r="CE114" s="38"/>
      <c r="CF114" s="38"/>
      <c r="CG114" s="38"/>
      <c r="CH114" s="38"/>
      <c r="CI114" s="38"/>
      <c r="CJ114" s="38"/>
      <c r="CK114" s="38"/>
      <c r="CL114" s="38"/>
      <c r="CM114" s="38"/>
      <c r="CN114" s="38"/>
      <c r="CO114" s="38"/>
      <c r="CP114" s="38"/>
      <c r="CQ114" s="38"/>
      <c r="CR114" s="38"/>
      <c r="CS114" s="38"/>
      <c r="CT114" s="38"/>
      <c r="CU114" s="38"/>
      <c r="CV114" s="38"/>
      <c r="CW114" s="38"/>
      <c r="CX114" s="38"/>
      <c r="CY114" s="38"/>
      <c r="CZ114" s="38"/>
      <c r="DA114" s="38"/>
      <c r="DB114" s="38"/>
      <c r="DC114" s="38"/>
      <c r="DD114" s="38"/>
      <c r="DE114" s="38"/>
      <c r="DF114" s="38"/>
      <c r="DG114" s="38"/>
      <c r="DH114" s="38"/>
      <c r="DI114" s="38"/>
      <c r="DJ114" s="38"/>
      <c r="DK114" s="38"/>
      <c r="DL114" s="38"/>
      <c r="DM114" s="38"/>
      <c r="DN114" s="38"/>
      <c r="DO114" s="38"/>
      <c r="DP114" s="38"/>
      <c r="DQ114" s="38"/>
      <c r="DR114" s="38"/>
      <c r="DS114" s="38"/>
      <c r="DT114" s="38"/>
    </row>
    <row r="115" spans="1:179" s="5" customFormat="1" ht="30" customHeight="1" x14ac:dyDescent="0.25">
      <c r="A115" s="1"/>
      <c r="B115" s="515" t="s">
        <v>543</v>
      </c>
      <c r="C115" s="499">
        <v>442052</v>
      </c>
      <c r="D115" s="496"/>
      <c r="E115" s="315" t="s">
        <v>44</v>
      </c>
      <c r="F115" s="486" t="s">
        <v>723</v>
      </c>
      <c r="G115" s="487" t="s">
        <v>724</v>
      </c>
      <c r="H115" s="492">
        <v>1991</v>
      </c>
      <c r="I115" s="528" t="s">
        <v>129</v>
      </c>
      <c r="J115" s="493" t="s">
        <v>44</v>
      </c>
      <c r="K115" s="488">
        <v>60.9</v>
      </c>
      <c r="L115" s="300">
        <v>35</v>
      </c>
      <c r="M115" s="301">
        <v>38</v>
      </c>
      <c r="N115" s="301">
        <v>40</v>
      </c>
      <c r="O115" s="490">
        <f t="shared" si="48"/>
        <v>40</v>
      </c>
      <c r="P115" s="300">
        <v>50</v>
      </c>
      <c r="Q115" s="301">
        <v>55</v>
      </c>
      <c r="R115" s="301">
        <v>60</v>
      </c>
      <c r="S115" s="490">
        <f t="shared" si="37"/>
        <v>60</v>
      </c>
      <c r="T115" s="489">
        <f>IF(E115="","",O115+S115)</f>
        <v>100</v>
      </c>
      <c r="U115" s="48" t="str">
        <f t="shared" si="49"/>
        <v>REG + 0</v>
      </c>
      <c r="V115" s="48" t="str">
        <f>IF(E115=0," ",IF(E115="H",IF(H115&lt;1999,VLOOKUP(K115,[13]Minimas!$A$15:$F$29,6),IF(AND(H115&gt;1998,H115&lt;2002),VLOOKUP(K115,[13]Minimas!$A$15:$F$29,5),IF(AND(H115&gt;2001,H115&lt;2004),VLOOKUP(K115,[13]Minimas!$A$15:$F$29,4),IF(AND(H115&gt;2003,H115&lt;2006),VLOOKUP(K115,[13]Minimas!$A$15:$F$29,3),VLOOKUP(K115,[13]Minimas!$A$15:$F$29,2))))),IF(H115&lt;1999,VLOOKUP(K115,[13]Minimas!$G$15:$L$29,6),IF(AND(H115&gt;1998,H115&lt;2002),VLOOKUP(K115,[13]Minimas!$G$15:$L$29,5),IF(AND(H115&gt;2001,H115&lt;2004),VLOOKUP(K115,[13]Minimas!$G$15:$L$29,4),IF(AND(H115&gt;2003,H115&lt;2006),VLOOKUP(K115,[13]Minimas!$G$15:$L$29,3),VLOOKUP(K115,[13]Minimas!$G$15:$L$29,2)))))))</f>
        <v>SE F64</v>
      </c>
      <c r="W115" s="49">
        <f t="shared" si="50"/>
        <v>133.83566449458144</v>
      </c>
      <c r="X115" s="257">
        <v>43540</v>
      </c>
      <c r="Y115" s="261" t="s">
        <v>714</v>
      </c>
      <c r="Z115" s="261" t="s">
        <v>704</v>
      </c>
      <c r="AA115" s="463"/>
      <c r="AB115" s="230">
        <f>T115-HLOOKUP(V115,Minimas!$C$3:$CD$12,2,FALSE)</f>
        <v>30</v>
      </c>
      <c r="AC115" s="230">
        <f>T115-HLOOKUP(V115,Minimas!$C$3:$CD$12,3,FALSE)</f>
        <v>15</v>
      </c>
      <c r="AD115" s="230">
        <f>T115-HLOOKUP(V115,Minimas!$C$3:$CD$12,4,FALSE)</f>
        <v>0</v>
      </c>
      <c r="AE115" s="230">
        <f>T115-HLOOKUP(V115,Minimas!$C$3:$CD$12,5,FALSE)</f>
        <v>-17</v>
      </c>
      <c r="AF115" s="230">
        <f>T115-HLOOKUP(V115,Minimas!$C$3:$CD$12,6,FALSE)</f>
        <v>-37</v>
      </c>
      <c r="AG115" s="230">
        <f>T115-HLOOKUP(V115,Minimas!$C$3:$CD$12,7,FALSE)</f>
        <v>-55</v>
      </c>
      <c r="AH115" s="230">
        <f>T115-HLOOKUP(V115,Minimas!$C$3:$CD$12,8,FALSE)</f>
        <v>-75</v>
      </c>
      <c r="AI115" s="230">
        <f>T115-HLOOKUP(V115,Minimas!$C$3:$CD$12,9,FALSE)</f>
        <v>-95</v>
      </c>
      <c r="AJ115" s="230">
        <f>T115-HLOOKUP(V115,Minimas!$C$3:$CD$12,10,FALSE)</f>
        <v>-110</v>
      </c>
      <c r="AK115" s="231" t="str">
        <f>IF(E115=0," ",IF(AJ115&gt;=0,MASCULINS!$AJ$5,IF(AI115&gt;=0,MASCULINS!$AI$5,IF(AH115&gt;=0,MASCULINS!$AH$5,IF(AG115&gt;=0,MASCULINS!$AG$5,IF(AF115&gt;=0,MASCULINS!$AF$5,IF(AE115&gt;=0,MASCULINS!$AE$5,IF(AD115&gt;=0,MASCULINS!$AD$5,IF(AC115&gt;=0,MASCULINS!$AC$5,MASCULINS!$AB$5)))))))))</f>
        <v>REG +</v>
      </c>
      <c r="AL115" s="232"/>
      <c r="AM115" s="232" t="str">
        <f t="shared" si="52"/>
        <v>REG +</v>
      </c>
      <c r="AN115" s="232">
        <f t="shared" si="53"/>
        <v>0</v>
      </c>
      <c r="AO115" s="34"/>
      <c r="AP115" s="34"/>
      <c r="AQ115" s="34"/>
      <c r="AR115" s="34"/>
      <c r="AS115" s="34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  <c r="BF115" s="34"/>
      <c r="BG115" s="34"/>
      <c r="BH115" s="34"/>
      <c r="BI115" s="34"/>
      <c r="BJ115" s="34"/>
      <c r="BK115" s="34"/>
      <c r="BL115" s="34"/>
      <c r="BM115" s="34"/>
      <c r="BN115" s="34"/>
      <c r="BO115" s="34"/>
      <c r="BP115" s="34"/>
      <c r="BQ115" s="34"/>
      <c r="BR115" s="34"/>
      <c r="BS115" s="34"/>
      <c r="BT115" s="34"/>
      <c r="BU115" s="34"/>
      <c r="BV115" s="34"/>
      <c r="BW115" s="34"/>
      <c r="BX115" s="34"/>
      <c r="BY115" s="34"/>
      <c r="BZ115" s="34"/>
      <c r="CA115" s="34"/>
      <c r="CB115" s="34"/>
      <c r="CC115" s="34"/>
      <c r="CD115" s="34"/>
      <c r="CE115" s="34"/>
      <c r="CF115" s="34"/>
      <c r="CG115" s="34"/>
      <c r="CH115" s="34"/>
      <c r="CI115" s="34"/>
      <c r="CJ115" s="34"/>
      <c r="CK115" s="34"/>
      <c r="CL115" s="34"/>
      <c r="CM115" s="34"/>
      <c r="CN115" s="34"/>
      <c r="CO115" s="34"/>
      <c r="CP115" s="34"/>
      <c r="CQ115" s="34"/>
      <c r="CR115" s="34"/>
      <c r="CS115" s="34"/>
      <c r="CT115" s="34"/>
      <c r="CU115" s="34"/>
      <c r="CV115" s="34"/>
      <c r="CW115" s="34"/>
      <c r="CX115" s="34"/>
      <c r="CY115" s="34"/>
      <c r="CZ115" s="34"/>
      <c r="DA115" s="34"/>
      <c r="DB115" s="34"/>
      <c r="DC115" s="34"/>
      <c r="DD115" s="34"/>
      <c r="DE115" s="34"/>
      <c r="DF115" s="34"/>
      <c r="DG115" s="34"/>
      <c r="DH115" s="34"/>
      <c r="DI115" s="34"/>
      <c r="DJ115" s="34"/>
      <c r="DK115" s="34"/>
      <c r="DL115" s="34"/>
      <c r="DM115" s="34"/>
      <c r="DN115" s="34"/>
      <c r="DO115" s="34"/>
      <c r="DP115" s="34"/>
      <c r="DQ115" s="34"/>
      <c r="DR115" s="34"/>
      <c r="DS115" s="34"/>
      <c r="DT115" s="34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</row>
    <row r="116" spans="1:179" s="5" customFormat="1" ht="30" customHeight="1" x14ac:dyDescent="0.25">
      <c r="B116" s="495" t="s">
        <v>543</v>
      </c>
      <c r="C116" s="499">
        <v>424104</v>
      </c>
      <c r="D116" s="496"/>
      <c r="E116" s="323" t="s">
        <v>44</v>
      </c>
      <c r="F116" s="328" t="s">
        <v>193</v>
      </c>
      <c r="G116" s="487" t="s">
        <v>811</v>
      </c>
      <c r="H116" s="329">
        <v>1972</v>
      </c>
      <c r="I116" s="330" t="s">
        <v>195</v>
      </c>
      <c r="J116" s="331" t="s">
        <v>44</v>
      </c>
      <c r="K116" s="488">
        <v>59.55</v>
      </c>
      <c r="L116" s="448">
        <v>-40</v>
      </c>
      <c r="M116" s="301">
        <v>40</v>
      </c>
      <c r="N116" s="301">
        <v>44</v>
      </c>
      <c r="O116" s="490">
        <f t="shared" si="48"/>
        <v>44</v>
      </c>
      <c r="P116" s="300">
        <v>50</v>
      </c>
      <c r="Q116" s="301">
        <v>55</v>
      </c>
      <c r="R116" s="449">
        <v>-60</v>
      </c>
      <c r="S116" s="490">
        <f t="shared" si="37"/>
        <v>55</v>
      </c>
      <c r="T116" s="489">
        <f>IF(E116="","",IF(OR(O116=0,S116=0),0,O116+S116))</f>
        <v>99</v>
      </c>
      <c r="U116" s="48" t="str">
        <f t="shared" si="49"/>
        <v>DPT + 14</v>
      </c>
      <c r="V116" s="48" t="str">
        <f>IF(E116=0," ",IF(E116="H",IF(H116&lt;1999,VLOOKUP(K116,[5]Minimas!$A$15:$F$29,6),IF(AND(H116&gt;1998,H116&lt;2002),VLOOKUP(K116,[5]Minimas!$A$15:$F$29,5),IF(AND(H116&gt;2001,H116&lt;2004),VLOOKUP(K116,[5]Minimas!$A$15:$F$29,4),IF(AND(H116&gt;2003,H116&lt;2006),VLOOKUP(K116,[5]Minimas!$A$15:$F$29,3),VLOOKUP(K116,[5]Minimas!$A$15:$F$29,2))))),IF(H116&lt;1999,VLOOKUP(K116,[5]Minimas!$G$15:$L$29,6),IF(AND(H116&gt;1998,H116&lt;2002),VLOOKUP(K116,[5]Minimas!$G$15:$L$29,5),IF(AND(H116&gt;2001,H116&lt;2004),VLOOKUP(K116,[5]Minimas!$G$15:$L$29,4),IF(AND(H116&gt;2003,H116&lt;2006),VLOOKUP(K116,[5]Minimas!$G$15:$L$29,3),VLOOKUP(K116,[5]Minimas!$G$15:$L$29,2)))))))</f>
        <v>SE F64</v>
      </c>
      <c r="W116" s="49">
        <f t="shared" si="50"/>
        <v>134.40423615183249</v>
      </c>
      <c r="X116" s="257">
        <v>43555</v>
      </c>
      <c r="Y116" s="261" t="s">
        <v>805</v>
      </c>
      <c r="Z116" s="261" t="s">
        <v>806</v>
      </c>
      <c r="AA116" s="232"/>
      <c r="AB116" s="230">
        <f>T116-HLOOKUP(V116,[5]Minimas!$C$3:$CD$12,2,FALSE)</f>
        <v>29</v>
      </c>
      <c r="AC116" s="230">
        <f>T116-HLOOKUP(V116,[5]Minimas!$C$3:$CD$12,3,FALSE)</f>
        <v>14</v>
      </c>
      <c r="AD116" s="230">
        <f>T116-HLOOKUP(V116,[5]Minimas!$C$3:$CD$12,4,FALSE)</f>
        <v>-1</v>
      </c>
      <c r="AE116" s="230">
        <f>T116-HLOOKUP(V116,[5]Minimas!$C$3:$CD$12,5,FALSE)</f>
        <v>-18</v>
      </c>
      <c r="AF116" s="230">
        <f>T116-HLOOKUP(V116,[5]Minimas!$C$3:$CD$12,6,FALSE)</f>
        <v>-38</v>
      </c>
      <c r="AG116" s="230">
        <f>T116-HLOOKUP(V116,[5]Minimas!$C$3:$CD$12,7,FALSE)</f>
        <v>-56</v>
      </c>
      <c r="AH116" s="230">
        <f>T116-HLOOKUP(V116,[5]Minimas!$C$3:$CD$12,8,FALSE)</f>
        <v>-76</v>
      </c>
      <c r="AI116" s="230">
        <f>T116-HLOOKUP(V116,[5]Minimas!$C$3:$CD$12,9,FALSE)</f>
        <v>-96</v>
      </c>
      <c r="AJ116" s="230">
        <f>T116-HLOOKUP(V116,[5]Minimas!$C$3:$CD$12,10,FALSE)</f>
        <v>-111</v>
      </c>
      <c r="AK116" s="231" t="str">
        <f>IF(E116=0," ",IF(AJ116&gt;=0,$AJ$5,IF(AI116&gt;=0,$AI$5,IF(AH116&gt;=0,$AH$5,IF(AG116&gt;=0,$AG$5,IF(AF116&gt;=0,$AF$5,IF(AE116&gt;=0,$AE$5,IF(AD116&gt;=0,$AD$5,IF(AC116&gt;=0,$AC$5,$AB$5)))))))))</f>
        <v>DPT +</v>
      </c>
      <c r="AL116" s="232"/>
      <c r="AM116" s="232" t="str">
        <f t="shared" si="52"/>
        <v>DPT +</v>
      </c>
      <c r="AN116" s="232">
        <f t="shared" si="53"/>
        <v>14</v>
      </c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  <c r="BF116" s="38"/>
      <c r="BG116" s="38"/>
      <c r="BH116" s="38"/>
      <c r="BI116" s="38"/>
      <c r="BJ116" s="38"/>
      <c r="BK116" s="38"/>
      <c r="BL116" s="38"/>
      <c r="BM116" s="38"/>
      <c r="BN116" s="38"/>
      <c r="BO116" s="38"/>
      <c r="BP116" s="38"/>
      <c r="BQ116" s="38"/>
      <c r="BR116" s="38"/>
      <c r="BS116" s="38"/>
      <c r="BT116" s="38"/>
      <c r="BU116" s="38"/>
      <c r="BV116" s="38"/>
      <c r="BW116" s="38"/>
      <c r="BX116" s="38"/>
      <c r="BY116" s="38"/>
      <c r="BZ116" s="38"/>
      <c r="CA116" s="38"/>
      <c r="CB116" s="38"/>
      <c r="CC116" s="38"/>
      <c r="CD116" s="38"/>
      <c r="CE116" s="38"/>
      <c r="CF116" s="38"/>
      <c r="CG116" s="38"/>
      <c r="CH116" s="38"/>
      <c r="CI116" s="38"/>
      <c r="CJ116" s="38"/>
      <c r="CK116" s="38"/>
      <c r="CL116" s="38"/>
      <c r="CM116" s="38"/>
      <c r="CN116" s="38"/>
      <c r="CO116" s="38"/>
      <c r="CP116" s="38"/>
      <c r="CQ116" s="38"/>
      <c r="CR116" s="38"/>
      <c r="CS116" s="38"/>
      <c r="CT116" s="38"/>
      <c r="CU116" s="38"/>
      <c r="CV116" s="38"/>
      <c r="CW116" s="38"/>
      <c r="CX116" s="38"/>
      <c r="CY116" s="38"/>
      <c r="CZ116" s="38"/>
      <c r="DA116" s="38"/>
      <c r="DB116" s="38"/>
      <c r="DC116" s="38"/>
      <c r="DD116" s="38"/>
      <c r="DE116" s="38"/>
      <c r="DF116" s="38"/>
      <c r="DG116" s="38"/>
      <c r="DH116" s="38"/>
      <c r="DI116" s="38"/>
      <c r="DJ116" s="38"/>
      <c r="DK116" s="38"/>
      <c r="DL116" s="38"/>
      <c r="DM116" s="38"/>
      <c r="DN116" s="38"/>
      <c r="DO116" s="38"/>
      <c r="DP116" s="38"/>
      <c r="DQ116" s="38"/>
      <c r="DR116" s="38"/>
      <c r="DS116" s="38"/>
      <c r="DT116" s="38"/>
    </row>
    <row r="117" spans="1:179" s="5" customFormat="1" ht="30" customHeight="1" x14ac:dyDescent="0.3">
      <c r="B117" s="517" t="s">
        <v>543</v>
      </c>
      <c r="C117" s="525">
        <v>424104</v>
      </c>
      <c r="D117" s="539"/>
      <c r="E117" s="406" t="s">
        <v>44</v>
      </c>
      <c r="F117" s="423" t="s">
        <v>569</v>
      </c>
      <c r="G117" s="415" t="s">
        <v>570</v>
      </c>
      <c r="H117" s="380">
        <v>1972</v>
      </c>
      <c r="I117" s="573" t="s">
        <v>322</v>
      </c>
      <c r="J117" s="381"/>
      <c r="K117" s="585">
        <v>61.2</v>
      </c>
      <c r="L117" s="452">
        <v>39</v>
      </c>
      <c r="M117" s="597">
        <v>-43</v>
      </c>
      <c r="N117" s="453">
        <v>43</v>
      </c>
      <c r="O117" s="490">
        <f t="shared" si="48"/>
        <v>43</v>
      </c>
      <c r="P117" s="456">
        <v>50</v>
      </c>
      <c r="Q117" s="457">
        <v>55</v>
      </c>
      <c r="R117" s="596">
        <v>-58</v>
      </c>
      <c r="S117" s="490">
        <f t="shared" si="37"/>
        <v>55</v>
      </c>
      <c r="T117" s="489">
        <f>IF(E117="","",IF(OR(O117=0,S117=0),0,O117+S117))</f>
        <v>98</v>
      </c>
      <c r="U117" s="48" t="str">
        <f t="shared" si="49"/>
        <v>DPT + 13</v>
      </c>
      <c r="V117" s="48" t="str">
        <f>IF(E117=0," ",IF(E117="H",IF(H117&lt;1999,VLOOKUP(K117,Minimas!$A$15:$F$29,6),IF(AND(H117&gt;1998,H117&lt;2002),VLOOKUP(K117,Minimas!$A$15:$F$29,5),IF(AND(H117&gt;2001,H117&lt;2004),VLOOKUP(K117,Minimas!$A$15:$F$29,4),IF(AND(H117&gt;2003,H117&lt;2006),VLOOKUP(K117,Minimas!$A$15:$F$29,3),VLOOKUP(K117,Minimas!$A$15:$F$29,2))))),IF(H117&lt;1999,VLOOKUP(K117,Minimas!$G$15:$L$29,6),IF(AND(H117&gt;1998,H117&lt;2002),VLOOKUP(K117,Minimas!$G$15:$L$29,5),IF(AND(H117&gt;2001,H117&lt;2004),VLOOKUP(K117,Minimas!$G$15:$L$29,4),IF(AND(H117&gt;2003,H117&lt;2006),VLOOKUP(K117,Minimas!$G$15:$L$29,3),VLOOKUP(K117,Minimas!$G$15:$L$29,2)))))))</f>
        <v>SE F64</v>
      </c>
      <c r="W117" s="49">
        <f t="shared" si="50"/>
        <v>130.75472250339971</v>
      </c>
      <c r="X117" s="257">
        <v>43484</v>
      </c>
      <c r="Y117" s="261" t="s">
        <v>580</v>
      </c>
      <c r="Z117" s="261" t="s">
        <v>581</v>
      </c>
      <c r="AA117" s="232"/>
      <c r="AB117" s="230">
        <f>T117-HLOOKUP(V117,Minimas!$C$3:$CD$12,2,FALSE)</f>
        <v>28</v>
      </c>
      <c r="AC117" s="230">
        <f>T117-HLOOKUP(V117,Minimas!$C$3:$CD$12,3,FALSE)</f>
        <v>13</v>
      </c>
      <c r="AD117" s="230">
        <f>T117-HLOOKUP(V117,Minimas!$C$3:$CD$12,4,FALSE)</f>
        <v>-2</v>
      </c>
      <c r="AE117" s="230">
        <f>T117-HLOOKUP(V117,Minimas!$C$3:$CD$12,5,FALSE)</f>
        <v>-19</v>
      </c>
      <c r="AF117" s="230">
        <f>T117-HLOOKUP(V117,Minimas!$C$3:$CD$12,6,FALSE)</f>
        <v>-39</v>
      </c>
      <c r="AG117" s="230">
        <f>T117-HLOOKUP(V117,Minimas!$C$3:$CD$12,7,FALSE)</f>
        <v>-57</v>
      </c>
      <c r="AH117" s="230">
        <f>T117-HLOOKUP(V117,Minimas!$C$3:$CD$12,8,FALSE)</f>
        <v>-77</v>
      </c>
      <c r="AI117" s="230">
        <f>T117-HLOOKUP(V117,Minimas!$C$3:$CD$12,9,FALSE)</f>
        <v>-97</v>
      </c>
      <c r="AJ117" s="230">
        <f>T117-HLOOKUP(V117,Minimas!$C$3:$CD$12,10,FALSE)</f>
        <v>-112</v>
      </c>
      <c r="AK117" s="231" t="str">
        <f>IF(E117=0," ",IF(AJ117&gt;=0,$AJ$5,IF(AI117&gt;=0,$AI$5,IF(AH117&gt;=0,$AH$5,IF(AG117&gt;=0,$AG$5,IF(AF117&gt;=0,$AF$5,IF(AE117&gt;=0,$AE$5,IF(AD117&gt;=0,$AD$5,IF(AC117&gt;=0,$AC$5,$AB$5)))))))))</f>
        <v>DPT +</v>
      </c>
      <c r="AL117" s="232"/>
      <c r="AM117" s="232" t="str">
        <f t="shared" si="52"/>
        <v>DPT +</v>
      </c>
      <c r="AN117" s="232">
        <f t="shared" si="53"/>
        <v>13</v>
      </c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  <c r="BF117" s="38"/>
      <c r="BG117" s="38"/>
      <c r="BH117" s="38"/>
      <c r="BI117" s="38"/>
      <c r="BJ117" s="38"/>
      <c r="BK117" s="38"/>
      <c r="BL117" s="38"/>
      <c r="BM117" s="38"/>
      <c r="BN117" s="38"/>
      <c r="BO117" s="38"/>
      <c r="BP117" s="38"/>
      <c r="BQ117" s="38"/>
      <c r="BR117" s="38"/>
      <c r="BS117" s="38"/>
      <c r="BT117" s="38"/>
      <c r="BU117" s="38"/>
      <c r="BV117" s="38"/>
      <c r="BW117" s="38"/>
      <c r="BX117" s="38"/>
      <c r="BY117" s="38"/>
      <c r="BZ117" s="38"/>
      <c r="CA117" s="38"/>
      <c r="CB117" s="38"/>
      <c r="CC117" s="38"/>
      <c r="CD117" s="38"/>
      <c r="CE117" s="38"/>
      <c r="CF117" s="38"/>
      <c r="CG117" s="38"/>
      <c r="CH117" s="38"/>
      <c r="CI117" s="38"/>
      <c r="CJ117" s="38"/>
      <c r="CK117" s="38"/>
      <c r="CL117" s="38"/>
      <c r="CM117" s="38"/>
      <c r="CN117" s="38"/>
      <c r="CO117" s="38"/>
      <c r="CP117" s="38"/>
      <c r="CQ117" s="38"/>
      <c r="CR117" s="38"/>
      <c r="CS117" s="38"/>
      <c r="CT117" s="38"/>
      <c r="CU117" s="38"/>
      <c r="CV117" s="38"/>
      <c r="CW117" s="38"/>
      <c r="CX117" s="38"/>
      <c r="CY117" s="38"/>
      <c r="CZ117" s="38"/>
      <c r="DA117" s="38"/>
      <c r="DB117" s="38"/>
      <c r="DC117" s="38"/>
      <c r="DD117" s="38"/>
      <c r="DE117" s="38"/>
      <c r="DF117" s="38"/>
      <c r="DG117" s="38"/>
      <c r="DH117" s="38"/>
      <c r="DI117" s="38"/>
      <c r="DJ117" s="38"/>
      <c r="DK117" s="38"/>
      <c r="DL117" s="38"/>
      <c r="DM117" s="38"/>
      <c r="DN117" s="38"/>
      <c r="DO117" s="38"/>
      <c r="DP117" s="38"/>
      <c r="DQ117" s="38"/>
      <c r="DR117" s="38"/>
      <c r="DS117" s="38"/>
      <c r="DT117" s="38"/>
    </row>
    <row r="118" spans="1:179" s="5" customFormat="1" ht="30" customHeight="1" x14ac:dyDescent="0.3">
      <c r="A118" s="484"/>
      <c r="B118" s="517" t="s">
        <v>543</v>
      </c>
      <c r="C118" s="525">
        <v>444749</v>
      </c>
      <c r="D118" s="539"/>
      <c r="E118" s="406" t="s">
        <v>44</v>
      </c>
      <c r="F118" s="423" t="s">
        <v>573</v>
      </c>
      <c r="G118" s="415" t="s">
        <v>574</v>
      </c>
      <c r="H118" s="380">
        <v>1987</v>
      </c>
      <c r="I118" s="573" t="s">
        <v>440</v>
      </c>
      <c r="J118" s="381" t="s">
        <v>41</v>
      </c>
      <c r="K118" s="585">
        <v>63.9</v>
      </c>
      <c r="L118" s="452">
        <v>32</v>
      </c>
      <c r="M118" s="453">
        <v>35</v>
      </c>
      <c r="N118" s="453">
        <v>38</v>
      </c>
      <c r="O118" s="490">
        <f t="shared" si="48"/>
        <v>38</v>
      </c>
      <c r="P118" s="456">
        <v>47</v>
      </c>
      <c r="Q118" s="457">
        <v>50</v>
      </c>
      <c r="R118" s="457">
        <v>53</v>
      </c>
      <c r="S118" s="490">
        <f t="shared" si="37"/>
        <v>53</v>
      </c>
      <c r="T118" s="489">
        <f>IF(E118="","",IF(OR(O118=0,S118=0),0,O118+S118))</f>
        <v>91</v>
      </c>
      <c r="U118" s="48" t="str">
        <f t="shared" si="49"/>
        <v>DPT + 6</v>
      </c>
      <c r="V118" s="48" t="str">
        <f>IF(E118=0," ",IF(E118="H",IF(H118&lt;1999,VLOOKUP(K118,Minimas!$A$15:$F$29,6),IF(AND(H118&gt;1998,H118&lt;2002),VLOOKUP(K118,Minimas!$A$15:$F$29,5),IF(AND(H118&gt;2001,H118&lt;2004),VLOOKUP(K118,Minimas!$A$15:$F$29,4),IF(AND(H118&gt;2003,H118&lt;2006),VLOOKUP(K118,Minimas!$A$15:$F$29,3),VLOOKUP(K118,Minimas!$A$15:$F$29,2))))),IF(H118&lt;1999,VLOOKUP(K118,Minimas!$G$15:$L$29,6),IF(AND(H118&gt;1998,H118&lt;2002),VLOOKUP(K118,Minimas!$G$15:$L$29,5),IF(AND(H118&gt;2001,H118&lt;2004),VLOOKUP(K118,Minimas!$G$15:$L$29,4),IF(AND(H118&gt;2003,H118&lt;2006),VLOOKUP(K118,Minimas!$G$15:$L$29,3),VLOOKUP(K118,Minimas!$G$15:$L$29,2)))))))</f>
        <v>SE F64</v>
      </c>
      <c r="W118" s="49">
        <f t="shared" si="50"/>
        <v>118.25024194356409</v>
      </c>
      <c r="X118" s="257">
        <v>43484</v>
      </c>
      <c r="Y118" s="261" t="s">
        <v>580</v>
      </c>
      <c r="Z118" s="261" t="s">
        <v>581</v>
      </c>
      <c r="AA118" s="232"/>
      <c r="AB118" s="230">
        <f>T118-HLOOKUP(V118,Minimas!$C$3:$CD$12,2,FALSE)</f>
        <v>21</v>
      </c>
      <c r="AC118" s="230">
        <f>T118-HLOOKUP(V118,Minimas!$C$3:$CD$12,3,FALSE)</f>
        <v>6</v>
      </c>
      <c r="AD118" s="230">
        <f>T118-HLOOKUP(V118,Minimas!$C$3:$CD$12,4,FALSE)</f>
        <v>-9</v>
      </c>
      <c r="AE118" s="230">
        <f>T118-HLOOKUP(V118,Minimas!$C$3:$CD$12,5,FALSE)</f>
        <v>-26</v>
      </c>
      <c r="AF118" s="230">
        <f>T118-HLOOKUP(V118,Minimas!$C$3:$CD$12,6,FALSE)</f>
        <v>-46</v>
      </c>
      <c r="AG118" s="230">
        <f>T118-HLOOKUP(V118,Minimas!$C$3:$CD$12,7,FALSE)</f>
        <v>-64</v>
      </c>
      <c r="AH118" s="230">
        <f>T118-HLOOKUP(V118,Minimas!$C$3:$CD$12,8,FALSE)</f>
        <v>-84</v>
      </c>
      <c r="AI118" s="230">
        <f>T118-HLOOKUP(V118,Minimas!$C$3:$CD$12,9,FALSE)</f>
        <v>-104</v>
      </c>
      <c r="AJ118" s="230">
        <f>T118-HLOOKUP(V118,Minimas!$C$3:$CD$12,10,FALSE)</f>
        <v>-119</v>
      </c>
      <c r="AK118" s="231" t="str">
        <f>IF(E118=0," ",IF(AJ118&gt;=0,$AJ$5,IF(AI118&gt;=0,$AI$5,IF(AH118&gt;=0,$AH$5,IF(AG118&gt;=0,$AG$5,IF(AF118&gt;=0,$AF$5,IF(AE118&gt;=0,$AE$5,IF(AD118&gt;=0,$AD$5,IF(AC118&gt;=0,$AC$5,$AB$5)))))))))</f>
        <v>DPT +</v>
      </c>
      <c r="AL118" s="232"/>
      <c r="AM118" s="232" t="str">
        <f t="shared" si="52"/>
        <v>DPT +</v>
      </c>
      <c r="AN118" s="232">
        <f t="shared" si="53"/>
        <v>6</v>
      </c>
      <c r="AO118" s="485"/>
      <c r="AP118" s="485"/>
      <c r="AQ118" s="485"/>
      <c r="AR118" s="485"/>
      <c r="AS118" s="485"/>
      <c r="AT118" s="485"/>
      <c r="AU118" s="485"/>
      <c r="AV118" s="485"/>
      <c r="AW118" s="485"/>
      <c r="AX118" s="485"/>
      <c r="AY118" s="485"/>
      <c r="AZ118" s="485"/>
      <c r="BA118" s="485"/>
      <c r="BB118" s="485"/>
      <c r="BC118" s="485"/>
      <c r="BD118" s="485"/>
      <c r="BE118" s="485"/>
      <c r="BF118" s="485"/>
      <c r="BG118" s="485"/>
      <c r="BH118" s="485"/>
      <c r="BI118" s="485"/>
      <c r="BJ118" s="485"/>
      <c r="BK118" s="485"/>
      <c r="BL118" s="485"/>
      <c r="BM118" s="485"/>
      <c r="BN118" s="485"/>
      <c r="BO118" s="485"/>
      <c r="BP118" s="485"/>
      <c r="BQ118" s="485"/>
      <c r="BR118" s="485"/>
      <c r="BS118" s="485"/>
      <c r="BT118" s="485"/>
      <c r="BU118" s="485"/>
      <c r="BV118" s="485"/>
      <c r="BW118" s="485"/>
      <c r="BX118" s="485"/>
      <c r="BY118" s="485"/>
      <c r="BZ118" s="485"/>
      <c r="CA118" s="485"/>
      <c r="CB118" s="485"/>
      <c r="CC118" s="485"/>
      <c r="CD118" s="485"/>
      <c r="CE118" s="485"/>
      <c r="CF118" s="485"/>
      <c r="CG118" s="485"/>
      <c r="CH118" s="485"/>
      <c r="CI118" s="485"/>
      <c r="CJ118" s="485"/>
      <c r="CK118" s="485"/>
      <c r="CL118" s="485"/>
      <c r="CM118" s="485"/>
      <c r="CN118" s="485"/>
      <c r="CO118" s="485"/>
      <c r="CP118" s="485"/>
      <c r="CQ118" s="485"/>
      <c r="CR118" s="485"/>
      <c r="CS118" s="485"/>
      <c r="CT118" s="485"/>
      <c r="CU118" s="485"/>
      <c r="CV118" s="485"/>
      <c r="CW118" s="485"/>
      <c r="CX118" s="485"/>
      <c r="CY118" s="485"/>
      <c r="CZ118" s="485"/>
      <c r="DA118" s="485"/>
      <c r="DB118" s="485"/>
      <c r="DC118" s="485"/>
      <c r="DD118" s="485"/>
      <c r="DE118" s="485"/>
      <c r="DF118" s="485"/>
      <c r="DG118" s="485"/>
      <c r="DH118" s="485"/>
      <c r="DI118" s="485"/>
      <c r="DJ118" s="485"/>
      <c r="DK118" s="485"/>
      <c r="DL118" s="485"/>
      <c r="DM118" s="485"/>
      <c r="DN118" s="485"/>
      <c r="DO118" s="485"/>
      <c r="DP118" s="485"/>
      <c r="DQ118" s="485"/>
      <c r="DR118" s="485"/>
      <c r="DS118" s="485"/>
      <c r="DT118" s="485"/>
      <c r="DU118" s="484"/>
      <c r="DV118" s="484"/>
      <c r="DW118" s="484"/>
      <c r="DX118" s="484"/>
      <c r="DY118" s="484"/>
      <c r="DZ118" s="484"/>
      <c r="EA118" s="484"/>
      <c r="EB118" s="484"/>
      <c r="EC118" s="484"/>
      <c r="ED118" s="484"/>
      <c r="EE118" s="484"/>
      <c r="EF118" s="484"/>
      <c r="EG118" s="484"/>
      <c r="EH118" s="484"/>
      <c r="EI118" s="484"/>
      <c r="EJ118" s="484"/>
      <c r="EK118" s="484"/>
      <c r="EL118" s="484"/>
      <c r="EM118" s="484"/>
      <c r="EN118" s="484"/>
      <c r="EO118" s="484"/>
      <c r="EP118" s="484"/>
      <c r="EQ118" s="484"/>
      <c r="ER118" s="484"/>
      <c r="ES118" s="484"/>
      <c r="ET118" s="484"/>
      <c r="EU118" s="484"/>
      <c r="EV118" s="484"/>
      <c r="EW118" s="484"/>
      <c r="EX118" s="484"/>
      <c r="EY118" s="484"/>
      <c r="EZ118" s="484"/>
      <c r="FA118" s="484"/>
      <c r="FB118" s="484"/>
      <c r="FC118" s="484"/>
      <c r="FD118" s="484"/>
      <c r="FE118" s="484"/>
      <c r="FF118" s="484"/>
      <c r="FG118" s="484"/>
      <c r="FH118" s="484"/>
      <c r="FI118" s="484"/>
      <c r="FJ118" s="484"/>
      <c r="FK118" s="484"/>
      <c r="FL118" s="484"/>
      <c r="FM118" s="484"/>
      <c r="FN118" s="484"/>
      <c r="FO118" s="484"/>
      <c r="FP118" s="484"/>
      <c r="FQ118" s="484"/>
      <c r="FR118" s="484"/>
      <c r="FS118" s="484"/>
      <c r="FT118" s="484"/>
      <c r="FU118" s="484"/>
      <c r="FV118" s="484"/>
      <c r="FW118" s="484"/>
    </row>
    <row r="119" spans="1:179" s="5" customFormat="1" ht="30" customHeight="1" x14ac:dyDescent="0.25">
      <c r="A119" s="484"/>
      <c r="B119" s="433" t="s">
        <v>543</v>
      </c>
      <c r="C119" s="429">
        <v>124214</v>
      </c>
      <c r="D119" s="430"/>
      <c r="E119" s="315" t="s">
        <v>44</v>
      </c>
      <c r="F119" s="443" t="s">
        <v>196</v>
      </c>
      <c r="G119" s="444" t="s">
        <v>197</v>
      </c>
      <c r="H119" s="305">
        <v>1983</v>
      </c>
      <c r="I119" s="324" t="s">
        <v>198</v>
      </c>
      <c r="J119" s="493" t="s">
        <v>44</v>
      </c>
      <c r="K119" s="488">
        <v>63.65</v>
      </c>
      <c r="L119" s="300">
        <v>34</v>
      </c>
      <c r="M119" s="301">
        <v>37</v>
      </c>
      <c r="N119" s="449">
        <v>-40</v>
      </c>
      <c r="O119" s="358">
        <f t="shared" si="48"/>
        <v>37</v>
      </c>
      <c r="P119" s="300">
        <v>49</v>
      </c>
      <c r="Q119" s="301">
        <v>53</v>
      </c>
      <c r="R119" s="449">
        <v>-55</v>
      </c>
      <c r="S119" s="358">
        <f t="shared" si="37"/>
        <v>53</v>
      </c>
      <c r="T119" s="359">
        <f>IF(E119="","",IF(OR(O119=0,S119=0),0,O119+S119))</f>
        <v>90</v>
      </c>
      <c r="U119" s="360" t="str">
        <f t="shared" si="49"/>
        <v>DPT + 5</v>
      </c>
      <c r="V119" s="360" t="str">
        <f>IF(E119=0," ",IF(E119="H",IF(H119&lt;1999,VLOOKUP(K119,[14]Minimas!$A$15:$F$29,6),IF(AND(H119&gt;1998,H119&lt;2002),VLOOKUP(K119,[14]Minimas!$A$15:$F$29,5),IF(AND(H119&gt;2001,H119&lt;2004),VLOOKUP(K119,[14]Minimas!$A$15:$F$29,4),IF(AND(H119&gt;2003,H119&lt;2006),VLOOKUP(K119,[14]Minimas!$A$15:$F$29,3),VLOOKUP(K119,[14]Minimas!$A$15:$F$29,2))))),IF(H119&lt;1999,VLOOKUP(K119,[14]Minimas!$G$15:$L$29,6),IF(AND(H119&gt;1998,H119&lt;2002),VLOOKUP(K119,[14]Minimas!$G$15:$L$29,5),IF(AND(H119&gt;2001,H119&lt;2004),VLOOKUP(K119,[14]Minimas!$G$15:$L$29,4),IF(AND(H119&gt;2003,H119&lt;2006),VLOOKUP(K119,[14]Minimas!$G$15:$L$29,3),VLOOKUP(K119,[14]Minimas!$G$15:$L$29,2)))))))</f>
        <v>SE F64</v>
      </c>
      <c r="W119" s="361">
        <f t="shared" si="50"/>
        <v>117.22546217646996</v>
      </c>
      <c r="X119" s="257">
        <v>43575</v>
      </c>
      <c r="Y119" s="261" t="s">
        <v>860</v>
      </c>
      <c r="Z119" s="261" t="s">
        <v>861</v>
      </c>
      <c r="AA119" s="232"/>
      <c r="AB119" s="230">
        <f>T119-HLOOKUP(V119,[14]Minimas!$C$3:$CD$12,2,FALSE)</f>
        <v>20</v>
      </c>
      <c r="AC119" s="230">
        <f>T119-HLOOKUP(V119,[14]Minimas!$C$3:$CD$12,3,FALSE)</f>
        <v>5</v>
      </c>
      <c r="AD119" s="230">
        <f>T119-HLOOKUP(V119,[14]Minimas!$C$3:$CD$12,4,FALSE)</f>
        <v>-10</v>
      </c>
      <c r="AE119" s="230">
        <f>T119-HLOOKUP(V119,[14]Minimas!$C$3:$CD$12,5,FALSE)</f>
        <v>-27</v>
      </c>
      <c r="AF119" s="230">
        <f>T119-HLOOKUP(V119,[14]Minimas!$C$3:$CD$12,6,FALSE)</f>
        <v>-47</v>
      </c>
      <c r="AG119" s="230">
        <f>T119-HLOOKUP(V119,[14]Minimas!$C$3:$CD$12,7,FALSE)</f>
        <v>-65</v>
      </c>
      <c r="AH119" s="230">
        <f>T119-HLOOKUP(V119,[14]Minimas!$C$3:$CD$12,8,FALSE)</f>
        <v>-85</v>
      </c>
      <c r="AI119" s="230">
        <f>T119-HLOOKUP(V119,[14]Minimas!$C$3:$CD$12,9,FALSE)</f>
        <v>-105</v>
      </c>
      <c r="AJ119" s="230">
        <f>T119-HLOOKUP(V119,[14]Minimas!$C$3:$CD$12,10,FALSE)</f>
        <v>-120</v>
      </c>
      <c r="AK119" s="231" t="str">
        <f>IF(E119=0," ",IF(AJ119&gt;=0,$AJ$5,IF(AI119&gt;=0,$AI$5,IF(AH119&gt;=0,$AH$5,IF(AG119&gt;=0,$AG$5,IF(AF119&gt;=0,$AF$5,IF(AE119&gt;=0,$AE$5,IF(AD119&gt;=0,$AD$5,IF(AC119&gt;=0,$AC$5,$AB$5)))))))))</f>
        <v>DPT +</v>
      </c>
      <c r="AL119" s="232"/>
      <c r="AM119" s="232" t="str">
        <f t="shared" si="52"/>
        <v>DPT +</v>
      </c>
      <c r="AN119" s="232">
        <f t="shared" si="53"/>
        <v>5</v>
      </c>
      <c r="AO119" s="485"/>
      <c r="AP119" s="485"/>
      <c r="AQ119" s="485"/>
      <c r="AR119" s="485"/>
      <c r="AS119" s="485"/>
      <c r="AT119" s="485"/>
      <c r="AU119" s="485"/>
      <c r="AV119" s="485"/>
      <c r="AW119" s="485"/>
      <c r="AX119" s="485"/>
      <c r="AY119" s="485"/>
      <c r="AZ119" s="485"/>
      <c r="BA119" s="485"/>
      <c r="BB119" s="485"/>
      <c r="BC119" s="485"/>
      <c r="BD119" s="485"/>
      <c r="BE119" s="485"/>
      <c r="BF119" s="485"/>
      <c r="BG119" s="485"/>
      <c r="BH119" s="485"/>
      <c r="BI119" s="485"/>
      <c r="BJ119" s="485"/>
      <c r="BK119" s="485"/>
      <c r="BL119" s="485"/>
      <c r="BM119" s="485"/>
      <c r="BN119" s="485"/>
      <c r="BO119" s="485"/>
      <c r="BP119" s="485"/>
      <c r="BQ119" s="485"/>
      <c r="BR119" s="485"/>
      <c r="BS119" s="485"/>
      <c r="BT119" s="485"/>
      <c r="BU119" s="485"/>
      <c r="BV119" s="485"/>
      <c r="BW119" s="485"/>
      <c r="BX119" s="485"/>
      <c r="BY119" s="485"/>
      <c r="BZ119" s="485"/>
      <c r="CA119" s="485"/>
      <c r="CB119" s="485"/>
      <c r="CC119" s="485"/>
      <c r="CD119" s="485"/>
      <c r="CE119" s="485"/>
      <c r="CF119" s="485"/>
      <c r="CG119" s="485"/>
      <c r="CH119" s="485"/>
      <c r="CI119" s="485"/>
      <c r="CJ119" s="485"/>
      <c r="CK119" s="485"/>
      <c r="CL119" s="485"/>
      <c r="CM119" s="485"/>
      <c r="CN119" s="485"/>
      <c r="CO119" s="485"/>
      <c r="CP119" s="485"/>
      <c r="CQ119" s="485"/>
      <c r="CR119" s="485"/>
      <c r="CS119" s="485"/>
      <c r="CT119" s="485"/>
      <c r="CU119" s="485"/>
      <c r="CV119" s="485"/>
      <c r="CW119" s="485"/>
      <c r="CX119" s="485"/>
      <c r="CY119" s="485"/>
      <c r="CZ119" s="485"/>
      <c r="DA119" s="485"/>
      <c r="DB119" s="485"/>
      <c r="DC119" s="485"/>
      <c r="DD119" s="485"/>
      <c r="DE119" s="485"/>
      <c r="DF119" s="485"/>
      <c r="DG119" s="485"/>
      <c r="DH119" s="485"/>
      <c r="DI119" s="485"/>
      <c r="DJ119" s="485"/>
      <c r="DK119" s="485"/>
      <c r="DL119" s="485"/>
      <c r="DM119" s="485"/>
      <c r="DN119" s="485"/>
      <c r="DO119" s="485"/>
      <c r="DP119" s="485"/>
      <c r="DQ119" s="485"/>
      <c r="DR119" s="485"/>
      <c r="DS119" s="485"/>
      <c r="DT119" s="485"/>
      <c r="DU119" s="484"/>
      <c r="DV119" s="484"/>
      <c r="DW119" s="484"/>
      <c r="DX119" s="484"/>
      <c r="DY119" s="484"/>
      <c r="DZ119" s="484"/>
      <c r="EA119" s="484"/>
      <c r="EB119" s="484"/>
      <c r="EC119" s="484"/>
      <c r="ED119" s="484"/>
      <c r="EE119" s="484"/>
      <c r="EF119" s="484"/>
      <c r="EG119" s="484"/>
      <c r="EH119" s="484"/>
      <c r="EI119" s="484"/>
      <c r="EJ119" s="484"/>
      <c r="EK119" s="484"/>
      <c r="EL119" s="484"/>
      <c r="EM119" s="484"/>
      <c r="EN119" s="484"/>
      <c r="EO119" s="484"/>
      <c r="EP119" s="484"/>
      <c r="EQ119" s="484"/>
      <c r="ER119" s="484"/>
      <c r="ES119" s="484"/>
      <c r="ET119" s="484"/>
      <c r="EU119" s="484"/>
      <c r="EV119" s="484"/>
      <c r="EW119" s="484"/>
      <c r="EX119" s="484"/>
      <c r="EY119" s="484"/>
      <c r="EZ119" s="484"/>
      <c r="FA119" s="484"/>
      <c r="FB119" s="484"/>
      <c r="FC119" s="484"/>
      <c r="FD119" s="484"/>
      <c r="FE119" s="484"/>
      <c r="FF119" s="484"/>
      <c r="FG119" s="484"/>
      <c r="FH119" s="484"/>
      <c r="FI119" s="484"/>
      <c r="FJ119" s="484"/>
      <c r="FK119" s="484"/>
      <c r="FL119" s="484"/>
      <c r="FM119" s="484"/>
      <c r="FN119" s="484"/>
      <c r="FO119" s="484"/>
      <c r="FP119" s="484"/>
      <c r="FQ119" s="484"/>
      <c r="FR119" s="484"/>
      <c r="FS119" s="484"/>
      <c r="FT119" s="484"/>
      <c r="FU119" s="484"/>
      <c r="FV119" s="484"/>
      <c r="FW119" s="484"/>
    </row>
    <row r="120" spans="1:179" s="5" customFormat="1" ht="30" customHeight="1" x14ac:dyDescent="0.25">
      <c r="B120" s="495" t="s">
        <v>543</v>
      </c>
      <c r="C120" s="499">
        <v>442858</v>
      </c>
      <c r="D120" s="496"/>
      <c r="E120" s="315" t="s">
        <v>44</v>
      </c>
      <c r="F120" s="328" t="s">
        <v>199</v>
      </c>
      <c r="G120" s="487" t="s">
        <v>200</v>
      </c>
      <c r="H120" s="329">
        <v>1985</v>
      </c>
      <c r="I120" s="330" t="s">
        <v>195</v>
      </c>
      <c r="J120" s="331" t="s">
        <v>44</v>
      </c>
      <c r="K120" s="488">
        <v>62.98</v>
      </c>
      <c r="L120" s="300">
        <v>35</v>
      </c>
      <c r="M120" s="449">
        <v>-38</v>
      </c>
      <c r="N120" s="449">
        <v>-38</v>
      </c>
      <c r="O120" s="490">
        <f t="shared" si="48"/>
        <v>35</v>
      </c>
      <c r="P120" s="300">
        <v>40</v>
      </c>
      <c r="Q120" s="301">
        <v>45</v>
      </c>
      <c r="R120" s="449">
        <v>-50</v>
      </c>
      <c r="S120" s="490">
        <f t="shared" si="37"/>
        <v>45</v>
      </c>
      <c r="T120" s="489">
        <f>IF(E120="","",IF(OR(O120=0,S120=0),0,O120+S120))</f>
        <v>80</v>
      </c>
      <c r="U120" s="48" t="str">
        <f t="shared" si="49"/>
        <v>DEB 10</v>
      </c>
      <c r="V120" s="48" t="str">
        <f>IF(E120=0," ",IF(E120="H",IF(H120&lt;1999,VLOOKUP(K120,[5]Minimas!$A$15:$F$29,6),IF(AND(H120&gt;1998,H120&lt;2002),VLOOKUP(K120,[5]Minimas!$A$15:$F$29,5),IF(AND(H120&gt;2001,H120&lt;2004),VLOOKUP(K120,[5]Minimas!$A$15:$F$29,4),IF(AND(H120&gt;2003,H120&lt;2006),VLOOKUP(K120,[5]Minimas!$A$15:$F$29,3),VLOOKUP(K120,[5]Minimas!$A$15:$F$29,2))))),IF(H120&lt;1999,VLOOKUP(K120,[5]Minimas!$G$15:$L$29,6),IF(AND(H120&gt;1998,H120&lt;2002),VLOOKUP(K120,[5]Minimas!$G$15:$L$29,5),IF(AND(H120&gt;2001,H120&lt;2004),VLOOKUP(K120,[5]Minimas!$G$15:$L$29,4),IF(AND(H120&gt;2003,H120&lt;2006),VLOOKUP(K120,[5]Minimas!$G$15:$L$29,3),VLOOKUP(K120,[5]Minimas!$G$15:$L$29,2)))))))</f>
        <v>SE F64</v>
      </c>
      <c r="W120" s="49">
        <f t="shared" si="50"/>
        <v>104.86784627565962</v>
      </c>
      <c r="X120" s="257">
        <v>43555</v>
      </c>
      <c r="Y120" s="261" t="s">
        <v>805</v>
      </c>
      <c r="Z120" s="261" t="s">
        <v>806</v>
      </c>
      <c r="AA120" s="232"/>
      <c r="AB120" s="230">
        <f>T120-HLOOKUP(V120,[5]Minimas!$C$3:$CD$12,2,FALSE)</f>
        <v>10</v>
      </c>
      <c r="AC120" s="230">
        <f>T120-HLOOKUP(V120,[5]Minimas!$C$3:$CD$12,3,FALSE)</f>
        <v>-5</v>
      </c>
      <c r="AD120" s="230">
        <f>T120-HLOOKUP(V120,[5]Minimas!$C$3:$CD$12,4,FALSE)</f>
        <v>-20</v>
      </c>
      <c r="AE120" s="230">
        <f>T120-HLOOKUP(V120,[5]Minimas!$C$3:$CD$12,5,FALSE)</f>
        <v>-37</v>
      </c>
      <c r="AF120" s="230">
        <f>T120-HLOOKUP(V120,[5]Minimas!$C$3:$CD$12,6,FALSE)</f>
        <v>-57</v>
      </c>
      <c r="AG120" s="230">
        <f>T120-HLOOKUP(V120,[5]Minimas!$C$3:$CD$12,7,FALSE)</f>
        <v>-75</v>
      </c>
      <c r="AH120" s="230">
        <f>T120-HLOOKUP(V120,[5]Minimas!$C$3:$CD$12,8,FALSE)</f>
        <v>-95</v>
      </c>
      <c r="AI120" s="230">
        <f>T120-HLOOKUP(V120,[5]Minimas!$C$3:$CD$12,9,FALSE)</f>
        <v>-115</v>
      </c>
      <c r="AJ120" s="230">
        <f>T120-HLOOKUP(V120,[5]Minimas!$C$3:$CD$12,10,FALSE)</f>
        <v>-130</v>
      </c>
      <c r="AK120" s="231" t="str">
        <f>IF(E120=0," ",IF(AJ120&gt;=0,$AJ$5,IF(AI120&gt;=0,$AI$5,IF(AH120&gt;=0,$AH$5,IF(AG120&gt;=0,$AG$5,IF(AF120&gt;=0,$AF$5,IF(AE120&gt;=0,$AE$5,IF(AD120&gt;=0,$AD$5,IF(AC120&gt;=0,$AC$5,$AB$5)))))))))</f>
        <v>DEB</v>
      </c>
      <c r="AL120" s="232"/>
      <c r="AM120" s="232" t="str">
        <f t="shared" si="52"/>
        <v>DEB</v>
      </c>
      <c r="AN120" s="232">
        <f t="shared" si="53"/>
        <v>10</v>
      </c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  <c r="BF120" s="38"/>
      <c r="BG120" s="38"/>
      <c r="BH120" s="38"/>
      <c r="BI120" s="38"/>
      <c r="BJ120" s="38"/>
      <c r="BK120" s="38"/>
      <c r="BL120" s="38"/>
      <c r="BM120" s="38"/>
      <c r="BN120" s="38"/>
      <c r="BO120" s="38"/>
      <c r="BP120" s="38"/>
      <c r="BQ120" s="38"/>
      <c r="BR120" s="38"/>
      <c r="BS120" s="38"/>
      <c r="BT120" s="38"/>
      <c r="BU120" s="38"/>
      <c r="BV120" s="38"/>
      <c r="BW120" s="38"/>
      <c r="BX120" s="38"/>
      <c r="BY120" s="38"/>
      <c r="BZ120" s="38"/>
      <c r="CA120" s="38"/>
      <c r="CB120" s="38"/>
      <c r="CC120" s="38"/>
      <c r="CD120" s="38"/>
      <c r="CE120" s="38"/>
      <c r="CF120" s="38"/>
      <c r="CG120" s="38"/>
      <c r="CH120" s="38"/>
      <c r="CI120" s="38"/>
      <c r="CJ120" s="38"/>
      <c r="CK120" s="38"/>
      <c r="CL120" s="38"/>
      <c r="CM120" s="38"/>
      <c r="CN120" s="38"/>
      <c r="CO120" s="38"/>
      <c r="CP120" s="38"/>
      <c r="CQ120" s="38"/>
      <c r="CR120" s="38"/>
      <c r="CS120" s="38"/>
      <c r="CT120" s="38"/>
      <c r="CU120" s="38"/>
      <c r="CV120" s="38"/>
      <c r="CW120" s="38"/>
      <c r="CX120" s="38"/>
      <c r="CY120" s="38"/>
      <c r="CZ120" s="38"/>
      <c r="DA120" s="38"/>
      <c r="DB120" s="38"/>
      <c r="DC120" s="38"/>
      <c r="DD120" s="38"/>
      <c r="DE120" s="38"/>
      <c r="DF120" s="38"/>
      <c r="DG120" s="38"/>
      <c r="DH120" s="38"/>
      <c r="DI120" s="38"/>
      <c r="DJ120" s="38"/>
      <c r="DK120" s="38"/>
      <c r="DL120" s="38"/>
      <c r="DM120" s="38"/>
      <c r="DN120" s="38"/>
      <c r="DO120" s="38"/>
      <c r="DP120" s="38"/>
      <c r="DQ120" s="38"/>
      <c r="DR120" s="38"/>
      <c r="DS120" s="38"/>
      <c r="DT120" s="38"/>
    </row>
    <row r="121" spans="1:179" s="5" customFormat="1" ht="30" customHeight="1" x14ac:dyDescent="0.25">
      <c r="A121" s="1"/>
      <c r="B121" s="515" t="s">
        <v>543</v>
      </c>
      <c r="C121" s="499">
        <v>442054</v>
      </c>
      <c r="D121" s="496"/>
      <c r="E121" s="323" t="s">
        <v>44</v>
      </c>
      <c r="F121" s="486" t="s">
        <v>742</v>
      </c>
      <c r="G121" s="487" t="s">
        <v>743</v>
      </c>
      <c r="H121" s="492">
        <v>1990</v>
      </c>
      <c r="I121" s="528" t="s">
        <v>129</v>
      </c>
      <c r="J121" s="493" t="s">
        <v>44</v>
      </c>
      <c r="K121" s="488">
        <v>60.5</v>
      </c>
      <c r="L121" s="300">
        <v>27</v>
      </c>
      <c r="M121" s="301">
        <v>28</v>
      </c>
      <c r="N121" s="449">
        <v>-29</v>
      </c>
      <c r="O121" s="490">
        <v>28</v>
      </c>
      <c r="P121" s="300">
        <v>30</v>
      </c>
      <c r="Q121" s="449">
        <v>-35</v>
      </c>
      <c r="R121" s="301">
        <v>37</v>
      </c>
      <c r="S121" s="490">
        <f t="shared" si="37"/>
        <v>37</v>
      </c>
      <c r="T121" s="489">
        <f>IF(E121="","",O121+S121)</f>
        <v>65</v>
      </c>
      <c r="U121" s="48" t="str">
        <f t="shared" si="49"/>
        <v>DEB -5</v>
      </c>
      <c r="V121" s="48" t="str">
        <f>IF(E121=0," ",IF(E121="H",IF(H121&lt;1999,VLOOKUP(K121,[13]Minimas!$A$15:$F$29,6),IF(AND(H121&gt;1998,H121&lt;2002),VLOOKUP(K121,[13]Minimas!$A$15:$F$29,5),IF(AND(H121&gt;2001,H121&lt;2004),VLOOKUP(K121,[13]Minimas!$A$15:$F$29,4),IF(AND(H121&gt;2003,H121&lt;2006),VLOOKUP(K121,[13]Minimas!$A$15:$F$29,3),VLOOKUP(K121,[13]Minimas!$A$15:$F$29,2))))),IF(H121&lt;1999,VLOOKUP(K121,[13]Minimas!$G$15:$L$29,6),IF(AND(H121&gt;1998,H121&lt;2002),VLOOKUP(K121,[13]Minimas!$G$15:$L$29,5),IF(AND(H121&gt;2001,H121&lt;2004),VLOOKUP(K121,[13]Minimas!$G$15:$L$29,4),IF(AND(H121&gt;2003,H121&lt;2006),VLOOKUP(K121,[13]Minimas!$G$15:$L$29,3),VLOOKUP(K121,[13]Minimas!$G$15:$L$29,2)))))))</f>
        <v>SE F64</v>
      </c>
      <c r="W121" s="49">
        <f t="shared" si="50"/>
        <v>87.356279770415057</v>
      </c>
      <c r="X121" s="257">
        <v>43540</v>
      </c>
      <c r="Y121" s="261" t="s">
        <v>714</v>
      </c>
      <c r="Z121" s="261" t="s">
        <v>704</v>
      </c>
      <c r="AA121" s="463"/>
      <c r="AB121" s="230">
        <f>T121-HLOOKUP(V121,Minimas!$C$3:$CD$12,2,FALSE)</f>
        <v>-5</v>
      </c>
      <c r="AC121" s="230">
        <f>T121-HLOOKUP(V121,Minimas!$C$3:$CD$12,3,FALSE)</f>
        <v>-20</v>
      </c>
      <c r="AD121" s="230">
        <f>T121-HLOOKUP(V121,Minimas!$C$3:$CD$12,4,FALSE)</f>
        <v>-35</v>
      </c>
      <c r="AE121" s="230">
        <f>T121-HLOOKUP(V121,Minimas!$C$3:$CD$12,5,FALSE)</f>
        <v>-52</v>
      </c>
      <c r="AF121" s="230">
        <f>T121-HLOOKUP(V121,Minimas!$C$3:$CD$12,6,FALSE)</f>
        <v>-72</v>
      </c>
      <c r="AG121" s="230">
        <f>T121-HLOOKUP(V121,Minimas!$C$3:$CD$12,7,FALSE)</f>
        <v>-90</v>
      </c>
      <c r="AH121" s="230">
        <f>T121-HLOOKUP(V121,Minimas!$C$3:$CD$12,8,FALSE)</f>
        <v>-110</v>
      </c>
      <c r="AI121" s="230">
        <f>T121-HLOOKUP(V121,Minimas!$C$3:$CD$12,9,FALSE)</f>
        <v>-130</v>
      </c>
      <c r="AJ121" s="230">
        <f>T121-HLOOKUP(V121,Minimas!$C$3:$CD$12,10,FALSE)</f>
        <v>-145</v>
      </c>
      <c r="AK121" s="231" t="str">
        <f>IF(E121=0," ",IF(AJ121&gt;=0,MASCULINS!$AJ$5,IF(AI121&gt;=0,MASCULINS!$AI$5,IF(AH121&gt;=0,MASCULINS!$AH$5,IF(AG121&gt;=0,MASCULINS!$AG$5,IF(AF121&gt;=0,MASCULINS!$AF$5,IF(AE121&gt;=0,MASCULINS!$AE$5,IF(AD121&gt;=0,MASCULINS!$AD$5,IF(AC121&gt;=0,MASCULINS!$AC$5,MASCULINS!$AB$5)))))))))</f>
        <v>DEB</v>
      </c>
      <c r="AL121" s="232"/>
      <c r="AM121" s="232" t="str">
        <f t="shared" si="52"/>
        <v>DEB</v>
      </c>
      <c r="AN121" s="232">
        <f t="shared" si="53"/>
        <v>-5</v>
      </c>
      <c r="AO121" s="34"/>
      <c r="AP121" s="34"/>
      <c r="AQ121" s="34"/>
      <c r="AR121" s="34"/>
      <c r="AS121" s="34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  <c r="BF121" s="34"/>
      <c r="BG121" s="34"/>
      <c r="BH121" s="34"/>
      <c r="BI121" s="34"/>
      <c r="BJ121" s="34"/>
      <c r="BK121" s="34"/>
      <c r="BL121" s="34"/>
      <c r="BM121" s="34"/>
      <c r="BN121" s="34"/>
      <c r="BO121" s="34"/>
      <c r="BP121" s="34"/>
      <c r="BQ121" s="34"/>
      <c r="BR121" s="34"/>
      <c r="BS121" s="34"/>
      <c r="BT121" s="34"/>
      <c r="BU121" s="34"/>
      <c r="BV121" s="34"/>
      <c r="BW121" s="34"/>
      <c r="BX121" s="34"/>
      <c r="BY121" s="34"/>
      <c r="BZ121" s="34"/>
      <c r="CA121" s="34"/>
      <c r="CB121" s="34"/>
      <c r="CC121" s="34"/>
      <c r="CD121" s="34"/>
      <c r="CE121" s="34"/>
      <c r="CF121" s="34"/>
      <c r="CG121" s="34"/>
      <c r="CH121" s="34"/>
      <c r="CI121" s="34"/>
      <c r="CJ121" s="34"/>
      <c r="CK121" s="34"/>
      <c r="CL121" s="34"/>
      <c r="CM121" s="34"/>
      <c r="CN121" s="34"/>
      <c r="CO121" s="34"/>
      <c r="CP121" s="34"/>
      <c r="CQ121" s="34"/>
      <c r="CR121" s="34"/>
      <c r="CS121" s="34"/>
      <c r="CT121" s="34"/>
      <c r="CU121" s="34"/>
      <c r="CV121" s="34"/>
      <c r="CW121" s="34"/>
      <c r="CX121" s="34"/>
      <c r="CY121" s="34"/>
      <c r="CZ121" s="34"/>
      <c r="DA121" s="34"/>
      <c r="DB121" s="34"/>
      <c r="DC121" s="34"/>
      <c r="DD121" s="34"/>
      <c r="DE121" s="34"/>
      <c r="DF121" s="34"/>
      <c r="DG121" s="34"/>
      <c r="DH121" s="34"/>
      <c r="DI121" s="34"/>
      <c r="DJ121" s="34"/>
      <c r="DK121" s="34"/>
      <c r="DL121" s="34"/>
      <c r="DM121" s="34"/>
      <c r="DN121" s="34"/>
      <c r="DO121" s="34"/>
      <c r="DP121" s="34"/>
      <c r="DQ121" s="34"/>
      <c r="DR121" s="34"/>
      <c r="DS121" s="34"/>
      <c r="DT121" s="34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</row>
    <row r="122" spans="1:179" s="5" customFormat="1" ht="30" customHeight="1" x14ac:dyDescent="0.25">
      <c r="A122" s="1"/>
      <c r="B122" s="515" t="s">
        <v>543</v>
      </c>
      <c r="C122" s="499">
        <v>445981</v>
      </c>
      <c r="D122" s="496"/>
      <c r="E122" s="323" t="s">
        <v>44</v>
      </c>
      <c r="F122" s="486" t="s">
        <v>774</v>
      </c>
      <c r="G122" s="487" t="s">
        <v>775</v>
      </c>
      <c r="H122" s="492">
        <v>1990</v>
      </c>
      <c r="I122" s="528" t="s">
        <v>129</v>
      </c>
      <c r="J122" s="493" t="s">
        <v>44</v>
      </c>
      <c r="K122" s="488">
        <v>60.3</v>
      </c>
      <c r="L122" s="448">
        <v>-30</v>
      </c>
      <c r="M122" s="449">
        <v>-30</v>
      </c>
      <c r="N122" s="449">
        <v>-32</v>
      </c>
      <c r="O122" s="490">
        <f t="shared" ref="O122:O133" si="54">IF(E122="","",IF(MAXA(L122:N122)&lt;=0,0,MAXA(L122:N122)))</f>
        <v>0</v>
      </c>
      <c r="P122" s="300">
        <v>35</v>
      </c>
      <c r="Q122" s="301">
        <v>38</v>
      </c>
      <c r="R122" s="301">
        <v>40</v>
      </c>
      <c r="S122" s="490">
        <f t="shared" si="37"/>
        <v>40</v>
      </c>
      <c r="T122" s="489">
        <f>IF(E122="","",O122+S122)</f>
        <v>40</v>
      </c>
      <c r="U122" s="48" t="str">
        <f t="shared" si="49"/>
        <v>DEB -30</v>
      </c>
      <c r="V122" s="48" t="str">
        <f>IF(E122=0," ",IF(E122="H",IF(H122&lt;1999,VLOOKUP(K122,[7]Minimas!$A$15:$F$29,6),IF(AND(H122&gt;1998,H122&lt;2002),VLOOKUP(K122,[7]Minimas!$A$15:$F$29,5),IF(AND(H122&gt;2001,H122&lt;2004),VLOOKUP(K122,[7]Minimas!$A$15:$F$29,4),IF(AND(H122&gt;2003,H122&lt;2006),VLOOKUP(K122,[7]Minimas!$A$15:$F$29,3),VLOOKUP(K122,[7]Minimas!$A$15:$F$29,2))))),IF(H122&lt;1999,VLOOKUP(K122,[7]Minimas!$G$15:$L$29,6),IF(AND(H122&gt;1998,H122&lt;2002),VLOOKUP(K122,[7]Minimas!$G$15:$L$29,5),IF(AND(H122&gt;2001,H122&lt;2004),VLOOKUP(K122,[7]Minimas!$G$15:$L$29,4),IF(AND(H122&gt;2003,H122&lt;2006),VLOOKUP(K122,[7]Minimas!$G$15:$L$29,3),VLOOKUP(K122,[7]Minimas!$G$15:$L$29,2)))))))</f>
        <v>SE F64</v>
      </c>
      <c r="W122" s="49">
        <f t="shared" si="50"/>
        <v>53.870940427815839</v>
      </c>
      <c r="X122" s="257">
        <v>43540</v>
      </c>
      <c r="Y122" s="261" t="s">
        <v>714</v>
      </c>
      <c r="Z122" s="261" t="s">
        <v>704</v>
      </c>
      <c r="AA122" s="463"/>
      <c r="AB122" s="230">
        <f>T122-HLOOKUP(V122,Minimas!$C$3:$CD$12,2,FALSE)</f>
        <v>-30</v>
      </c>
      <c r="AC122" s="230">
        <f>T122-HLOOKUP(V122,Minimas!$C$3:$CD$12,3,FALSE)</f>
        <v>-45</v>
      </c>
      <c r="AD122" s="230">
        <f>T122-HLOOKUP(V122,Minimas!$C$3:$CD$12,4,FALSE)</f>
        <v>-60</v>
      </c>
      <c r="AE122" s="230">
        <f>T122-HLOOKUP(V122,Minimas!$C$3:$CD$12,5,FALSE)</f>
        <v>-77</v>
      </c>
      <c r="AF122" s="230">
        <f>T122-HLOOKUP(V122,Minimas!$C$3:$CD$12,6,FALSE)</f>
        <v>-97</v>
      </c>
      <c r="AG122" s="230">
        <f>T122-HLOOKUP(V122,Minimas!$C$3:$CD$12,7,FALSE)</f>
        <v>-115</v>
      </c>
      <c r="AH122" s="230">
        <f>T122-HLOOKUP(V122,Minimas!$C$3:$CD$12,8,FALSE)</f>
        <v>-135</v>
      </c>
      <c r="AI122" s="230">
        <f>T122-HLOOKUP(V122,Minimas!$C$3:$CD$12,9,FALSE)</f>
        <v>-155</v>
      </c>
      <c r="AJ122" s="230">
        <f>T122-HLOOKUP(V122,Minimas!$C$3:$CD$12,10,FALSE)</f>
        <v>-170</v>
      </c>
      <c r="AK122" s="231" t="str">
        <f>IF(E122=0," ",IF(AJ122&gt;=0,MASCULINS!$AJ$5,IF(AI122&gt;=0,MASCULINS!$AI$5,IF(AH122&gt;=0,MASCULINS!$AH$5,IF(AG122&gt;=0,MASCULINS!$AG$5,IF(AF122&gt;=0,MASCULINS!$AF$5,IF(AE122&gt;=0,MASCULINS!$AE$5,IF(AD122&gt;=0,MASCULINS!$AD$5,IF(AC122&gt;=0,MASCULINS!$AC$5,MASCULINS!$AB$5)))))))))</f>
        <v>DEB</v>
      </c>
      <c r="AL122" s="232"/>
      <c r="AM122" s="232" t="str">
        <f t="shared" si="52"/>
        <v>DEB</v>
      </c>
      <c r="AN122" s="232">
        <f t="shared" si="53"/>
        <v>-30</v>
      </c>
      <c r="AO122" s="34"/>
      <c r="AP122" s="34"/>
      <c r="AQ122" s="34"/>
      <c r="AR122" s="34"/>
      <c r="AS122" s="34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  <c r="BF122" s="34"/>
      <c r="BG122" s="34"/>
      <c r="BH122" s="34"/>
      <c r="BI122" s="34"/>
      <c r="BJ122" s="34"/>
      <c r="BK122" s="34"/>
      <c r="BL122" s="34"/>
      <c r="BM122" s="34"/>
      <c r="BN122" s="34"/>
      <c r="BO122" s="34"/>
      <c r="BP122" s="34"/>
      <c r="BQ122" s="34"/>
      <c r="BR122" s="34"/>
      <c r="BS122" s="34"/>
      <c r="BT122" s="34"/>
      <c r="BU122" s="34"/>
      <c r="BV122" s="34"/>
      <c r="BW122" s="34"/>
      <c r="BX122" s="34"/>
      <c r="BY122" s="34"/>
      <c r="BZ122" s="34"/>
      <c r="CA122" s="34"/>
      <c r="CB122" s="34"/>
      <c r="CC122" s="34"/>
      <c r="CD122" s="34"/>
      <c r="CE122" s="34"/>
      <c r="CF122" s="34"/>
      <c r="CG122" s="34"/>
      <c r="CH122" s="34"/>
      <c r="CI122" s="34"/>
      <c r="CJ122" s="34"/>
      <c r="CK122" s="34"/>
      <c r="CL122" s="34"/>
      <c r="CM122" s="34"/>
      <c r="CN122" s="34"/>
      <c r="CO122" s="34"/>
      <c r="CP122" s="34"/>
      <c r="CQ122" s="34"/>
      <c r="CR122" s="34"/>
      <c r="CS122" s="34"/>
      <c r="CT122" s="34"/>
      <c r="CU122" s="34"/>
      <c r="CV122" s="34"/>
      <c r="CW122" s="34"/>
      <c r="CX122" s="34"/>
      <c r="CY122" s="34"/>
      <c r="CZ122" s="34"/>
      <c r="DA122" s="34"/>
      <c r="DB122" s="34"/>
      <c r="DC122" s="34"/>
      <c r="DD122" s="34"/>
      <c r="DE122" s="34"/>
      <c r="DF122" s="34"/>
      <c r="DG122" s="34"/>
      <c r="DH122" s="34"/>
      <c r="DI122" s="34"/>
      <c r="DJ122" s="34"/>
      <c r="DK122" s="34"/>
      <c r="DL122" s="34"/>
      <c r="DM122" s="34"/>
      <c r="DN122" s="34"/>
      <c r="DO122" s="34"/>
      <c r="DP122" s="34"/>
      <c r="DQ122" s="34"/>
      <c r="DR122" s="34"/>
      <c r="DS122" s="34"/>
      <c r="DT122" s="34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</row>
    <row r="123" spans="1:179" s="5" customFormat="1" ht="30" customHeight="1" x14ac:dyDescent="0.25">
      <c r="B123" s="355" t="s">
        <v>543</v>
      </c>
      <c r="C123" s="429">
        <v>231757</v>
      </c>
      <c r="D123" s="430"/>
      <c r="E123" s="323" t="s">
        <v>44</v>
      </c>
      <c r="F123" s="319" t="s">
        <v>127</v>
      </c>
      <c r="G123" s="320" t="s">
        <v>128</v>
      </c>
      <c r="H123" s="305">
        <v>1995</v>
      </c>
      <c r="I123" s="321" t="s">
        <v>129</v>
      </c>
      <c r="J123" s="493" t="s">
        <v>44</v>
      </c>
      <c r="K123" s="488">
        <v>70.53</v>
      </c>
      <c r="L123" s="300">
        <v>-70</v>
      </c>
      <c r="M123" s="301">
        <v>70</v>
      </c>
      <c r="N123" s="301">
        <v>-73</v>
      </c>
      <c r="O123" s="358">
        <f t="shared" si="54"/>
        <v>70</v>
      </c>
      <c r="P123" s="300">
        <v>79</v>
      </c>
      <c r="Q123" s="301">
        <v>82</v>
      </c>
      <c r="R123" s="301">
        <v>84</v>
      </c>
      <c r="S123" s="358">
        <f t="shared" si="37"/>
        <v>84</v>
      </c>
      <c r="T123" s="359">
        <f>IF(E123="","",IF(OR(O123=0,S123=0),0,O123+S123))</f>
        <v>154</v>
      </c>
      <c r="U123" s="360" t="str">
        <f t="shared" si="49"/>
        <v>FED + 12</v>
      </c>
      <c r="V123" s="360" t="str">
        <f>IF(E123=0," ",IF(E123="H",IF(H123&lt;1999,VLOOKUP(K123,[3]Minimas!$A$15:$F$29,6),IF(AND(H123&gt;1998,H123&lt;2002),VLOOKUP(K123,[3]Minimas!$A$15:$F$29,5),IF(AND(H123&gt;2001,H123&lt;2004),VLOOKUP(K123,[3]Minimas!$A$15:$F$29,4),IF(AND(H123&gt;2003,H123&lt;2006),VLOOKUP(K123,[3]Minimas!$A$15:$F$29,3),VLOOKUP(K123,[3]Minimas!$A$15:$F$29,2))))),IF(H123&lt;1999,VLOOKUP(K123,[3]Minimas!$G$15:$L$29,6),IF(AND(H123&gt;1998,H123&lt;2002),VLOOKUP(K123,[3]Minimas!$G$15:$L$29,5),IF(AND(H123&gt;2001,H123&lt;2004),VLOOKUP(K123,[3]Minimas!$G$15:$L$29,4),IF(AND(H123&gt;2003,H123&lt;2006),VLOOKUP(K123,[3]Minimas!$G$15:$L$29,3),VLOOKUP(K123,[3]Minimas!$G$15:$L$29,2)))))))</f>
        <v>SE F71</v>
      </c>
      <c r="W123" s="361">
        <f t="shared" si="50"/>
        <v>189.28759763167869</v>
      </c>
      <c r="X123" s="257">
        <v>43597</v>
      </c>
      <c r="Y123" s="261" t="s">
        <v>867</v>
      </c>
      <c r="Z123" s="261" t="s">
        <v>868</v>
      </c>
      <c r="AA123" s="232"/>
      <c r="AB123" s="230">
        <f>T123-HLOOKUP(V123,[3]Minimas!$C$3:$CD$12,2,FALSE)</f>
        <v>79</v>
      </c>
      <c r="AC123" s="230">
        <f>T123-HLOOKUP(V123,[3]Minimas!$C$3:$CD$12,3,FALSE)</f>
        <v>64</v>
      </c>
      <c r="AD123" s="230">
        <f>T123-HLOOKUP(V123,[3]Minimas!$C$3:$CD$12,4,FALSE)</f>
        <v>47</v>
      </c>
      <c r="AE123" s="230">
        <f>T123-HLOOKUP(V123,[3]Minimas!$C$3:$CD$12,5,FALSE)</f>
        <v>32</v>
      </c>
      <c r="AF123" s="230">
        <f>T123-HLOOKUP(V123,[3]Minimas!$C$3:$CD$12,6,FALSE)</f>
        <v>12</v>
      </c>
      <c r="AG123" s="230">
        <f>T123-HLOOKUP(V123,[3]Minimas!$C$3:$CD$12,7,FALSE)</f>
        <v>-11</v>
      </c>
      <c r="AH123" s="230">
        <f>T123-HLOOKUP(V123,[3]Minimas!$C$3:$CD$12,8,FALSE)</f>
        <v>-31</v>
      </c>
      <c r="AI123" s="230">
        <f>T123-HLOOKUP(V123,[3]Minimas!$C$3:$CD$12,9,FALSE)</f>
        <v>-51</v>
      </c>
      <c r="AJ123" s="230">
        <f>T123-HLOOKUP(V123,[3]Minimas!$C$3:$CD$12,10,FALSE)</f>
        <v>-71</v>
      </c>
      <c r="AK123" s="231" t="str">
        <f t="shared" ref="AK123:AK128" si="55">IF(E123=0," ",IF(AJ123&gt;=0,$AJ$5,IF(AI123&gt;=0,$AI$5,IF(AH123&gt;=0,$AH$5,IF(AG123&gt;=0,$AG$5,IF(AF123&gt;=0,$AF$5,IF(AE123&gt;=0,$AE$5,IF(AD123&gt;=0,$AD$5,IF(AC123&gt;=0,$AC$5,$AB$5)))))))))</f>
        <v>FED +</v>
      </c>
      <c r="AL123" s="232"/>
      <c r="AM123" s="232" t="str">
        <f t="shared" si="52"/>
        <v>FED +</v>
      </c>
      <c r="AN123" s="232">
        <f t="shared" si="53"/>
        <v>12</v>
      </c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  <c r="BF123" s="38"/>
      <c r="BG123" s="38"/>
      <c r="BH123" s="38"/>
      <c r="BI123" s="38"/>
      <c r="BJ123" s="38"/>
      <c r="BK123" s="38"/>
      <c r="BL123" s="38"/>
      <c r="BM123" s="38"/>
      <c r="BN123" s="38"/>
      <c r="BO123" s="38"/>
      <c r="BP123" s="38"/>
      <c r="BQ123" s="38"/>
      <c r="BR123" s="38"/>
      <c r="BS123" s="38"/>
      <c r="BT123" s="38"/>
      <c r="BU123" s="38"/>
      <c r="BV123" s="38"/>
      <c r="BW123" s="38"/>
      <c r="BX123" s="38"/>
      <c r="BY123" s="38"/>
      <c r="BZ123" s="38"/>
      <c r="CA123" s="38"/>
      <c r="CB123" s="38"/>
      <c r="CC123" s="38"/>
      <c r="CD123" s="38"/>
      <c r="CE123" s="38"/>
      <c r="CF123" s="38"/>
      <c r="CG123" s="38"/>
      <c r="CH123" s="38"/>
      <c r="CI123" s="38"/>
      <c r="CJ123" s="38"/>
      <c r="CK123" s="38"/>
      <c r="CL123" s="38"/>
      <c r="CM123" s="38"/>
      <c r="CN123" s="38"/>
      <c r="CO123" s="38"/>
      <c r="CP123" s="38"/>
      <c r="CQ123" s="38"/>
      <c r="CR123" s="38"/>
      <c r="CS123" s="38"/>
      <c r="CT123" s="38"/>
      <c r="CU123" s="38"/>
      <c r="CV123" s="38"/>
      <c r="CW123" s="38"/>
      <c r="CX123" s="38"/>
      <c r="CY123" s="38"/>
      <c r="CZ123" s="38"/>
      <c r="DA123" s="38"/>
      <c r="DB123" s="38"/>
      <c r="DC123" s="38"/>
      <c r="DD123" s="38"/>
      <c r="DE123" s="38"/>
      <c r="DF123" s="38"/>
      <c r="DG123" s="38"/>
      <c r="DH123" s="38"/>
      <c r="DI123" s="38"/>
      <c r="DJ123" s="38"/>
      <c r="DK123" s="38"/>
      <c r="DL123" s="38"/>
      <c r="DM123" s="38"/>
      <c r="DN123" s="38"/>
      <c r="DO123" s="38"/>
      <c r="DP123" s="38"/>
      <c r="DQ123" s="38"/>
      <c r="DR123" s="38"/>
      <c r="DS123" s="38"/>
      <c r="DT123" s="38"/>
    </row>
    <row r="124" spans="1:179" s="5" customFormat="1" ht="30" customHeight="1" x14ac:dyDescent="0.3">
      <c r="B124" s="495" t="s">
        <v>543</v>
      </c>
      <c r="C124" s="527">
        <v>392577</v>
      </c>
      <c r="D124" s="535"/>
      <c r="E124" s="534" t="s">
        <v>44</v>
      </c>
      <c r="F124" s="547" t="s">
        <v>133</v>
      </c>
      <c r="G124" s="554" t="s">
        <v>134</v>
      </c>
      <c r="H124" s="641">
        <v>1998</v>
      </c>
      <c r="I124" s="570" t="s">
        <v>324</v>
      </c>
      <c r="J124" s="577" t="s">
        <v>44</v>
      </c>
      <c r="K124" s="589">
        <v>67.599999999999994</v>
      </c>
      <c r="L124" s="300">
        <v>67</v>
      </c>
      <c r="M124" s="449">
        <v>-71</v>
      </c>
      <c r="N124" s="301">
        <v>71</v>
      </c>
      <c r="O124" s="490">
        <f t="shared" si="54"/>
        <v>71</v>
      </c>
      <c r="P124" s="300">
        <v>74</v>
      </c>
      <c r="Q124" s="301">
        <v>78</v>
      </c>
      <c r="R124" s="301">
        <v>81</v>
      </c>
      <c r="S124" s="490">
        <v>81</v>
      </c>
      <c r="T124" s="489">
        <f>IF(E124="","",IF(OR(O124=0,S124=0),0,O124+S124))</f>
        <v>152</v>
      </c>
      <c r="U124" s="48" t="str">
        <f t="shared" si="49"/>
        <v>FED + 10</v>
      </c>
      <c r="V124" s="48" t="str">
        <f>IF(E124=0," ",IF(E124="H",IF(H124&lt;1999,VLOOKUP(K124,[8]Minimas!$A$15:$F$29,6),IF(AND(H124&gt;1998,H124&lt;2002),VLOOKUP(K124,[8]Minimas!$A$15:$F$29,5),IF(AND(H124&gt;2001,H124&lt;2004),VLOOKUP(K124,[8]Minimas!$A$15:$F$29,4),IF(AND(H124&gt;2003,H124&lt;2006),VLOOKUP(K124,[8]Minimas!$A$15:$F$29,3),VLOOKUP(K124,[8]Minimas!$A$15:$F$29,2))))),IF(H124&lt;1999,VLOOKUP(K124,[8]Minimas!$G$15:$L$29,6),IF(AND(H124&gt;1998,H124&lt;2002),VLOOKUP(K124,[8]Minimas!$G$15:$L$29,5),IF(AND(H124&gt;2001,H124&lt;2004),VLOOKUP(K124,[8]Minimas!$G$15:$L$29,4),IF(AND(H124&gt;2003,H124&lt;2006),VLOOKUP(K124,[8]Minimas!$G$15:$L$29,3),VLOOKUP(K124,[8]Minimas!$G$15:$L$29,2)))))))</f>
        <v>SE F71</v>
      </c>
      <c r="W124" s="49">
        <f t="shared" si="50"/>
        <v>191.1947297308979</v>
      </c>
      <c r="X124" s="257">
        <v>43526</v>
      </c>
      <c r="Y124" s="261" t="s">
        <v>705</v>
      </c>
      <c r="Z124" s="261" t="s">
        <v>504</v>
      </c>
      <c r="AA124" s="232"/>
      <c r="AB124" s="230">
        <f>T124-HLOOKUP(V124,[8]Minimas!$C$3:$CD$12,2,FALSE)</f>
        <v>77</v>
      </c>
      <c r="AC124" s="230">
        <f>T124-HLOOKUP(V124,[8]Minimas!$C$3:$CD$12,3,FALSE)</f>
        <v>62</v>
      </c>
      <c r="AD124" s="230">
        <f>T124-HLOOKUP(V124,[8]Minimas!$C$3:$CD$12,4,FALSE)</f>
        <v>45</v>
      </c>
      <c r="AE124" s="230">
        <f>T124-HLOOKUP(V124,[8]Minimas!$C$3:$CD$12,5,FALSE)</f>
        <v>30</v>
      </c>
      <c r="AF124" s="230">
        <f>T124-HLOOKUP(V124,[8]Minimas!$C$3:$CD$12,6,FALSE)</f>
        <v>10</v>
      </c>
      <c r="AG124" s="230">
        <f>T124-HLOOKUP(V124,[8]Minimas!$C$3:$CD$12,7,FALSE)</f>
        <v>-13</v>
      </c>
      <c r="AH124" s="230">
        <f>T124-HLOOKUP(V124,[8]Minimas!$C$3:$CD$12,8,FALSE)</f>
        <v>-33</v>
      </c>
      <c r="AI124" s="230">
        <f>T124-HLOOKUP(V124,[8]Minimas!$C$3:$CD$12,9,FALSE)</f>
        <v>-53</v>
      </c>
      <c r="AJ124" s="230">
        <f>T124-HLOOKUP(V124,[8]Minimas!$C$3:$CD$12,10,FALSE)</f>
        <v>-73</v>
      </c>
      <c r="AK124" s="231" t="str">
        <f t="shared" si="55"/>
        <v>FED +</v>
      </c>
      <c r="AL124" s="232"/>
      <c r="AM124" s="232" t="str">
        <f t="shared" si="52"/>
        <v>FED +</v>
      </c>
      <c r="AN124" s="232">
        <f t="shared" si="53"/>
        <v>10</v>
      </c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  <c r="BF124" s="38"/>
      <c r="BG124" s="38"/>
      <c r="BH124" s="38"/>
      <c r="BI124" s="38"/>
      <c r="BJ124" s="38"/>
      <c r="BK124" s="38"/>
      <c r="BL124" s="38"/>
      <c r="BM124" s="38"/>
      <c r="BN124" s="38"/>
      <c r="BO124" s="38"/>
      <c r="BP124" s="38"/>
      <c r="BQ124" s="38"/>
      <c r="BR124" s="38"/>
      <c r="BS124" s="38"/>
      <c r="BT124" s="38"/>
      <c r="BU124" s="38"/>
      <c r="BV124" s="38"/>
      <c r="BW124" s="38"/>
      <c r="BX124" s="38"/>
      <c r="BY124" s="38"/>
      <c r="BZ124" s="38"/>
      <c r="CA124" s="38"/>
      <c r="CB124" s="38"/>
      <c r="CC124" s="38"/>
      <c r="CD124" s="38"/>
      <c r="CE124" s="38"/>
      <c r="CF124" s="38"/>
      <c r="CG124" s="38"/>
      <c r="CH124" s="38"/>
      <c r="CI124" s="38"/>
      <c r="CJ124" s="38"/>
      <c r="CK124" s="38"/>
      <c r="CL124" s="38"/>
      <c r="CM124" s="38"/>
      <c r="CN124" s="38"/>
      <c r="CO124" s="38"/>
      <c r="CP124" s="38"/>
      <c r="CQ124" s="38"/>
      <c r="CR124" s="38"/>
      <c r="CS124" s="38"/>
      <c r="CT124" s="38"/>
      <c r="CU124" s="38"/>
      <c r="CV124" s="38"/>
      <c r="CW124" s="38"/>
      <c r="CX124" s="38"/>
      <c r="CY124" s="38"/>
      <c r="CZ124" s="38"/>
      <c r="DA124" s="38"/>
      <c r="DB124" s="38"/>
      <c r="DC124" s="38"/>
      <c r="DD124" s="38"/>
      <c r="DE124" s="38"/>
      <c r="DF124" s="38"/>
      <c r="DG124" s="38"/>
      <c r="DH124" s="38"/>
      <c r="DI124" s="38"/>
      <c r="DJ124" s="38"/>
      <c r="DK124" s="38"/>
      <c r="DL124" s="38"/>
      <c r="DM124" s="38"/>
      <c r="DN124" s="38"/>
      <c r="DO124" s="38"/>
      <c r="DP124" s="38"/>
      <c r="DQ124" s="38"/>
      <c r="DR124" s="38"/>
      <c r="DS124" s="38"/>
      <c r="DT124" s="38"/>
    </row>
    <row r="125" spans="1:179" s="5" customFormat="1" ht="30" customHeight="1" x14ac:dyDescent="0.3">
      <c r="B125" s="517" t="s">
        <v>543</v>
      </c>
      <c r="C125" s="499">
        <v>230430</v>
      </c>
      <c r="D125" s="313"/>
      <c r="E125" s="323" t="s">
        <v>44</v>
      </c>
      <c r="F125" s="328" t="s">
        <v>137</v>
      </c>
      <c r="G125" s="487" t="s">
        <v>138</v>
      </c>
      <c r="H125" s="329">
        <v>1991</v>
      </c>
      <c r="I125" s="528" t="s">
        <v>139</v>
      </c>
      <c r="J125" s="331" t="s">
        <v>44</v>
      </c>
      <c r="K125" s="297">
        <v>64.400000000000006</v>
      </c>
      <c r="L125" s="300">
        <v>65</v>
      </c>
      <c r="M125" s="301">
        <v>68</v>
      </c>
      <c r="N125" s="301">
        <v>70</v>
      </c>
      <c r="O125" s="490">
        <f t="shared" si="54"/>
        <v>70</v>
      </c>
      <c r="P125" s="300">
        <v>75</v>
      </c>
      <c r="Q125" s="301">
        <v>78</v>
      </c>
      <c r="R125" s="301">
        <v>80</v>
      </c>
      <c r="S125" s="490">
        <f t="shared" ref="S125:S133" si="56">IF(E125="","",IF(MAXA(P125:R125)&lt;=0,0,MAXA(P125:R125)))</f>
        <v>80</v>
      </c>
      <c r="T125" s="489">
        <f>IF(E125="","",IF(OR(O125=0,S125=0),0,O125+S125))</f>
        <v>150</v>
      </c>
      <c r="U125" s="48" t="str">
        <f t="shared" si="49"/>
        <v>FED + 8</v>
      </c>
      <c r="V125" s="48" t="str">
        <f>IF(E125=0," ",IF(E125="H",IF(H125&lt;1999,VLOOKUP(K125,Minimas!$A$15:$F$29,6),IF(AND(H125&gt;1998,H125&lt;2002),VLOOKUP(K125,Minimas!$A$15:$F$29,5),IF(AND(H125&gt;2001,H125&lt;2004),VLOOKUP(K125,Minimas!$A$15:$F$29,4),IF(AND(H125&gt;2003,H125&lt;2006),VLOOKUP(K125,Minimas!$A$15:$F$29,3),VLOOKUP(K125,Minimas!$A$15:$F$29,2))))),IF(H125&lt;1999,VLOOKUP(K125,Minimas!$G$15:$L$29,6),IF(AND(H125&gt;1998,H125&lt;2002),VLOOKUP(K125,Minimas!$G$15:$L$29,5),IF(AND(H125&gt;2001,H125&lt;2004),VLOOKUP(K125,Minimas!$G$15:$L$29,4),IF(AND(H125&gt;2003,H125&lt;2006),VLOOKUP(K125,Minimas!$G$15:$L$29,3),VLOOKUP(K125,Minimas!$G$15:$L$29,2)))))))</f>
        <v>SE F71</v>
      </c>
      <c r="W125" s="49">
        <f t="shared" si="50"/>
        <v>194.01696370133905</v>
      </c>
      <c r="X125" s="257">
        <v>43498</v>
      </c>
      <c r="Y125" s="261" t="s">
        <v>655</v>
      </c>
      <c r="Z125" s="261" t="s">
        <v>702</v>
      </c>
      <c r="AA125" s="232"/>
      <c r="AB125" s="230">
        <f>T125-HLOOKUP(V125,Minimas!$C$3:$CD$12,2,FALSE)</f>
        <v>75</v>
      </c>
      <c r="AC125" s="230">
        <f>T125-HLOOKUP(V125,Minimas!$C$3:$CD$12,3,FALSE)</f>
        <v>60</v>
      </c>
      <c r="AD125" s="230">
        <f>T125-HLOOKUP(V125,Minimas!$C$3:$CD$12,4,FALSE)</f>
        <v>43</v>
      </c>
      <c r="AE125" s="230">
        <f>T125-HLOOKUP(V125,Minimas!$C$3:$CD$12,5,FALSE)</f>
        <v>28</v>
      </c>
      <c r="AF125" s="230">
        <f>T125-HLOOKUP(V125,Minimas!$C$3:$CD$12,6,FALSE)</f>
        <v>8</v>
      </c>
      <c r="AG125" s="230">
        <f>T125-HLOOKUP(V125,Minimas!$C$3:$CD$12,7,FALSE)</f>
        <v>-15</v>
      </c>
      <c r="AH125" s="230">
        <f>T125-HLOOKUP(V125,Minimas!$C$3:$CD$12,8,FALSE)</f>
        <v>-35</v>
      </c>
      <c r="AI125" s="230">
        <f>T125-HLOOKUP(V125,Minimas!$C$3:$CD$12,9,FALSE)</f>
        <v>-55</v>
      </c>
      <c r="AJ125" s="230">
        <f>T125-HLOOKUP(V125,Minimas!$C$3:$CD$12,10,FALSE)</f>
        <v>-75</v>
      </c>
      <c r="AK125" s="231" t="str">
        <f t="shared" si="55"/>
        <v>FED +</v>
      </c>
      <c r="AL125" s="232"/>
      <c r="AM125" s="232" t="str">
        <f t="shared" si="52"/>
        <v>FED +</v>
      </c>
      <c r="AN125" s="232">
        <f t="shared" si="53"/>
        <v>8</v>
      </c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  <c r="BF125" s="38"/>
      <c r="BG125" s="38"/>
      <c r="BH125" s="38"/>
      <c r="BI125" s="38"/>
      <c r="BJ125" s="38"/>
      <c r="BK125" s="38"/>
      <c r="BL125" s="38"/>
      <c r="BM125" s="38"/>
      <c r="BN125" s="38"/>
      <c r="BO125" s="38"/>
      <c r="BP125" s="38"/>
      <c r="BQ125" s="38"/>
      <c r="BR125" s="38"/>
      <c r="BS125" s="38"/>
      <c r="BT125" s="38"/>
      <c r="BU125" s="38"/>
      <c r="BV125" s="38"/>
      <c r="BW125" s="38"/>
      <c r="BX125" s="38"/>
      <c r="BY125" s="38"/>
      <c r="BZ125" s="38"/>
      <c r="CA125" s="38"/>
      <c r="CB125" s="38"/>
      <c r="CC125" s="38"/>
      <c r="CD125" s="38"/>
      <c r="CE125" s="38"/>
      <c r="CF125" s="38"/>
      <c r="CG125" s="38"/>
      <c r="CH125" s="38"/>
      <c r="CI125" s="38"/>
      <c r="CJ125" s="38"/>
      <c r="CK125" s="38"/>
      <c r="CL125" s="38"/>
      <c r="CM125" s="38"/>
      <c r="CN125" s="38"/>
      <c r="CO125" s="38"/>
      <c r="CP125" s="38"/>
      <c r="CQ125" s="38"/>
      <c r="CR125" s="38"/>
      <c r="CS125" s="38"/>
      <c r="CT125" s="38"/>
      <c r="CU125" s="38"/>
      <c r="CV125" s="38"/>
      <c r="CW125" s="38"/>
      <c r="CX125" s="38"/>
      <c r="CY125" s="38"/>
      <c r="CZ125" s="38"/>
      <c r="DA125" s="38"/>
      <c r="DB125" s="38"/>
      <c r="DC125" s="38"/>
      <c r="DD125" s="38"/>
      <c r="DE125" s="38"/>
      <c r="DF125" s="38"/>
      <c r="DG125" s="38"/>
      <c r="DH125" s="38"/>
      <c r="DI125" s="38"/>
      <c r="DJ125" s="38"/>
      <c r="DK125" s="38"/>
      <c r="DL125" s="38"/>
      <c r="DM125" s="38"/>
      <c r="DN125" s="38"/>
      <c r="DO125" s="38"/>
      <c r="DP125" s="38"/>
      <c r="DQ125" s="38"/>
      <c r="DR125" s="38"/>
      <c r="DS125" s="38"/>
      <c r="DT125" s="38"/>
    </row>
    <row r="126" spans="1:179" s="5" customFormat="1" ht="30" customHeight="1" x14ac:dyDescent="0.25">
      <c r="A126" s="484"/>
      <c r="B126" s="355" t="s">
        <v>543</v>
      </c>
      <c r="C126" s="356">
        <v>418305</v>
      </c>
      <c r="D126" s="357"/>
      <c r="E126" s="323" t="s">
        <v>44</v>
      </c>
      <c r="F126" s="328" t="s">
        <v>654</v>
      </c>
      <c r="G126" s="487" t="s">
        <v>565</v>
      </c>
      <c r="H126" s="329">
        <v>1988</v>
      </c>
      <c r="I126" s="330" t="s">
        <v>587</v>
      </c>
      <c r="J126" s="331" t="s">
        <v>44</v>
      </c>
      <c r="K126" s="297">
        <v>65.97</v>
      </c>
      <c r="L126" s="300">
        <v>60</v>
      </c>
      <c r="M126" s="301">
        <v>-65</v>
      </c>
      <c r="N126" s="301">
        <v>-60</v>
      </c>
      <c r="O126" s="358">
        <f t="shared" si="54"/>
        <v>60</v>
      </c>
      <c r="P126" s="300">
        <v>80</v>
      </c>
      <c r="Q126" s="301">
        <v>85</v>
      </c>
      <c r="R126" s="301">
        <v>-87</v>
      </c>
      <c r="S126" s="358">
        <f t="shared" si="56"/>
        <v>85</v>
      </c>
      <c r="T126" s="359">
        <f>IF(E126="","",IF(OR(O126=0,S126=0),0,O126+S126))</f>
        <v>145</v>
      </c>
      <c r="U126" s="360" t="str">
        <f t="shared" si="49"/>
        <v>FED + 3</v>
      </c>
      <c r="V126" s="360" t="str">
        <f>IF(E126=0," ",IF(E126="H",IF(H126&lt;1999,VLOOKUP(K126,[15]Minimas!$A$15:$F$29,6),IF(AND(H126&gt;1998,H126&lt;2002),VLOOKUP(K126,[15]Minimas!$A$15:$F$29,5),IF(AND(H126&gt;2001,H126&lt;2004),VLOOKUP(K126,[15]Minimas!$A$15:$F$29,4),IF(AND(H126&gt;2003,H126&lt;2006),VLOOKUP(K126,[15]Minimas!$A$15:$F$29,3),VLOOKUP(K126,[15]Minimas!$A$15:$F$29,2))))),IF(H126&lt;1999,VLOOKUP(K126,[15]Minimas!$G$15:$L$29,6),IF(AND(H126&gt;1998,H126&lt;2002),VLOOKUP(K126,[15]Minimas!$G$15:$L$29,5),IF(AND(H126&gt;2001,H126&lt;2004),VLOOKUP(K126,[15]Minimas!$G$15:$L$29,4),IF(AND(H126&gt;2003,H126&lt;2006),VLOOKUP(K126,[15]Minimas!$G$15:$L$29,3),VLOOKUP(K126,[15]Minimas!$G$15:$L$29,2)))))))</f>
        <v>SE F71</v>
      </c>
      <c r="W126" s="361">
        <f t="shared" si="50"/>
        <v>184.93182905151278</v>
      </c>
      <c r="X126" s="257">
        <v>43526</v>
      </c>
      <c r="Y126" s="261" t="s">
        <v>705</v>
      </c>
      <c r="Z126" s="261" t="s">
        <v>711</v>
      </c>
      <c r="AA126" s="232"/>
      <c r="AB126" s="230">
        <f>T126-HLOOKUP(V126,[15]Minimas!$C$3:$CD$12,2,FALSE)</f>
        <v>70</v>
      </c>
      <c r="AC126" s="230">
        <f>T126-HLOOKUP(V126,[15]Minimas!$C$3:$CD$12,3,FALSE)</f>
        <v>55</v>
      </c>
      <c r="AD126" s="230">
        <f>T126-HLOOKUP(V126,[15]Minimas!$C$3:$CD$12,4,FALSE)</f>
        <v>38</v>
      </c>
      <c r="AE126" s="230">
        <f>T126-HLOOKUP(V126,[15]Minimas!$C$3:$CD$12,5,FALSE)</f>
        <v>23</v>
      </c>
      <c r="AF126" s="230">
        <f>T126-HLOOKUP(V126,[15]Minimas!$C$3:$CD$12,6,FALSE)</f>
        <v>3</v>
      </c>
      <c r="AG126" s="230">
        <f>T126-HLOOKUP(V126,[15]Minimas!$C$3:$CD$12,7,FALSE)</f>
        <v>-20</v>
      </c>
      <c r="AH126" s="230">
        <f>T126-HLOOKUP(V126,[15]Minimas!$C$3:$CD$12,8,FALSE)</f>
        <v>-40</v>
      </c>
      <c r="AI126" s="230">
        <f>T126-HLOOKUP(V126,[15]Minimas!$C$3:$CD$12,9,FALSE)</f>
        <v>-60</v>
      </c>
      <c r="AJ126" s="230">
        <f>T126-HLOOKUP(V126,[15]Minimas!$C$3:$CD$12,10,FALSE)</f>
        <v>-80</v>
      </c>
      <c r="AK126" s="231" t="str">
        <f t="shared" si="55"/>
        <v>FED +</v>
      </c>
      <c r="AL126" s="232"/>
      <c r="AM126" s="232" t="str">
        <f t="shared" si="52"/>
        <v>FED +</v>
      </c>
      <c r="AN126" s="232">
        <f t="shared" si="53"/>
        <v>3</v>
      </c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  <c r="BF126" s="38"/>
      <c r="BG126" s="38"/>
      <c r="BH126" s="38"/>
      <c r="BI126" s="38"/>
      <c r="BJ126" s="38"/>
      <c r="BK126" s="38"/>
      <c r="BL126" s="38"/>
      <c r="BM126" s="38"/>
      <c r="BN126" s="38"/>
      <c r="BO126" s="38"/>
      <c r="BP126" s="38"/>
      <c r="BQ126" s="38"/>
      <c r="BR126" s="38"/>
      <c r="BS126" s="38"/>
      <c r="BT126" s="38"/>
      <c r="BU126" s="38"/>
      <c r="BV126" s="38"/>
      <c r="BW126" s="38"/>
      <c r="BX126" s="38"/>
      <c r="BY126" s="38"/>
      <c r="BZ126" s="38"/>
      <c r="CA126" s="38"/>
      <c r="CB126" s="38"/>
      <c r="CC126" s="38"/>
      <c r="CD126" s="38"/>
      <c r="CE126" s="38"/>
      <c r="CF126" s="38"/>
      <c r="CG126" s="38"/>
      <c r="CH126" s="38"/>
      <c r="CI126" s="38"/>
      <c r="CJ126" s="38"/>
      <c r="CK126" s="38"/>
      <c r="CL126" s="38"/>
      <c r="CM126" s="38"/>
      <c r="CN126" s="38"/>
      <c r="CO126" s="38"/>
      <c r="CP126" s="38"/>
      <c r="CQ126" s="38"/>
      <c r="CR126" s="38"/>
      <c r="CS126" s="38"/>
      <c r="CT126" s="38"/>
      <c r="CU126" s="38"/>
      <c r="CV126" s="38"/>
      <c r="CW126" s="38"/>
      <c r="CX126" s="38"/>
      <c r="CY126" s="38"/>
      <c r="CZ126" s="38"/>
      <c r="DA126" s="38"/>
      <c r="DB126" s="38"/>
      <c r="DC126" s="38"/>
      <c r="DD126" s="38"/>
      <c r="DE126" s="38"/>
      <c r="DF126" s="38"/>
      <c r="DG126" s="38"/>
      <c r="DH126" s="38"/>
      <c r="DI126" s="38"/>
      <c r="DJ126" s="38"/>
      <c r="DK126" s="38"/>
      <c r="DL126" s="38"/>
      <c r="DM126" s="38"/>
      <c r="DN126" s="38"/>
      <c r="DO126" s="38"/>
      <c r="DP126" s="38"/>
      <c r="DQ126" s="38"/>
      <c r="DR126" s="38"/>
      <c r="DS126" s="38"/>
      <c r="DT126" s="38"/>
    </row>
    <row r="127" spans="1:179" s="5" customFormat="1" ht="30" customHeight="1" x14ac:dyDescent="0.3">
      <c r="B127" s="517" t="s">
        <v>543</v>
      </c>
      <c r="C127" s="499">
        <v>362268</v>
      </c>
      <c r="D127" s="313"/>
      <c r="E127" s="323" t="s">
        <v>44</v>
      </c>
      <c r="F127" s="486" t="s">
        <v>163</v>
      </c>
      <c r="G127" s="487" t="s">
        <v>662</v>
      </c>
      <c r="H127" s="492">
        <v>1998</v>
      </c>
      <c r="I127" s="528" t="s">
        <v>139</v>
      </c>
      <c r="J127" s="493" t="s">
        <v>44</v>
      </c>
      <c r="K127" s="297">
        <v>68.099999999999994</v>
      </c>
      <c r="L127" s="300">
        <v>55</v>
      </c>
      <c r="M127" s="301">
        <v>58</v>
      </c>
      <c r="N127" s="301">
        <v>61</v>
      </c>
      <c r="O127" s="490">
        <f t="shared" si="54"/>
        <v>61</v>
      </c>
      <c r="P127" s="300">
        <v>73</v>
      </c>
      <c r="Q127" s="301">
        <v>76</v>
      </c>
      <c r="R127" s="301">
        <v>79</v>
      </c>
      <c r="S127" s="490">
        <f t="shared" si="56"/>
        <v>79</v>
      </c>
      <c r="T127" s="489">
        <f>IF(E127="","",O127+S127)</f>
        <v>140</v>
      </c>
      <c r="U127" s="48" t="str">
        <f t="shared" si="49"/>
        <v>IRG + 18</v>
      </c>
      <c r="V127" s="48" t="str">
        <f>IF(E127=0," ",IF(E127="H",IF(H127&lt;1999,VLOOKUP(K127,[17]Minimas!$A$15:$F$29,6),IF(AND(H127&gt;1998,H127&lt;2002),VLOOKUP(K127,[17]Minimas!$A$15:$F$29,5),IF(AND(H127&gt;2001,H127&lt;2004),VLOOKUP(K127,[17]Minimas!$A$15:$F$29,4),IF(AND(H127&gt;2003,H127&lt;2006),VLOOKUP(K127,[17]Minimas!$A$15:$F$29,3),VLOOKUP(K127,[17]Minimas!$A$15:$F$29,2))))),IF(H127&lt;1999,VLOOKUP(K127,[17]Minimas!$G$15:$L$29,6),IF(AND(H127&gt;1998,H127&lt;2002),VLOOKUP(K127,[17]Minimas!$G$15:$L$29,5),IF(AND(H127&gt;2001,H127&lt;2004),VLOOKUP(K127,[17]Minimas!$G$15:$L$29,4),IF(AND(H127&gt;2003,H127&lt;2006),VLOOKUP(K127,[17]Minimas!$G$15:$L$29,3),VLOOKUP(K127,[17]Minimas!$G$15:$L$29,2)))))))</f>
        <v>SE F71</v>
      </c>
      <c r="W127" s="49">
        <f t="shared" si="50"/>
        <v>175.37998472553639</v>
      </c>
      <c r="X127" s="257">
        <v>43506</v>
      </c>
      <c r="Y127" s="261" t="s">
        <v>660</v>
      </c>
      <c r="Z127" s="261" t="s">
        <v>661</v>
      </c>
      <c r="AA127" s="232"/>
      <c r="AB127" s="230">
        <f>T127-HLOOKUP(V127,Minimas!$C$3:$CD$12,2,FALSE)</f>
        <v>65</v>
      </c>
      <c r="AC127" s="230">
        <f>T127-HLOOKUP(V127,Minimas!$C$3:$CD$12,3,FALSE)</f>
        <v>50</v>
      </c>
      <c r="AD127" s="230">
        <f>T127-HLOOKUP(V127,Minimas!$C$3:$CD$12,4,FALSE)</f>
        <v>33</v>
      </c>
      <c r="AE127" s="230">
        <f>T127-HLOOKUP(V127,Minimas!$C$3:$CD$12,5,FALSE)</f>
        <v>18</v>
      </c>
      <c r="AF127" s="230">
        <f>T127-HLOOKUP(V127,Minimas!$C$3:$CD$12,6,FALSE)</f>
        <v>-2</v>
      </c>
      <c r="AG127" s="230">
        <f>T127-HLOOKUP(V127,Minimas!$C$3:$CD$12,7,FALSE)</f>
        <v>-25</v>
      </c>
      <c r="AH127" s="230">
        <f>T127-HLOOKUP(V127,Minimas!$C$3:$CD$12,8,FALSE)</f>
        <v>-45</v>
      </c>
      <c r="AI127" s="230">
        <f>T127-HLOOKUP(V127,Minimas!$C$3:$CD$12,9,FALSE)</f>
        <v>-65</v>
      </c>
      <c r="AJ127" s="230">
        <f>T127-HLOOKUP(V127,Minimas!$C$3:$CD$12,10,FALSE)</f>
        <v>-85</v>
      </c>
      <c r="AK127" s="231" t="str">
        <f t="shared" si="55"/>
        <v>IRG +</v>
      </c>
      <c r="AL127" s="232"/>
      <c r="AM127" s="232" t="str">
        <f t="shared" si="52"/>
        <v>IRG +</v>
      </c>
      <c r="AN127" s="232">
        <f t="shared" si="53"/>
        <v>18</v>
      </c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  <c r="BF127" s="38"/>
      <c r="BG127" s="38"/>
      <c r="BH127" s="38"/>
      <c r="BI127" s="38"/>
      <c r="BJ127" s="38"/>
      <c r="BK127" s="38"/>
      <c r="BL127" s="38"/>
      <c r="BM127" s="38"/>
      <c r="BN127" s="38"/>
      <c r="BO127" s="38"/>
      <c r="BP127" s="38"/>
      <c r="BQ127" s="38"/>
      <c r="BR127" s="38"/>
      <c r="BS127" s="38"/>
      <c r="BT127" s="38"/>
      <c r="BU127" s="38"/>
      <c r="BV127" s="38"/>
      <c r="BW127" s="38"/>
      <c r="BX127" s="38"/>
      <c r="BY127" s="38"/>
      <c r="BZ127" s="38"/>
      <c r="CA127" s="38"/>
      <c r="CB127" s="38"/>
      <c r="CC127" s="38"/>
      <c r="CD127" s="38"/>
      <c r="CE127" s="38"/>
      <c r="CF127" s="38"/>
      <c r="CG127" s="38"/>
      <c r="CH127" s="38"/>
      <c r="CI127" s="38"/>
      <c r="CJ127" s="38"/>
      <c r="CK127" s="38"/>
      <c r="CL127" s="38"/>
      <c r="CM127" s="38"/>
      <c r="CN127" s="38"/>
      <c r="CO127" s="38"/>
      <c r="CP127" s="38"/>
      <c r="CQ127" s="38"/>
      <c r="CR127" s="38"/>
      <c r="CS127" s="38"/>
      <c r="CT127" s="38"/>
      <c r="CU127" s="38"/>
      <c r="CV127" s="38"/>
      <c r="CW127" s="38"/>
      <c r="CX127" s="38"/>
      <c r="CY127" s="38"/>
      <c r="CZ127" s="38"/>
      <c r="DA127" s="38"/>
      <c r="DB127" s="38"/>
      <c r="DC127" s="38"/>
      <c r="DD127" s="38"/>
      <c r="DE127" s="38"/>
      <c r="DF127" s="38"/>
      <c r="DG127" s="38"/>
      <c r="DH127" s="38"/>
      <c r="DI127" s="38"/>
      <c r="DJ127" s="38"/>
      <c r="DK127" s="38"/>
      <c r="DL127" s="38"/>
      <c r="DM127" s="38"/>
      <c r="DN127" s="38"/>
      <c r="DO127" s="38"/>
      <c r="DP127" s="38"/>
      <c r="DQ127" s="38"/>
      <c r="DR127" s="38"/>
      <c r="DS127" s="38"/>
      <c r="DT127" s="38"/>
    </row>
    <row r="128" spans="1:179" s="5" customFormat="1" ht="30" customHeight="1" x14ac:dyDescent="0.3">
      <c r="B128" s="517" t="s">
        <v>543</v>
      </c>
      <c r="C128" s="499">
        <v>447894</v>
      </c>
      <c r="D128" s="496"/>
      <c r="E128" s="323" t="s">
        <v>44</v>
      </c>
      <c r="F128" s="328" t="s">
        <v>541</v>
      </c>
      <c r="G128" s="487" t="s">
        <v>542</v>
      </c>
      <c r="H128" s="329">
        <v>1991</v>
      </c>
      <c r="I128" s="330" t="s">
        <v>540</v>
      </c>
      <c r="J128" s="331" t="s">
        <v>44</v>
      </c>
      <c r="K128" s="297">
        <v>69.3</v>
      </c>
      <c r="L128" s="300">
        <v>55</v>
      </c>
      <c r="M128" s="301">
        <v>57</v>
      </c>
      <c r="N128" s="449">
        <v>-60</v>
      </c>
      <c r="O128" s="490">
        <f t="shared" si="54"/>
        <v>57</v>
      </c>
      <c r="P128" s="300">
        <v>73</v>
      </c>
      <c r="Q128" s="301">
        <v>77</v>
      </c>
      <c r="R128" s="449">
        <v>-80</v>
      </c>
      <c r="S128" s="490">
        <f t="shared" si="56"/>
        <v>77</v>
      </c>
      <c r="T128" s="489">
        <f>IF(E128="","",IF(OR(O128=0,S128=0),0,O128+S128))</f>
        <v>134</v>
      </c>
      <c r="U128" s="48" t="str">
        <f t="shared" si="49"/>
        <v>IRG + 12</v>
      </c>
      <c r="V128" s="48" t="str">
        <f>IF(E128=0," ",IF(E128="H",IF(H128&lt;1999,VLOOKUP(K128,Minimas!$A$15:$F$29,6),IF(AND(H128&gt;1998,H128&lt;2002),VLOOKUP(K128,Minimas!$A$15:$F$29,5),IF(AND(H128&gt;2001,H128&lt;2004),VLOOKUP(K128,Minimas!$A$15:$F$29,4),IF(AND(H128&gt;2003,H128&lt;2006),VLOOKUP(K128,Minimas!$A$15:$F$29,3),VLOOKUP(K128,Minimas!$A$15:$F$29,2))))),IF(H128&lt;1999,VLOOKUP(K128,Minimas!$G$15:$L$29,6),IF(AND(H128&gt;1998,H128&lt;2002),VLOOKUP(K128,Minimas!$G$15:$L$29,5),IF(AND(H128&gt;2001,H128&lt;2004),VLOOKUP(K128,Minimas!$G$15:$L$29,4),IF(AND(H128&gt;2003,H128&lt;2006),VLOOKUP(K128,Minimas!$G$15:$L$29,3),VLOOKUP(K128,Minimas!$G$15:$L$29,2)))))))</f>
        <v>SE F71</v>
      </c>
      <c r="W128" s="49">
        <f t="shared" si="50"/>
        <v>166.26501368911099</v>
      </c>
      <c r="X128" s="184">
        <v>43484</v>
      </c>
      <c r="Y128" s="278" t="s">
        <v>545</v>
      </c>
      <c r="Z128" s="278" t="s">
        <v>514</v>
      </c>
      <c r="AA128" s="467"/>
      <c r="AB128" s="230">
        <f>T128-HLOOKUP(V128,Minimas!$C$3:$CD$12,2,FALSE)</f>
        <v>59</v>
      </c>
      <c r="AC128" s="230">
        <f>T128-HLOOKUP(V128,Minimas!$C$3:$CD$12,3,FALSE)</f>
        <v>44</v>
      </c>
      <c r="AD128" s="230">
        <f>T128-HLOOKUP(V128,Minimas!$C$3:$CD$12,4,FALSE)</f>
        <v>27</v>
      </c>
      <c r="AE128" s="230">
        <f>T128-HLOOKUP(V128,Minimas!$C$3:$CD$12,5,FALSE)</f>
        <v>12</v>
      </c>
      <c r="AF128" s="230">
        <f>T128-HLOOKUP(V128,Minimas!$C$3:$CD$12,6,FALSE)</f>
        <v>-8</v>
      </c>
      <c r="AG128" s="230">
        <f>T128-HLOOKUP(V128,Minimas!$C$3:$CD$12,7,FALSE)</f>
        <v>-31</v>
      </c>
      <c r="AH128" s="230">
        <f>T128-HLOOKUP(V128,Minimas!$C$3:$CD$12,8,FALSE)</f>
        <v>-51</v>
      </c>
      <c r="AI128" s="230">
        <f>T128-HLOOKUP(V128,Minimas!$C$3:$CD$12,9,FALSE)</f>
        <v>-71</v>
      </c>
      <c r="AJ128" s="230">
        <f>T128-HLOOKUP(V128,Minimas!$C$3:$CD$12,10,FALSE)</f>
        <v>-91</v>
      </c>
      <c r="AK128" s="231" t="str">
        <f t="shared" si="55"/>
        <v>IRG +</v>
      </c>
      <c r="AL128" s="232"/>
      <c r="AM128" s="232" t="str">
        <f t="shared" si="52"/>
        <v>IRG +</v>
      </c>
      <c r="AN128" s="232">
        <f t="shared" si="53"/>
        <v>12</v>
      </c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  <c r="BF128" s="38"/>
      <c r="BG128" s="38"/>
      <c r="BH128" s="38"/>
      <c r="BI128" s="38"/>
      <c r="BJ128" s="38"/>
      <c r="BK128" s="38"/>
      <c r="BL128" s="38"/>
      <c r="BM128" s="38"/>
      <c r="BN128" s="38"/>
      <c r="BO128" s="38"/>
      <c r="BP128" s="38"/>
      <c r="BQ128" s="38"/>
      <c r="BR128" s="38"/>
      <c r="BS128" s="38"/>
      <c r="BT128" s="38"/>
      <c r="BU128" s="38"/>
      <c r="BV128" s="38"/>
      <c r="BW128" s="38"/>
      <c r="BX128" s="38"/>
      <c r="BY128" s="38"/>
      <c r="BZ128" s="38"/>
      <c r="CA128" s="38"/>
      <c r="CB128" s="38"/>
      <c r="CC128" s="38"/>
      <c r="CD128" s="38"/>
      <c r="CE128" s="38"/>
      <c r="CF128" s="38"/>
      <c r="CG128" s="38"/>
      <c r="CH128" s="38"/>
      <c r="CI128" s="38"/>
      <c r="CJ128" s="38"/>
      <c r="CK128" s="38"/>
      <c r="CL128" s="38"/>
      <c r="CM128" s="38"/>
      <c r="CN128" s="38"/>
      <c r="CO128" s="38"/>
      <c r="CP128" s="38"/>
      <c r="CQ128" s="38"/>
      <c r="CR128" s="38"/>
      <c r="CS128" s="38"/>
      <c r="CT128" s="38"/>
      <c r="CU128" s="38"/>
      <c r="CV128" s="38"/>
      <c r="CW128" s="38"/>
      <c r="CX128" s="38"/>
      <c r="CY128" s="38"/>
      <c r="CZ128" s="38"/>
      <c r="DA128" s="38"/>
      <c r="DB128" s="38"/>
      <c r="DC128" s="38"/>
      <c r="DD128" s="38"/>
      <c r="DE128" s="38"/>
      <c r="DF128" s="38"/>
      <c r="DG128" s="38"/>
      <c r="DH128" s="38"/>
      <c r="DI128" s="38"/>
      <c r="DJ128" s="38"/>
      <c r="DK128" s="38"/>
      <c r="DL128" s="38"/>
      <c r="DM128" s="38"/>
      <c r="DN128" s="38"/>
      <c r="DO128" s="38"/>
      <c r="DP128" s="38"/>
      <c r="DQ128" s="38"/>
      <c r="DR128" s="38"/>
      <c r="DS128" s="38"/>
      <c r="DT128" s="38"/>
    </row>
    <row r="129" spans="1:179" s="5" customFormat="1" ht="30" customHeight="1" x14ac:dyDescent="0.25">
      <c r="A129" s="1"/>
      <c r="B129" s="515" t="s">
        <v>543</v>
      </c>
      <c r="C129" s="499">
        <v>365254</v>
      </c>
      <c r="D129" s="496"/>
      <c r="E129" s="323" t="s">
        <v>44</v>
      </c>
      <c r="F129" s="486" t="s">
        <v>161</v>
      </c>
      <c r="G129" s="487" t="s">
        <v>162</v>
      </c>
      <c r="H129" s="492">
        <v>1998</v>
      </c>
      <c r="I129" s="528" t="s">
        <v>139</v>
      </c>
      <c r="J129" s="493" t="s">
        <v>44</v>
      </c>
      <c r="K129" s="488">
        <v>70.5</v>
      </c>
      <c r="L129" s="300">
        <v>57</v>
      </c>
      <c r="M129" s="449">
        <v>-60</v>
      </c>
      <c r="N129" s="301">
        <v>60</v>
      </c>
      <c r="O129" s="490">
        <f t="shared" si="54"/>
        <v>60</v>
      </c>
      <c r="P129" s="300">
        <v>67</v>
      </c>
      <c r="Q129" s="301">
        <v>70</v>
      </c>
      <c r="R129" s="449">
        <v>-72</v>
      </c>
      <c r="S129" s="490">
        <f t="shared" si="56"/>
        <v>70</v>
      </c>
      <c r="T129" s="489">
        <f>IF(E129="","",O129+S129)</f>
        <v>130</v>
      </c>
      <c r="U129" s="48" t="str">
        <f t="shared" si="49"/>
        <v>IRG + 8</v>
      </c>
      <c r="V129" s="48" t="str">
        <f>IF(E129=0," ",IF(E129="H",IF(H129&lt;1999,VLOOKUP(K129,[18]Minimas!$A$15:$F$29,6),IF(AND(H129&gt;1998,H129&lt;2002),VLOOKUP(K129,[18]Minimas!$A$15:$F$29,5),IF(AND(H129&gt;2001,H129&lt;2004),VLOOKUP(K129,[18]Minimas!$A$15:$F$29,4),IF(AND(H129&gt;2003,H129&lt;2006),VLOOKUP(K129,[18]Minimas!$A$15:$F$29,3),VLOOKUP(K129,[18]Minimas!$A$15:$F$29,2))))),IF(H129&lt;1999,VLOOKUP(K129,[18]Minimas!$G$15:$L$29,6),IF(AND(H129&gt;1998,H129&lt;2002),VLOOKUP(K129,[18]Minimas!$G$15:$L$29,5),IF(AND(H129&gt;2001,H129&lt;2004),VLOOKUP(K129,[18]Minimas!$G$15:$L$29,4),IF(AND(H129&gt;2003,H129&lt;2006),VLOOKUP(K129,[18]Minimas!$G$15:$L$29,3),VLOOKUP(K129,[18]Minimas!$G$15:$L$29,2)))))))</f>
        <v>SE F71</v>
      </c>
      <c r="W129" s="49">
        <f t="shared" si="50"/>
        <v>159.82426957982588</v>
      </c>
      <c r="X129" s="257">
        <v>43540</v>
      </c>
      <c r="Y129" s="261" t="s">
        <v>714</v>
      </c>
      <c r="Z129" s="261" t="s">
        <v>514</v>
      </c>
      <c r="AA129" s="463"/>
      <c r="AB129" s="230">
        <f>T129-HLOOKUP(V129,Minimas!$C$3:$CD$12,2,FALSE)</f>
        <v>55</v>
      </c>
      <c r="AC129" s="230">
        <f>T129-HLOOKUP(V129,Minimas!$C$3:$CD$12,3,FALSE)</f>
        <v>40</v>
      </c>
      <c r="AD129" s="230">
        <f>T129-HLOOKUP(V129,Minimas!$C$3:$CD$12,4,FALSE)</f>
        <v>23</v>
      </c>
      <c r="AE129" s="230">
        <f>T129-HLOOKUP(V129,Minimas!$C$3:$CD$12,5,FALSE)</f>
        <v>8</v>
      </c>
      <c r="AF129" s="230">
        <f>T129-HLOOKUP(V129,Minimas!$C$3:$CD$12,6,FALSE)</f>
        <v>-12</v>
      </c>
      <c r="AG129" s="230">
        <f>T129-HLOOKUP(V129,Minimas!$C$3:$CD$12,7,FALSE)</f>
        <v>-35</v>
      </c>
      <c r="AH129" s="230">
        <f>T129-HLOOKUP(V129,Minimas!$C$3:$CD$12,8,FALSE)</f>
        <v>-55</v>
      </c>
      <c r="AI129" s="230">
        <f>T129-HLOOKUP(V129,Minimas!$C$3:$CD$12,9,FALSE)</f>
        <v>-75</v>
      </c>
      <c r="AJ129" s="230">
        <f>T129-HLOOKUP(V129,Minimas!$C$3:$CD$12,10,FALSE)</f>
        <v>-95</v>
      </c>
      <c r="AK129" s="231" t="str">
        <f>IF(E129=0," ",IF(AJ129&gt;=0,MASCULINS!$AJ$5,IF(AI129&gt;=0,MASCULINS!$AI$5,IF(AH129&gt;=0,MASCULINS!$AH$5,IF(AG129&gt;=0,MASCULINS!$AG$5,IF(AF129&gt;=0,MASCULINS!$AF$5,IF(AE129&gt;=0,MASCULINS!$AE$5,IF(AD129&gt;=0,MASCULINS!$AD$5,IF(AC129&gt;=0,MASCULINS!$AC$5,MASCULINS!$AB$5)))))))))</f>
        <v>IRG +</v>
      </c>
      <c r="AL129" s="232"/>
      <c r="AM129" s="232" t="str">
        <f t="shared" si="52"/>
        <v>IRG +</v>
      </c>
      <c r="AN129" s="232">
        <f t="shared" si="53"/>
        <v>8</v>
      </c>
      <c r="AO129" s="34"/>
      <c r="AP129" s="34"/>
      <c r="AQ129" s="34"/>
      <c r="AR129" s="34"/>
      <c r="AS129" s="34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  <c r="BF129" s="34"/>
      <c r="BG129" s="34"/>
      <c r="BH129" s="34"/>
      <c r="BI129" s="34"/>
      <c r="BJ129" s="34"/>
      <c r="BK129" s="34"/>
      <c r="BL129" s="34"/>
      <c r="BM129" s="34"/>
      <c r="BN129" s="34"/>
      <c r="BO129" s="34"/>
      <c r="BP129" s="34"/>
      <c r="BQ129" s="34"/>
      <c r="BR129" s="34"/>
      <c r="BS129" s="34"/>
      <c r="BT129" s="34"/>
      <c r="BU129" s="34"/>
      <c r="BV129" s="34"/>
      <c r="BW129" s="34"/>
      <c r="BX129" s="34"/>
      <c r="BY129" s="34"/>
      <c r="BZ129" s="34"/>
      <c r="CA129" s="34"/>
      <c r="CB129" s="34"/>
      <c r="CC129" s="34"/>
      <c r="CD129" s="34"/>
      <c r="CE129" s="34"/>
      <c r="CF129" s="34"/>
      <c r="CG129" s="34"/>
      <c r="CH129" s="34"/>
      <c r="CI129" s="34"/>
      <c r="CJ129" s="34"/>
      <c r="CK129" s="34"/>
      <c r="CL129" s="34"/>
      <c r="CM129" s="34"/>
      <c r="CN129" s="34"/>
      <c r="CO129" s="34"/>
      <c r="CP129" s="34"/>
      <c r="CQ129" s="34"/>
      <c r="CR129" s="34"/>
      <c r="CS129" s="34"/>
      <c r="CT129" s="34"/>
      <c r="CU129" s="34"/>
      <c r="CV129" s="34"/>
      <c r="CW129" s="34"/>
      <c r="CX129" s="34"/>
      <c r="CY129" s="34"/>
      <c r="CZ129" s="34"/>
      <c r="DA129" s="34"/>
      <c r="DB129" s="34"/>
      <c r="DC129" s="34"/>
      <c r="DD129" s="34"/>
      <c r="DE129" s="34"/>
      <c r="DF129" s="34"/>
      <c r="DG129" s="34"/>
      <c r="DH129" s="34"/>
      <c r="DI129" s="34"/>
      <c r="DJ129" s="34"/>
      <c r="DK129" s="34"/>
      <c r="DL129" s="34"/>
      <c r="DM129" s="34"/>
      <c r="DN129" s="34"/>
      <c r="DO129" s="34"/>
      <c r="DP129" s="34"/>
      <c r="DQ129" s="34"/>
      <c r="DR129" s="34"/>
      <c r="DS129" s="34"/>
      <c r="DT129" s="34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</row>
    <row r="130" spans="1:179" s="5" customFormat="1" ht="30" customHeight="1" x14ac:dyDescent="0.25">
      <c r="A130" s="484"/>
      <c r="B130" s="495" t="s">
        <v>543</v>
      </c>
      <c r="C130" s="499">
        <v>448057</v>
      </c>
      <c r="D130" s="496"/>
      <c r="E130" s="323" t="s">
        <v>44</v>
      </c>
      <c r="F130" s="328" t="s">
        <v>691</v>
      </c>
      <c r="G130" s="487" t="s">
        <v>692</v>
      </c>
      <c r="H130" s="329">
        <v>1992</v>
      </c>
      <c r="I130" s="330" t="s">
        <v>155</v>
      </c>
      <c r="J130" s="331" t="s">
        <v>44</v>
      </c>
      <c r="K130" s="488">
        <v>67.010000000000005</v>
      </c>
      <c r="L130" s="300">
        <v>45</v>
      </c>
      <c r="M130" s="301">
        <v>47</v>
      </c>
      <c r="N130" s="301">
        <v>49</v>
      </c>
      <c r="O130" s="490">
        <f t="shared" si="54"/>
        <v>49</v>
      </c>
      <c r="P130" s="300">
        <v>67</v>
      </c>
      <c r="Q130" s="301">
        <v>70</v>
      </c>
      <c r="R130" s="301">
        <v>73</v>
      </c>
      <c r="S130" s="490">
        <f t="shared" si="56"/>
        <v>73</v>
      </c>
      <c r="T130" s="489">
        <f>IF(E130="","",IF(OR(O130=0,S130=0),0,O130+S130))</f>
        <v>122</v>
      </c>
      <c r="U130" s="48" t="str">
        <f t="shared" si="49"/>
        <v>IRG + 0</v>
      </c>
      <c r="V130" s="48" t="str">
        <f>IF(E130=0," ",IF(E130="H",IF(H130&lt;1999,VLOOKUP(K130,[5]Minimas!$A$15:$F$29,6),IF(AND(H130&gt;1998,H130&lt;2002),VLOOKUP(K130,[5]Minimas!$A$15:$F$29,5),IF(AND(H130&gt;2001,H130&lt;2004),VLOOKUP(K130,[5]Minimas!$A$15:$F$29,4),IF(AND(H130&gt;2003,H130&lt;2006),VLOOKUP(K130,[5]Minimas!$A$15:$F$29,3),VLOOKUP(K130,[5]Minimas!$A$15:$F$29,2))))),IF(H130&lt;1999,VLOOKUP(K130,[5]Minimas!$G$15:$L$29,6),IF(AND(H130&gt;1998,H130&lt;2002),VLOOKUP(K130,[5]Minimas!$G$15:$L$29,5),IF(AND(H130&gt;2001,H130&lt;2004),VLOOKUP(K130,[5]Minimas!$G$15:$L$29,4),IF(AND(H130&gt;2003,H130&lt;2006),VLOOKUP(K130,[5]Minimas!$G$15:$L$29,3),VLOOKUP(K130,[5]Minimas!$G$15:$L$29,2)))))))</f>
        <v>SE F71</v>
      </c>
      <c r="W130" s="49">
        <f t="shared" si="50"/>
        <v>154.21651123772565</v>
      </c>
      <c r="X130" s="257">
        <v>43555</v>
      </c>
      <c r="Y130" s="261" t="s">
        <v>805</v>
      </c>
      <c r="Z130" s="261" t="s">
        <v>806</v>
      </c>
      <c r="AA130" s="232"/>
      <c r="AB130" s="230">
        <f>T130-HLOOKUP(V130,[5]Minimas!$C$3:$CD$12,2,FALSE)</f>
        <v>47</v>
      </c>
      <c r="AC130" s="230">
        <f>T130-HLOOKUP(V130,[5]Minimas!$C$3:$CD$12,3,FALSE)</f>
        <v>32</v>
      </c>
      <c r="AD130" s="230">
        <f>T130-HLOOKUP(V130,[5]Minimas!$C$3:$CD$12,4,FALSE)</f>
        <v>15</v>
      </c>
      <c r="AE130" s="230">
        <f>T130-HLOOKUP(V130,[5]Minimas!$C$3:$CD$12,5,FALSE)</f>
        <v>0</v>
      </c>
      <c r="AF130" s="230">
        <f>T130-HLOOKUP(V130,[5]Minimas!$C$3:$CD$12,6,FALSE)</f>
        <v>-20</v>
      </c>
      <c r="AG130" s="230">
        <f>T130-HLOOKUP(V130,[5]Minimas!$C$3:$CD$12,7,FALSE)</f>
        <v>-43</v>
      </c>
      <c r="AH130" s="230">
        <f>T130-HLOOKUP(V130,[5]Minimas!$C$3:$CD$12,8,FALSE)</f>
        <v>-63</v>
      </c>
      <c r="AI130" s="230">
        <f>T130-HLOOKUP(V130,[5]Minimas!$C$3:$CD$12,9,FALSE)</f>
        <v>-83</v>
      </c>
      <c r="AJ130" s="230">
        <f>T130-HLOOKUP(V130,[5]Minimas!$C$3:$CD$12,10,FALSE)</f>
        <v>-103</v>
      </c>
      <c r="AK130" s="231" t="str">
        <f>IF(E130=0," ",IF(AJ130&gt;=0,$AJ$5,IF(AI130&gt;=0,$AI$5,IF(AH130&gt;=0,$AH$5,IF(AG130&gt;=0,$AG$5,IF(AF130&gt;=0,$AF$5,IF(AE130&gt;=0,$AE$5,IF(AD130&gt;=0,$AD$5,IF(AC130&gt;=0,$AC$5,$AB$5)))))))))</f>
        <v>IRG +</v>
      </c>
      <c r="AL130" s="232"/>
      <c r="AM130" s="232" t="str">
        <f t="shared" si="52"/>
        <v>IRG +</v>
      </c>
      <c r="AN130" s="232">
        <f t="shared" si="53"/>
        <v>0</v>
      </c>
      <c r="AO130" s="485"/>
      <c r="AP130" s="485"/>
      <c r="AQ130" s="485"/>
      <c r="AR130" s="485"/>
      <c r="AS130" s="485"/>
      <c r="AT130" s="485"/>
      <c r="AU130" s="485"/>
      <c r="AV130" s="485"/>
      <c r="AW130" s="485"/>
      <c r="AX130" s="485"/>
      <c r="AY130" s="485"/>
      <c r="AZ130" s="485"/>
      <c r="BA130" s="485"/>
      <c r="BB130" s="485"/>
      <c r="BC130" s="485"/>
      <c r="BD130" s="485"/>
      <c r="BE130" s="485"/>
      <c r="BF130" s="485"/>
      <c r="BG130" s="485"/>
      <c r="BH130" s="485"/>
      <c r="BI130" s="485"/>
      <c r="BJ130" s="485"/>
      <c r="BK130" s="485"/>
      <c r="BL130" s="485"/>
      <c r="BM130" s="485"/>
      <c r="BN130" s="485"/>
      <c r="BO130" s="485"/>
      <c r="BP130" s="485"/>
      <c r="BQ130" s="485"/>
      <c r="BR130" s="485"/>
      <c r="BS130" s="485"/>
      <c r="BT130" s="485"/>
      <c r="BU130" s="485"/>
      <c r="BV130" s="485"/>
      <c r="BW130" s="485"/>
      <c r="BX130" s="485"/>
      <c r="BY130" s="485"/>
      <c r="BZ130" s="485"/>
      <c r="CA130" s="485"/>
      <c r="CB130" s="485"/>
      <c r="CC130" s="485"/>
      <c r="CD130" s="485"/>
      <c r="CE130" s="485"/>
      <c r="CF130" s="485"/>
      <c r="CG130" s="485"/>
      <c r="CH130" s="485"/>
      <c r="CI130" s="485"/>
      <c r="CJ130" s="485"/>
      <c r="CK130" s="485"/>
      <c r="CL130" s="485"/>
      <c r="CM130" s="485"/>
      <c r="CN130" s="485"/>
      <c r="CO130" s="485"/>
      <c r="CP130" s="485"/>
      <c r="CQ130" s="485"/>
      <c r="CR130" s="485"/>
      <c r="CS130" s="485"/>
      <c r="CT130" s="485"/>
      <c r="CU130" s="485"/>
      <c r="CV130" s="485"/>
      <c r="CW130" s="485"/>
      <c r="CX130" s="485"/>
      <c r="CY130" s="485"/>
      <c r="CZ130" s="485"/>
      <c r="DA130" s="485"/>
      <c r="DB130" s="485"/>
      <c r="DC130" s="485"/>
      <c r="DD130" s="485"/>
      <c r="DE130" s="485"/>
      <c r="DF130" s="485"/>
      <c r="DG130" s="485"/>
      <c r="DH130" s="485"/>
      <c r="DI130" s="485"/>
      <c r="DJ130" s="485"/>
      <c r="DK130" s="485"/>
      <c r="DL130" s="485"/>
      <c r="DM130" s="485"/>
      <c r="DN130" s="485"/>
      <c r="DO130" s="485"/>
      <c r="DP130" s="485"/>
      <c r="DQ130" s="485"/>
      <c r="DR130" s="485"/>
      <c r="DS130" s="485"/>
      <c r="DT130" s="485"/>
      <c r="DU130" s="484"/>
      <c r="DV130" s="484"/>
      <c r="DW130" s="484"/>
      <c r="DX130" s="484"/>
      <c r="DY130" s="484"/>
      <c r="DZ130" s="484"/>
      <c r="EA130" s="484"/>
      <c r="EB130" s="484"/>
      <c r="EC130" s="484"/>
      <c r="ED130" s="484"/>
      <c r="EE130" s="484"/>
      <c r="EF130" s="484"/>
      <c r="EG130" s="484"/>
      <c r="EH130" s="484"/>
      <c r="EI130" s="484"/>
      <c r="EJ130" s="484"/>
      <c r="EK130" s="484"/>
      <c r="EL130" s="484"/>
      <c r="EM130" s="484"/>
      <c r="EN130" s="484"/>
      <c r="EO130" s="484"/>
      <c r="EP130" s="484"/>
      <c r="EQ130" s="484"/>
      <c r="ER130" s="484"/>
      <c r="ES130" s="484"/>
      <c r="ET130" s="484"/>
      <c r="EU130" s="484"/>
      <c r="EV130" s="484"/>
      <c r="EW130" s="484"/>
      <c r="EX130" s="484"/>
      <c r="EY130" s="484"/>
      <c r="EZ130" s="484"/>
      <c r="FA130" s="484"/>
      <c r="FB130" s="484"/>
      <c r="FC130" s="484"/>
      <c r="FD130" s="484"/>
      <c r="FE130" s="484"/>
      <c r="FF130" s="484"/>
      <c r="FG130" s="484"/>
      <c r="FH130" s="484"/>
      <c r="FI130" s="484"/>
      <c r="FJ130" s="484"/>
      <c r="FK130" s="484"/>
      <c r="FL130" s="484"/>
      <c r="FM130" s="484"/>
      <c r="FN130" s="484"/>
      <c r="FO130" s="484"/>
      <c r="FP130" s="484"/>
      <c r="FQ130" s="484"/>
      <c r="FR130" s="484"/>
      <c r="FS130" s="484"/>
      <c r="FT130" s="484"/>
      <c r="FU130" s="484"/>
      <c r="FV130" s="484"/>
      <c r="FW130" s="484"/>
    </row>
    <row r="131" spans="1:179" s="5" customFormat="1" ht="30" customHeight="1" x14ac:dyDescent="0.3">
      <c r="A131" s="441"/>
      <c r="B131" s="517" t="s">
        <v>543</v>
      </c>
      <c r="C131" s="499">
        <v>446581</v>
      </c>
      <c r="D131" s="538"/>
      <c r="E131" s="315" t="s">
        <v>44</v>
      </c>
      <c r="F131" s="486" t="s">
        <v>520</v>
      </c>
      <c r="G131" s="487" t="s">
        <v>521</v>
      </c>
      <c r="H131" s="492">
        <v>1994</v>
      </c>
      <c r="I131" s="574" t="s">
        <v>155</v>
      </c>
      <c r="J131" s="493" t="s">
        <v>44</v>
      </c>
      <c r="K131" s="488">
        <v>70.5</v>
      </c>
      <c r="L131" s="300">
        <v>35</v>
      </c>
      <c r="M131" s="301">
        <v>38</v>
      </c>
      <c r="N131" s="301">
        <v>41</v>
      </c>
      <c r="O131" s="490">
        <f t="shared" si="54"/>
        <v>41</v>
      </c>
      <c r="P131" s="298">
        <v>-50</v>
      </c>
      <c r="Q131" s="299">
        <v>-51</v>
      </c>
      <c r="R131" s="301">
        <v>51</v>
      </c>
      <c r="S131" s="490">
        <f t="shared" si="56"/>
        <v>51</v>
      </c>
      <c r="T131" s="489">
        <f>IF(E131="","",IF(OR(O131=0,S131=0),0,O131+S131))</f>
        <v>92</v>
      </c>
      <c r="U131" s="48" t="str">
        <f t="shared" si="49"/>
        <v>DPT + 2</v>
      </c>
      <c r="V131" s="48" t="str">
        <f>IF(E131=0," ",IF(E131="H",IF(H131&lt;1999,VLOOKUP(K131,Minimas!$A$15:$F$29,6),IF(AND(H131&gt;1998,H131&lt;2002),VLOOKUP(K131,Minimas!$A$15:$F$29,5),IF(AND(H131&gt;2001,H131&lt;2004),VLOOKUP(K131,Minimas!$A$15:$F$29,4),IF(AND(H131&gt;2003,H131&lt;2006),VLOOKUP(K131,Minimas!$A$15:$F$29,3),VLOOKUP(K131,Minimas!$A$15:$F$29,2))))),IF(H131&lt;1999,VLOOKUP(K131,Minimas!$G$15:$L$29,6),IF(AND(H131&gt;1998,H131&lt;2002),VLOOKUP(K131,Minimas!$G$15:$L$29,5),IF(AND(H131&gt;2001,H131&lt;2004),VLOOKUP(K131,Minimas!$G$15:$L$29,4),IF(AND(H131&gt;2003,H131&lt;2006),VLOOKUP(K131,Minimas!$G$15:$L$29,3),VLOOKUP(K131,Minimas!$G$15:$L$29,2)))))))</f>
        <v>SE F71</v>
      </c>
      <c r="W131" s="49">
        <f t="shared" si="50"/>
        <v>113.10640616418446</v>
      </c>
      <c r="X131" s="184">
        <v>43436</v>
      </c>
      <c r="Y131" s="186" t="s">
        <v>526</v>
      </c>
      <c r="Z131" s="278" t="s">
        <v>514</v>
      </c>
      <c r="AA131" s="467"/>
      <c r="AB131" s="230">
        <f>T131-HLOOKUP(V131,Minimas!$C$3:$CD$12,2,FALSE)</f>
        <v>17</v>
      </c>
      <c r="AC131" s="230">
        <f>T131-HLOOKUP(V131,Minimas!$C$3:$CD$12,3,FALSE)</f>
        <v>2</v>
      </c>
      <c r="AD131" s="230">
        <f>T131-HLOOKUP(V131,Minimas!$C$3:$CD$12,4,FALSE)</f>
        <v>-15</v>
      </c>
      <c r="AE131" s="230">
        <f>T131-HLOOKUP(V131,Minimas!$C$3:$CD$12,5,FALSE)</f>
        <v>-30</v>
      </c>
      <c r="AF131" s="230">
        <f>T131-HLOOKUP(V131,Minimas!$C$3:$CD$12,6,FALSE)</f>
        <v>-50</v>
      </c>
      <c r="AG131" s="230">
        <f>T131-HLOOKUP(V131,Minimas!$C$3:$CD$12,7,FALSE)</f>
        <v>-73</v>
      </c>
      <c r="AH131" s="230">
        <f>T131-HLOOKUP(V131,Minimas!$C$3:$CD$12,8,FALSE)</f>
        <v>-93</v>
      </c>
      <c r="AI131" s="230">
        <f>T131-HLOOKUP(V131,Minimas!$C$3:$CD$12,9,FALSE)</f>
        <v>-113</v>
      </c>
      <c r="AJ131" s="230">
        <f>T131-HLOOKUP(V131,Minimas!$C$3:$CD$12,10,FALSE)</f>
        <v>-133</v>
      </c>
      <c r="AK131" s="231" t="str">
        <f>IF(E131=0," ",IF(AJ131&gt;=0,$AJ$5,IF(AI131&gt;=0,$AI$5,IF(AH131&gt;=0,$AH$5,IF(AG131&gt;=0,$AG$5,IF(AF131&gt;=0,$AF$5,IF(AE131&gt;=0,$AE$5,IF(AD131&gt;=0,$AD$5,IF(AC131&gt;=0,$AC$5,$AB$5)))))))))</f>
        <v>DPT +</v>
      </c>
      <c r="AL131" s="232"/>
      <c r="AM131" s="232" t="str">
        <f t="shared" si="52"/>
        <v>DPT +</v>
      </c>
      <c r="AN131" s="232">
        <f t="shared" si="53"/>
        <v>2</v>
      </c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  <c r="BF131" s="38"/>
      <c r="BG131" s="38"/>
      <c r="BH131" s="38"/>
      <c r="BI131" s="38"/>
      <c r="BJ131" s="38"/>
      <c r="BK131" s="38"/>
      <c r="BL131" s="38"/>
      <c r="BM131" s="38"/>
      <c r="BN131" s="38"/>
      <c r="BO131" s="38"/>
      <c r="BP131" s="38"/>
      <c r="BQ131" s="38"/>
      <c r="BR131" s="38"/>
      <c r="BS131" s="38"/>
      <c r="BT131" s="38"/>
      <c r="BU131" s="38"/>
      <c r="BV131" s="38"/>
      <c r="BW131" s="38"/>
      <c r="BX131" s="38"/>
      <c r="BY131" s="38"/>
      <c r="BZ131" s="38"/>
      <c r="CA131" s="38"/>
      <c r="CB131" s="38"/>
      <c r="CC131" s="38"/>
      <c r="CD131" s="38"/>
      <c r="CE131" s="38"/>
      <c r="CF131" s="38"/>
      <c r="CG131" s="38"/>
      <c r="CH131" s="38"/>
      <c r="CI131" s="38"/>
      <c r="CJ131" s="38"/>
      <c r="CK131" s="38"/>
      <c r="CL131" s="38"/>
      <c r="CM131" s="38"/>
      <c r="CN131" s="38"/>
      <c r="CO131" s="38"/>
      <c r="CP131" s="38"/>
      <c r="CQ131" s="38"/>
      <c r="CR131" s="38"/>
      <c r="CS131" s="38"/>
      <c r="CT131" s="38"/>
      <c r="CU131" s="38"/>
      <c r="CV131" s="38"/>
      <c r="CW131" s="38"/>
      <c r="CX131" s="38"/>
      <c r="CY131" s="38"/>
      <c r="CZ131" s="38"/>
      <c r="DA131" s="38"/>
      <c r="DB131" s="38"/>
      <c r="DC131" s="38"/>
      <c r="DD131" s="38"/>
      <c r="DE131" s="38"/>
      <c r="DF131" s="38"/>
      <c r="DG131" s="38"/>
      <c r="DH131" s="38"/>
      <c r="DI131" s="38"/>
      <c r="DJ131" s="38"/>
      <c r="DK131" s="38"/>
      <c r="DL131" s="38"/>
      <c r="DM131" s="38"/>
      <c r="DN131" s="38"/>
      <c r="DO131" s="38"/>
      <c r="DP131" s="38"/>
      <c r="DQ131" s="38"/>
      <c r="DR131" s="38"/>
      <c r="DS131" s="38"/>
      <c r="DT131" s="38"/>
    </row>
    <row r="132" spans="1:179" s="5" customFormat="1" ht="30" customHeight="1" x14ac:dyDescent="0.3">
      <c r="A132" s="484"/>
      <c r="B132" s="517" t="s">
        <v>543</v>
      </c>
      <c r="C132" s="525">
        <v>124214</v>
      </c>
      <c r="D132" s="532"/>
      <c r="E132" s="406" t="s">
        <v>44</v>
      </c>
      <c r="F132" s="545" t="s">
        <v>196</v>
      </c>
      <c r="G132" s="552" t="s">
        <v>197</v>
      </c>
      <c r="H132" s="557">
        <v>1983</v>
      </c>
      <c r="I132" s="565" t="s">
        <v>198</v>
      </c>
      <c r="J132" s="379" t="s">
        <v>44</v>
      </c>
      <c r="K132" s="580">
        <v>64.34</v>
      </c>
      <c r="L132" s="456">
        <v>32</v>
      </c>
      <c r="M132" s="457">
        <v>34</v>
      </c>
      <c r="N132" s="457">
        <v>36</v>
      </c>
      <c r="O132" s="490">
        <f t="shared" si="54"/>
        <v>36</v>
      </c>
      <c r="P132" s="456">
        <v>42</v>
      </c>
      <c r="Q132" s="457">
        <v>47</v>
      </c>
      <c r="R132" s="457">
        <v>51</v>
      </c>
      <c r="S132" s="490">
        <f t="shared" si="56"/>
        <v>51</v>
      </c>
      <c r="T132" s="489">
        <f>IF(E132="","",IF(OR(O132=0,S132=0),0,O132+S132))</f>
        <v>87</v>
      </c>
      <c r="U132" s="48" t="str">
        <f t="shared" si="49"/>
        <v>DEB 12</v>
      </c>
      <c r="V132" s="48" t="str">
        <f>IF(E132=0," ",IF(E132="H",IF(H132&lt;1999,VLOOKUP(K132,Minimas!$A$15:$F$29,6),IF(AND(H132&gt;1998,H132&lt;2002),VLOOKUP(K132,Minimas!$A$15:$F$29,5),IF(AND(H132&gt;2001,H132&lt;2004),VLOOKUP(K132,Minimas!$A$15:$F$29,4),IF(AND(H132&gt;2003,H132&lt;2006),VLOOKUP(K132,Minimas!$A$15:$F$29,3),VLOOKUP(K132,Minimas!$A$15:$F$29,2))))),IF(H132&lt;1999,VLOOKUP(K132,Minimas!$G$15:$L$29,6),IF(AND(H132&gt;1998,H132&lt;2002),VLOOKUP(K132,Minimas!$G$15:$L$29,5),IF(AND(H132&gt;2001,H132&lt;2004),VLOOKUP(K132,Minimas!$G$15:$L$29,4),IF(AND(H132&gt;2003,H132&lt;2006),VLOOKUP(K132,Minimas!$G$15:$L$29,3),VLOOKUP(K132,Minimas!$G$15:$L$29,2)))))))</f>
        <v>SE F71</v>
      </c>
      <c r="W132" s="49">
        <f t="shared" si="50"/>
        <v>112.59196268163872</v>
      </c>
      <c r="X132" s="184">
        <v>43401</v>
      </c>
      <c r="Y132" s="278" t="s">
        <v>507</v>
      </c>
      <c r="Z132" s="278"/>
      <c r="AA132" s="232"/>
      <c r="AB132" s="230">
        <f>T132-HLOOKUP(V132,Minimas!$C$3:$CD$12,2,FALSE)</f>
        <v>12</v>
      </c>
      <c r="AC132" s="230">
        <f>T132-HLOOKUP(V132,Minimas!$C$3:$CD$12,3,FALSE)</f>
        <v>-3</v>
      </c>
      <c r="AD132" s="230">
        <f>T132-HLOOKUP(V132,Minimas!$C$3:$CD$12,4,FALSE)</f>
        <v>-20</v>
      </c>
      <c r="AE132" s="230">
        <f>T132-HLOOKUP(V132,Minimas!$C$3:$CD$12,5,FALSE)</f>
        <v>-35</v>
      </c>
      <c r="AF132" s="230">
        <f>T132-HLOOKUP(V132,Minimas!$C$3:$CD$12,6,FALSE)</f>
        <v>-55</v>
      </c>
      <c r="AG132" s="230">
        <f>T132-HLOOKUP(V132,Minimas!$C$3:$CD$12,7,FALSE)</f>
        <v>-78</v>
      </c>
      <c r="AH132" s="230">
        <f>T132-HLOOKUP(V132,Minimas!$C$3:$CD$12,8,FALSE)</f>
        <v>-98</v>
      </c>
      <c r="AI132" s="230">
        <f>T132-HLOOKUP(V132,Minimas!$C$3:$CD$12,9,FALSE)</f>
        <v>-118</v>
      </c>
      <c r="AJ132" s="230">
        <f>T132-HLOOKUP(V132,Minimas!$C$3:$CD$12,10,FALSE)</f>
        <v>-138</v>
      </c>
      <c r="AK132" s="231" t="str">
        <f>IF(E132=0," ",IF(AJ132&gt;=0,$AJ$5,IF(AI132&gt;=0,$AI$5,IF(AH132&gt;=0,$AH$5,IF(AG132&gt;=0,$AG$5,IF(AF132&gt;=0,$AF$5,IF(AE132&gt;=0,$AE$5,IF(AD132&gt;=0,$AD$5,IF(AC132&gt;=0,$AC$5,$AB$5)))))))))</f>
        <v>DEB</v>
      </c>
      <c r="AL132" s="232"/>
      <c r="AM132" s="232" t="str">
        <f t="shared" si="52"/>
        <v>DEB</v>
      </c>
      <c r="AN132" s="232">
        <f t="shared" si="53"/>
        <v>12</v>
      </c>
      <c r="AO132" s="485"/>
      <c r="AP132" s="485"/>
      <c r="AQ132" s="485"/>
      <c r="AR132" s="485"/>
      <c r="AS132" s="485"/>
      <c r="AT132" s="485"/>
      <c r="AU132" s="485"/>
      <c r="AV132" s="485"/>
      <c r="AW132" s="485"/>
      <c r="AX132" s="485"/>
      <c r="AY132" s="485"/>
      <c r="AZ132" s="485"/>
      <c r="BA132" s="485"/>
      <c r="BB132" s="485"/>
      <c r="BC132" s="485"/>
      <c r="BD132" s="485"/>
      <c r="BE132" s="485"/>
      <c r="BF132" s="485"/>
      <c r="BG132" s="485"/>
      <c r="BH132" s="485"/>
      <c r="BI132" s="485"/>
      <c r="BJ132" s="485"/>
      <c r="BK132" s="485"/>
      <c r="BL132" s="485"/>
      <c r="BM132" s="485"/>
      <c r="BN132" s="485"/>
      <c r="BO132" s="485"/>
      <c r="BP132" s="485"/>
      <c r="BQ132" s="485"/>
      <c r="BR132" s="485"/>
      <c r="BS132" s="485"/>
      <c r="BT132" s="485"/>
      <c r="BU132" s="485"/>
      <c r="BV132" s="485"/>
      <c r="BW132" s="485"/>
      <c r="BX132" s="485"/>
      <c r="BY132" s="485"/>
      <c r="BZ132" s="485"/>
      <c r="CA132" s="485"/>
      <c r="CB132" s="485"/>
      <c r="CC132" s="485"/>
      <c r="CD132" s="485"/>
      <c r="CE132" s="485"/>
      <c r="CF132" s="485"/>
      <c r="CG132" s="485"/>
      <c r="CH132" s="485"/>
      <c r="CI132" s="485"/>
      <c r="CJ132" s="485"/>
      <c r="CK132" s="485"/>
      <c r="CL132" s="485"/>
      <c r="CM132" s="485"/>
      <c r="CN132" s="485"/>
      <c r="CO132" s="485"/>
      <c r="CP132" s="485"/>
      <c r="CQ132" s="485"/>
      <c r="CR132" s="485"/>
      <c r="CS132" s="485"/>
      <c r="CT132" s="485"/>
      <c r="CU132" s="485"/>
      <c r="CV132" s="485"/>
      <c r="CW132" s="485"/>
      <c r="CX132" s="485"/>
      <c r="CY132" s="485"/>
      <c r="CZ132" s="485"/>
      <c r="DA132" s="485"/>
      <c r="DB132" s="485"/>
      <c r="DC132" s="485"/>
      <c r="DD132" s="485"/>
      <c r="DE132" s="485"/>
      <c r="DF132" s="485"/>
      <c r="DG132" s="485"/>
      <c r="DH132" s="485"/>
      <c r="DI132" s="485"/>
      <c r="DJ132" s="485"/>
      <c r="DK132" s="485"/>
      <c r="DL132" s="485"/>
      <c r="DM132" s="485"/>
      <c r="DN132" s="485"/>
      <c r="DO132" s="485"/>
      <c r="DP132" s="485"/>
      <c r="DQ132" s="485"/>
      <c r="DR132" s="485"/>
      <c r="DS132" s="485"/>
      <c r="DT132" s="485"/>
      <c r="DU132" s="484"/>
      <c r="DV132" s="484"/>
      <c r="DW132" s="484"/>
      <c r="DX132" s="484"/>
      <c r="DY132" s="484"/>
      <c r="DZ132" s="484"/>
      <c r="EA132" s="484"/>
      <c r="EB132" s="484"/>
      <c r="EC132" s="484"/>
      <c r="ED132" s="484"/>
      <c r="EE132" s="484"/>
      <c r="EF132" s="484"/>
      <c r="EG132" s="484"/>
      <c r="EH132" s="484"/>
      <c r="EI132" s="484"/>
      <c r="EJ132" s="484"/>
      <c r="EK132" s="484"/>
      <c r="EL132" s="484"/>
      <c r="EM132" s="484"/>
      <c r="EN132" s="484"/>
      <c r="EO132" s="484"/>
      <c r="EP132" s="484"/>
      <c r="EQ132" s="484"/>
      <c r="ER132" s="484"/>
      <c r="ES132" s="484"/>
      <c r="ET132" s="484"/>
      <c r="EU132" s="484"/>
      <c r="EV132" s="484"/>
      <c r="EW132" s="484"/>
      <c r="EX132" s="484"/>
      <c r="EY132" s="484"/>
      <c r="EZ132" s="484"/>
      <c r="FA132" s="484"/>
      <c r="FB132" s="484"/>
      <c r="FC132" s="484"/>
      <c r="FD132" s="484"/>
      <c r="FE132" s="484"/>
      <c r="FF132" s="484"/>
      <c r="FG132" s="484"/>
      <c r="FH132" s="484"/>
      <c r="FI132" s="484"/>
      <c r="FJ132" s="484"/>
      <c r="FK132" s="484"/>
      <c r="FL132" s="484"/>
      <c r="FM132" s="484"/>
      <c r="FN132" s="484"/>
      <c r="FO132" s="484"/>
      <c r="FP132" s="484"/>
      <c r="FQ132" s="484"/>
      <c r="FR132" s="484"/>
      <c r="FS132" s="484"/>
      <c r="FT132" s="484"/>
      <c r="FU132" s="484"/>
      <c r="FV132" s="484"/>
      <c r="FW132" s="484"/>
    </row>
    <row r="133" spans="1:179" s="484" customFormat="1" ht="30" customHeight="1" x14ac:dyDescent="0.25">
      <c r="A133" s="1"/>
      <c r="B133" s="515" t="s">
        <v>543</v>
      </c>
      <c r="C133" s="499">
        <v>442048</v>
      </c>
      <c r="D133" s="496"/>
      <c r="E133" s="323" t="s">
        <v>44</v>
      </c>
      <c r="F133" s="486" t="s">
        <v>740</v>
      </c>
      <c r="G133" s="487" t="s">
        <v>741</v>
      </c>
      <c r="H133" s="492">
        <v>1979</v>
      </c>
      <c r="I133" s="528" t="s">
        <v>129</v>
      </c>
      <c r="J133" s="493" t="s">
        <v>44</v>
      </c>
      <c r="K133" s="488">
        <v>70.599999999999994</v>
      </c>
      <c r="L133" s="300">
        <v>32</v>
      </c>
      <c r="M133" s="301">
        <v>35</v>
      </c>
      <c r="N133" s="449">
        <v>-37</v>
      </c>
      <c r="O133" s="490">
        <f t="shared" si="54"/>
        <v>35</v>
      </c>
      <c r="P133" s="300">
        <v>40</v>
      </c>
      <c r="Q133" s="301">
        <v>45</v>
      </c>
      <c r="R133" s="449">
        <v>-47</v>
      </c>
      <c r="S133" s="490">
        <f t="shared" si="56"/>
        <v>45</v>
      </c>
      <c r="T133" s="489">
        <f>IF(E133="","",O133+S133)</f>
        <v>80</v>
      </c>
      <c r="U133" s="48" t="str">
        <f t="shared" si="49"/>
        <v>DEB 5</v>
      </c>
      <c r="V133" s="48" t="str">
        <f>IF(E133=0," ",IF(E133="H",IF(H133&lt;1999,VLOOKUP(K133,[13]Minimas!$A$15:$F$29,6),IF(AND(H133&gt;1998,H133&lt;2002),VLOOKUP(K133,[13]Minimas!$A$15:$F$29,5),IF(AND(H133&gt;2001,H133&lt;2004),VLOOKUP(K133,[13]Minimas!$A$15:$F$29,4),IF(AND(H133&gt;2003,H133&lt;2006),VLOOKUP(K133,[13]Minimas!$A$15:$F$29,3),VLOOKUP(K133,[13]Minimas!$A$15:$F$29,2))))),IF(H133&lt;1999,VLOOKUP(K133,[13]Minimas!$G$15:$L$29,6),IF(AND(H133&gt;1998,H133&lt;2002),VLOOKUP(K133,[13]Minimas!$G$15:$L$29,5),IF(AND(H133&gt;2001,H133&lt;2004),VLOOKUP(K133,[13]Minimas!$G$15:$L$29,4),IF(AND(H133&gt;2003,H133&lt;2006),VLOOKUP(K133,[13]Minimas!$G$15:$L$29,3),VLOOKUP(K133,[13]Minimas!$G$15:$L$29,2)))))))</f>
        <v>SE F71</v>
      </c>
      <c r="W133" s="49">
        <f t="shared" si="50"/>
        <v>98.279576051245868</v>
      </c>
      <c r="X133" s="257">
        <v>43540</v>
      </c>
      <c r="Y133" s="261" t="s">
        <v>714</v>
      </c>
      <c r="Z133" s="261" t="s">
        <v>704</v>
      </c>
      <c r="AA133" s="463"/>
      <c r="AB133" s="230">
        <f>T133-HLOOKUP(V133,Minimas!$C$3:$CD$12,2,FALSE)</f>
        <v>5</v>
      </c>
      <c r="AC133" s="230">
        <f>T133-HLOOKUP(V133,Minimas!$C$3:$CD$12,3,FALSE)</f>
        <v>-10</v>
      </c>
      <c r="AD133" s="230">
        <f>T133-HLOOKUP(V133,Minimas!$C$3:$CD$12,4,FALSE)</f>
        <v>-27</v>
      </c>
      <c r="AE133" s="230">
        <f>T133-HLOOKUP(V133,Minimas!$C$3:$CD$12,5,FALSE)</f>
        <v>-42</v>
      </c>
      <c r="AF133" s="230">
        <f>T133-HLOOKUP(V133,Minimas!$C$3:$CD$12,6,FALSE)</f>
        <v>-62</v>
      </c>
      <c r="AG133" s="230">
        <f>T133-HLOOKUP(V133,Minimas!$C$3:$CD$12,7,FALSE)</f>
        <v>-85</v>
      </c>
      <c r="AH133" s="230">
        <f>T133-HLOOKUP(V133,Minimas!$C$3:$CD$12,8,FALSE)</f>
        <v>-105</v>
      </c>
      <c r="AI133" s="230">
        <f>T133-HLOOKUP(V133,Minimas!$C$3:$CD$12,9,FALSE)</f>
        <v>-125</v>
      </c>
      <c r="AJ133" s="230">
        <f>T133-HLOOKUP(V133,Minimas!$C$3:$CD$12,10,FALSE)</f>
        <v>-145</v>
      </c>
      <c r="AK133" s="231" t="str">
        <f>IF(E133=0," ",IF(AJ133&gt;=0,MASCULINS!$AJ$5,IF(AI133&gt;=0,MASCULINS!$AI$5,IF(AH133&gt;=0,MASCULINS!$AH$5,IF(AG133&gt;=0,MASCULINS!$AG$5,IF(AF133&gt;=0,MASCULINS!$AF$5,IF(AE133&gt;=0,MASCULINS!$AE$5,IF(AD133&gt;=0,MASCULINS!$AD$5,IF(AC133&gt;=0,MASCULINS!$AC$5,MASCULINS!$AB$5)))))))))</f>
        <v>DEB</v>
      </c>
      <c r="AL133" s="232"/>
      <c r="AM133" s="232" t="str">
        <f t="shared" si="52"/>
        <v>DEB</v>
      </c>
      <c r="AN133" s="232">
        <f t="shared" si="53"/>
        <v>5</v>
      </c>
      <c r="AO133" s="34"/>
      <c r="AP133" s="34"/>
      <c r="AQ133" s="34"/>
      <c r="AR133" s="34"/>
      <c r="AS133" s="34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  <c r="BF133" s="34"/>
      <c r="BG133" s="34"/>
      <c r="BH133" s="34"/>
      <c r="BI133" s="34"/>
      <c r="BJ133" s="34"/>
      <c r="BK133" s="34"/>
      <c r="BL133" s="34"/>
      <c r="BM133" s="34"/>
      <c r="BN133" s="34"/>
      <c r="BO133" s="34"/>
      <c r="BP133" s="34"/>
      <c r="BQ133" s="34"/>
      <c r="BR133" s="34"/>
      <c r="BS133" s="34"/>
      <c r="BT133" s="34"/>
      <c r="BU133" s="34"/>
      <c r="BV133" s="34"/>
      <c r="BW133" s="34"/>
      <c r="BX133" s="34"/>
      <c r="BY133" s="34"/>
      <c r="BZ133" s="34"/>
      <c r="CA133" s="34"/>
      <c r="CB133" s="34"/>
      <c r="CC133" s="34"/>
      <c r="CD133" s="34"/>
      <c r="CE133" s="34"/>
      <c r="CF133" s="34"/>
      <c r="CG133" s="34"/>
      <c r="CH133" s="34"/>
      <c r="CI133" s="34"/>
      <c r="CJ133" s="34"/>
      <c r="CK133" s="34"/>
      <c r="CL133" s="34"/>
      <c r="CM133" s="34"/>
      <c r="CN133" s="34"/>
      <c r="CO133" s="34"/>
      <c r="CP133" s="34"/>
      <c r="CQ133" s="34"/>
      <c r="CR133" s="34"/>
      <c r="CS133" s="34"/>
      <c r="CT133" s="34"/>
      <c r="CU133" s="34"/>
      <c r="CV133" s="34"/>
      <c r="CW133" s="34"/>
      <c r="CX133" s="34"/>
      <c r="CY133" s="34"/>
      <c r="CZ133" s="34"/>
      <c r="DA133" s="34"/>
      <c r="DB133" s="34"/>
      <c r="DC133" s="34"/>
      <c r="DD133" s="34"/>
      <c r="DE133" s="34"/>
      <c r="DF133" s="34"/>
      <c r="DG133" s="34"/>
      <c r="DH133" s="34"/>
      <c r="DI133" s="34"/>
      <c r="DJ133" s="34"/>
      <c r="DK133" s="34"/>
      <c r="DL133" s="34"/>
      <c r="DM133" s="34"/>
      <c r="DN133" s="34"/>
      <c r="DO133" s="34"/>
      <c r="DP133" s="34"/>
      <c r="DQ133" s="34"/>
      <c r="DR133" s="34"/>
      <c r="DS133" s="34"/>
      <c r="DT133" s="34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</row>
    <row r="134" spans="1:179" s="484" customFormat="1" ht="30" customHeight="1" x14ac:dyDescent="0.25">
      <c r="A134" s="387"/>
      <c r="B134" s="420" t="s">
        <v>543</v>
      </c>
      <c r="C134" s="421">
        <v>444677</v>
      </c>
      <c r="D134" s="422"/>
      <c r="E134" s="406" t="s">
        <v>44</v>
      </c>
      <c r="F134" s="423" t="s">
        <v>832</v>
      </c>
      <c r="G134" s="415" t="s">
        <v>833</v>
      </c>
      <c r="H134" s="380">
        <v>1988</v>
      </c>
      <c r="I134" s="425" t="s">
        <v>214</v>
      </c>
      <c r="J134" s="381" t="s">
        <v>44</v>
      </c>
      <c r="K134" s="382">
        <v>64.7</v>
      </c>
      <c r="L134" s="452">
        <v>30</v>
      </c>
      <c r="M134" s="453">
        <v>32</v>
      </c>
      <c r="N134" s="453">
        <v>34</v>
      </c>
      <c r="O134" s="383">
        <v>34</v>
      </c>
      <c r="P134" s="452">
        <v>38</v>
      </c>
      <c r="Q134" s="453">
        <v>41</v>
      </c>
      <c r="R134" s="453">
        <v>43</v>
      </c>
      <c r="S134" s="383">
        <v>43</v>
      </c>
      <c r="T134" s="384">
        <v>77</v>
      </c>
      <c r="U134" s="385" t="s">
        <v>834</v>
      </c>
      <c r="V134" s="385" t="s">
        <v>120</v>
      </c>
      <c r="W134" s="386">
        <v>99.32255426863783</v>
      </c>
      <c r="X134" s="257">
        <v>43554</v>
      </c>
      <c r="Y134" s="261" t="s">
        <v>805</v>
      </c>
      <c r="Z134" s="261" t="s">
        <v>829</v>
      </c>
      <c r="AA134" s="464"/>
      <c r="AB134" s="465">
        <v>2</v>
      </c>
      <c r="AC134" s="465">
        <v>-13</v>
      </c>
      <c r="AD134" s="465">
        <v>-30</v>
      </c>
      <c r="AE134" s="465">
        <v>-45</v>
      </c>
      <c r="AF134" s="465">
        <v>-65</v>
      </c>
      <c r="AG134" s="465">
        <v>-88</v>
      </c>
      <c r="AH134" s="465">
        <v>-108</v>
      </c>
      <c r="AI134" s="465">
        <v>-128</v>
      </c>
      <c r="AJ134" s="465">
        <v>-148</v>
      </c>
      <c r="AK134" s="466" t="s">
        <v>43</v>
      </c>
      <c r="AL134" s="464"/>
      <c r="AM134" s="464" t="s">
        <v>43</v>
      </c>
      <c r="AN134" s="464">
        <v>2</v>
      </c>
      <c r="AO134" s="388"/>
      <c r="AP134" s="388"/>
      <c r="AQ134" s="388"/>
      <c r="AR134" s="388"/>
      <c r="AS134" s="388"/>
      <c r="AT134" s="388"/>
      <c r="AU134" s="388"/>
      <c r="AV134" s="388"/>
      <c r="AW134" s="388"/>
      <c r="AX134" s="388"/>
      <c r="AY134" s="388"/>
      <c r="AZ134" s="388"/>
      <c r="BA134" s="388"/>
      <c r="BB134" s="388"/>
      <c r="BC134" s="388"/>
      <c r="BD134" s="388"/>
      <c r="BE134" s="388"/>
      <c r="BF134" s="388"/>
      <c r="BG134" s="388"/>
      <c r="BH134" s="388"/>
      <c r="BI134" s="388"/>
      <c r="BJ134" s="388"/>
      <c r="BK134" s="388"/>
      <c r="BL134" s="388"/>
      <c r="BM134" s="388"/>
      <c r="BN134" s="388"/>
      <c r="BO134" s="388"/>
      <c r="BP134" s="388"/>
      <c r="BQ134" s="388"/>
      <c r="BR134" s="388"/>
      <c r="BS134" s="388"/>
      <c r="BT134" s="388"/>
      <c r="BU134" s="388"/>
      <c r="BV134" s="388"/>
      <c r="BW134" s="388"/>
      <c r="BX134" s="388"/>
      <c r="BY134" s="388"/>
      <c r="BZ134" s="388"/>
      <c r="CA134" s="388"/>
      <c r="CB134" s="388"/>
      <c r="CC134" s="388"/>
      <c r="CD134" s="388"/>
      <c r="CE134" s="388"/>
      <c r="CF134" s="388"/>
      <c r="CG134" s="388"/>
      <c r="CH134" s="388"/>
      <c r="CI134" s="388"/>
      <c r="CJ134" s="388"/>
      <c r="CK134" s="388"/>
      <c r="CL134" s="388"/>
      <c r="CM134" s="388"/>
      <c r="CN134" s="388"/>
      <c r="CO134" s="388"/>
      <c r="CP134" s="388"/>
      <c r="CQ134" s="388"/>
      <c r="CR134" s="388"/>
      <c r="CS134" s="388"/>
      <c r="CT134" s="388"/>
      <c r="CU134" s="388"/>
      <c r="CV134" s="388"/>
      <c r="CW134" s="388"/>
      <c r="CX134" s="388"/>
      <c r="CY134" s="388"/>
      <c r="CZ134" s="388"/>
      <c r="DA134" s="388"/>
      <c r="DB134" s="388"/>
      <c r="DC134" s="388"/>
      <c r="DD134" s="388"/>
      <c r="DE134" s="388"/>
      <c r="DF134" s="388"/>
      <c r="DG134" s="388"/>
      <c r="DH134" s="388"/>
      <c r="DI134" s="388"/>
      <c r="DJ134" s="388"/>
      <c r="DK134" s="388"/>
      <c r="DL134" s="388"/>
      <c r="DM134" s="388"/>
      <c r="DN134" s="388"/>
      <c r="DO134" s="388"/>
      <c r="DP134" s="388"/>
      <c r="DQ134" s="388"/>
      <c r="DR134" s="388"/>
      <c r="DS134" s="388"/>
      <c r="DT134" s="388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</row>
    <row r="135" spans="1:179" s="5" customFormat="1" ht="30" customHeight="1" x14ac:dyDescent="0.3">
      <c r="A135" s="484"/>
      <c r="B135" s="517" t="s">
        <v>543</v>
      </c>
      <c r="C135" s="525">
        <v>442858</v>
      </c>
      <c r="D135" s="532"/>
      <c r="E135" s="406" t="s">
        <v>44</v>
      </c>
      <c r="F135" s="545" t="s">
        <v>199</v>
      </c>
      <c r="G135" s="552" t="s">
        <v>200</v>
      </c>
      <c r="H135" s="557">
        <v>1985</v>
      </c>
      <c r="I135" s="565" t="s">
        <v>195</v>
      </c>
      <c r="J135" s="379" t="s">
        <v>201</v>
      </c>
      <c r="K135" s="580">
        <v>64.27</v>
      </c>
      <c r="L135" s="456">
        <v>30</v>
      </c>
      <c r="M135" s="457">
        <v>33</v>
      </c>
      <c r="N135" s="457">
        <v>35</v>
      </c>
      <c r="O135" s="490">
        <f t="shared" ref="O135:O141" si="57">IF(E135="","",IF(MAXA(L135:N135)&lt;=0,0,MAXA(L135:N135)))</f>
        <v>35</v>
      </c>
      <c r="P135" s="456">
        <v>40</v>
      </c>
      <c r="Q135" s="597">
        <v>-45</v>
      </c>
      <c r="R135" s="597">
        <v>-45</v>
      </c>
      <c r="S135" s="490">
        <f t="shared" ref="S135:S141" si="58">IF(E135="","",IF(MAXA(P135:R135)&lt;=0,0,MAXA(P135:R135)))</f>
        <v>40</v>
      </c>
      <c r="T135" s="489">
        <f>IF(E135="","",IF(OR(O135=0,S135=0),0,O135+S135))</f>
        <v>75</v>
      </c>
      <c r="U135" s="48" t="str">
        <f t="shared" ref="U135:U140" si="59">+CONCATENATE(AM135," ",AN135)</f>
        <v>DEB 0</v>
      </c>
      <c r="V135" s="48" t="str">
        <f>IF(E135=0," ",IF(E135="H",IF(H135&lt;1999,VLOOKUP(K135,Minimas!$A$15:$F$29,6),IF(AND(H135&gt;1998,H135&lt;2002),VLOOKUP(K135,Minimas!$A$15:$F$29,5),IF(AND(H135&gt;2001,H135&lt;2004),VLOOKUP(K135,Minimas!$A$15:$F$29,4),IF(AND(H135&gt;2003,H135&lt;2006),VLOOKUP(K135,Minimas!$A$15:$F$29,3),VLOOKUP(K135,Minimas!$A$15:$F$29,2))))),IF(H135&lt;1999,VLOOKUP(K135,Minimas!$G$15:$L$29,6),IF(AND(H135&gt;1998,H135&lt;2002),VLOOKUP(K135,Minimas!$G$15:$L$29,5),IF(AND(H135&gt;2001,H135&lt;2004),VLOOKUP(K135,Minimas!$G$15:$L$29,4),IF(AND(H135&gt;2003,H135&lt;2006),VLOOKUP(K135,Minimas!$G$15:$L$29,3),VLOOKUP(K135,Minimas!$G$15:$L$29,2)))))))</f>
        <v>SE F71</v>
      </c>
      <c r="W135" s="49">
        <f t="shared" ref="W135:W141" si="60">IF(E135=" "," ",IF(E135="H",10^(0.75194503*LOG(K135/175.508)^2)*T135,IF(E135="F",10^(0.783497476* LOG(K135/153.655)^2)*T135,"")))</f>
        <v>97.124690841589725</v>
      </c>
      <c r="X135" s="184">
        <v>43401</v>
      </c>
      <c r="Y135" s="278" t="s">
        <v>507</v>
      </c>
      <c r="Z135" s="278"/>
      <c r="AA135" s="232"/>
      <c r="AB135" s="230">
        <f>T135-HLOOKUP(V135,Minimas!$C$3:$CD$12,2,FALSE)</f>
        <v>0</v>
      </c>
      <c r="AC135" s="230">
        <f>T135-HLOOKUP(V135,Minimas!$C$3:$CD$12,3,FALSE)</f>
        <v>-15</v>
      </c>
      <c r="AD135" s="230">
        <f>T135-HLOOKUP(V135,Minimas!$C$3:$CD$12,4,FALSE)</f>
        <v>-32</v>
      </c>
      <c r="AE135" s="230">
        <f>T135-HLOOKUP(V135,Minimas!$C$3:$CD$12,5,FALSE)</f>
        <v>-47</v>
      </c>
      <c r="AF135" s="230">
        <f>T135-HLOOKUP(V135,Minimas!$C$3:$CD$12,6,FALSE)</f>
        <v>-67</v>
      </c>
      <c r="AG135" s="230">
        <f>T135-HLOOKUP(V135,Minimas!$C$3:$CD$12,7,FALSE)</f>
        <v>-90</v>
      </c>
      <c r="AH135" s="230">
        <f>T135-HLOOKUP(V135,Minimas!$C$3:$CD$12,8,FALSE)</f>
        <v>-110</v>
      </c>
      <c r="AI135" s="230">
        <f>T135-HLOOKUP(V135,Minimas!$C$3:$CD$12,9,FALSE)</f>
        <v>-130</v>
      </c>
      <c r="AJ135" s="230">
        <f>T135-HLOOKUP(V135,Minimas!$C$3:$CD$12,10,FALSE)</f>
        <v>-150</v>
      </c>
      <c r="AK135" s="231" t="str">
        <f>IF(E135=0," ",IF(AJ135&gt;=0,$AJ$5,IF(AI135&gt;=0,$AI$5,IF(AH135&gt;=0,$AH$5,IF(AG135&gt;=0,$AG$5,IF(AF135&gt;=0,$AF$5,IF(AE135&gt;=0,$AE$5,IF(AD135&gt;=0,$AD$5,IF(AC135&gt;=0,$AC$5,$AB$5)))))))))</f>
        <v>DEB</v>
      </c>
      <c r="AL135" s="232"/>
      <c r="AM135" s="232" t="str">
        <f t="shared" ref="AM135:AM141" si="61">IF(AK135="","",AK135)</f>
        <v>DEB</v>
      </c>
      <c r="AN135" s="232">
        <f t="shared" ref="AN135:AN141" si="62">IF(E135=0," ",IF(AJ135&gt;=0,AJ135,IF(AI135&gt;=0,AI135,IF(AH135&gt;=0,AH135,IF(AG135&gt;=0,AG135,IF(AF135&gt;=0,AF135,IF(AE135&gt;=0,AE135,IF(AD135&gt;=0,AD135,IF(AC135&gt;=0,AC135,AB135)))))))))</f>
        <v>0</v>
      </c>
      <c r="AO135" s="485"/>
      <c r="AP135" s="485"/>
      <c r="AQ135" s="485"/>
      <c r="AR135" s="485"/>
      <c r="AS135" s="485"/>
      <c r="AT135" s="485"/>
      <c r="AU135" s="485"/>
      <c r="AV135" s="485"/>
      <c r="AW135" s="485"/>
      <c r="AX135" s="485"/>
      <c r="AY135" s="485"/>
      <c r="AZ135" s="485"/>
      <c r="BA135" s="485"/>
      <c r="BB135" s="485"/>
      <c r="BC135" s="485"/>
      <c r="BD135" s="485"/>
      <c r="BE135" s="485"/>
      <c r="BF135" s="485"/>
      <c r="BG135" s="485"/>
      <c r="BH135" s="485"/>
      <c r="BI135" s="485"/>
      <c r="BJ135" s="485"/>
      <c r="BK135" s="485"/>
      <c r="BL135" s="485"/>
      <c r="BM135" s="485"/>
      <c r="BN135" s="485"/>
      <c r="BO135" s="485"/>
      <c r="BP135" s="485"/>
      <c r="BQ135" s="485"/>
      <c r="BR135" s="485"/>
      <c r="BS135" s="485"/>
      <c r="BT135" s="485"/>
      <c r="BU135" s="485"/>
      <c r="BV135" s="485"/>
      <c r="BW135" s="485"/>
      <c r="BX135" s="485"/>
      <c r="BY135" s="485"/>
      <c r="BZ135" s="485"/>
      <c r="CA135" s="485"/>
      <c r="CB135" s="485"/>
      <c r="CC135" s="485"/>
      <c r="CD135" s="485"/>
      <c r="CE135" s="485"/>
      <c r="CF135" s="485"/>
      <c r="CG135" s="485"/>
      <c r="CH135" s="485"/>
      <c r="CI135" s="485"/>
      <c r="CJ135" s="485"/>
      <c r="CK135" s="485"/>
      <c r="CL135" s="485"/>
      <c r="CM135" s="485"/>
      <c r="CN135" s="485"/>
      <c r="CO135" s="485"/>
      <c r="CP135" s="485"/>
      <c r="CQ135" s="485"/>
      <c r="CR135" s="485"/>
      <c r="CS135" s="485"/>
      <c r="CT135" s="485"/>
      <c r="CU135" s="485"/>
      <c r="CV135" s="485"/>
      <c r="CW135" s="485"/>
      <c r="CX135" s="485"/>
      <c r="CY135" s="485"/>
      <c r="CZ135" s="485"/>
      <c r="DA135" s="485"/>
      <c r="DB135" s="485"/>
      <c r="DC135" s="485"/>
      <c r="DD135" s="485"/>
      <c r="DE135" s="485"/>
      <c r="DF135" s="485"/>
      <c r="DG135" s="485"/>
      <c r="DH135" s="485"/>
      <c r="DI135" s="485"/>
      <c r="DJ135" s="485"/>
      <c r="DK135" s="485"/>
      <c r="DL135" s="485"/>
      <c r="DM135" s="485"/>
      <c r="DN135" s="485"/>
      <c r="DO135" s="485"/>
      <c r="DP135" s="485"/>
      <c r="DQ135" s="485"/>
      <c r="DR135" s="485"/>
      <c r="DS135" s="485"/>
      <c r="DT135" s="485"/>
      <c r="DU135" s="484"/>
      <c r="DV135" s="484"/>
      <c r="DW135" s="484"/>
      <c r="DX135" s="484"/>
      <c r="DY135" s="484"/>
      <c r="DZ135" s="484"/>
      <c r="EA135" s="484"/>
      <c r="EB135" s="484"/>
      <c r="EC135" s="484"/>
      <c r="ED135" s="484"/>
      <c r="EE135" s="484"/>
      <c r="EF135" s="484"/>
      <c r="EG135" s="484"/>
      <c r="EH135" s="484"/>
      <c r="EI135" s="484"/>
      <c r="EJ135" s="484"/>
      <c r="EK135" s="484"/>
      <c r="EL135" s="484"/>
      <c r="EM135" s="484"/>
      <c r="EN135" s="484"/>
      <c r="EO135" s="484"/>
      <c r="EP135" s="484"/>
      <c r="EQ135" s="484"/>
      <c r="ER135" s="484"/>
      <c r="ES135" s="484"/>
      <c r="ET135" s="484"/>
      <c r="EU135" s="484"/>
      <c r="EV135" s="484"/>
      <c r="EW135" s="484"/>
      <c r="EX135" s="484"/>
      <c r="EY135" s="484"/>
      <c r="EZ135" s="484"/>
      <c r="FA135" s="484"/>
      <c r="FB135" s="484"/>
      <c r="FC135" s="484"/>
      <c r="FD135" s="484"/>
      <c r="FE135" s="484"/>
      <c r="FF135" s="484"/>
      <c r="FG135" s="484"/>
      <c r="FH135" s="484"/>
      <c r="FI135" s="484"/>
      <c r="FJ135" s="484"/>
      <c r="FK135" s="484"/>
      <c r="FL135" s="484"/>
      <c r="FM135" s="484"/>
      <c r="FN135" s="484"/>
      <c r="FO135" s="484"/>
      <c r="FP135" s="484"/>
      <c r="FQ135" s="484"/>
      <c r="FR135" s="484"/>
      <c r="FS135" s="484"/>
      <c r="FT135" s="484"/>
      <c r="FU135" s="484"/>
      <c r="FV135" s="484"/>
      <c r="FW135" s="484"/>
    </row>
    <row r="136" spans="1:179" s="5" customFormat="1" ht="30" customHeight="1" x14ac:dyDescent="0.5">
      <c r="B136" s="517" t="s">
        <v>543</v>
      </c>
      <c r="C136" s="527">
        <v>441296</v>
      </c>
      <c r="D136" s="534"/>
      <c r="E136" s="534" t="s">
        <v>44</v>
      </c>
      <c r="F136" s="547" t="s">
        <v>203</v>
      </c>
      <c r="G136" s="554" t="s">
        <v>204</v>
      </c>
      <c r="H136" s="558">
        <v>1995</v>
      </c>
      <c r="I136" s="570" t="s">
        <v>129</v>
      </c>
      <c r="J136" s="577" t="s">
        <v>205</v>
      </c>
      <c r="K136" s="582">
        <v>75.8</v>
      </c>
      <c r="L136" s="593">
        <v>-91</v>
      </c>
      <c r="M136" s="595">
        <v>91</v>
      </c>
      <c r="N136" s="595">
        <v>96</v>
      </c>
      <c r="O136" s="490">
        <f t="shared" si="57"/>
        <v>96</v>
      </c>
      <c r="P136" s="591">
        <v>120</v>
      </c>
      <c r="Q136" s="595">
        <v>125</v>
      </c>
      <c r="R136" s="595">
        <v>130</v>
      </c>
      <c r="S136" s="490">
        <f t="shared" si="58"/>
        <v>130</v>
      </c>
      <c r="T136" s="489">
        <f>IF(E136="","",IF(OR(O136=0,S136=0),0,O136+S136))</f>
        <v>226</v>
      </c>
      <c r="U136" s="48" t="str">
        <f t="shared" si="59"/>
        <v>OLY + 1</v>
      </c>
      <c r="V136" s="48" t="str">
        <f>IF(E136=0," ",IF(E136="H",IF(H136&lt;1999,VLOOKUP(K136,Minimas!$A$15:$F$29,6),IF(AND(H136&gt;1998,H136&lt;2002),VLOOKUP(K136,Minimas!$A$15:$F$29,5),IF(AND(H136&gt;2001,H136&lt;2004),VLOOKUP(K136,Minimas!$A$15:$F$29,4),IF(AND(H136&gt;2003,H136&lt;2006),VLOOKUP(K136,Minimas!$A$15:$F$29,3),VLOOKUP(K136,Minimas!$A$15:$F$29,2))))),IF(H136&lt;1999,VLOOKUP(K136,Minimas!$G$15:$L$29,6),IF(AND(H136&gt;1998,H136&lt;2002),VLOOKUP(K136,Minimas!$G$15:$L$29,5),IF(AND(H136&gt;2001,H136&lt;2004),VLOOKUP(K136,Minimas!$G$15:$L$29,4),IF(AND(H136&gt;2003,H136&lt;2006),VLOOKUP(K136,Minimas!$G$15:$L$29,3),VLOOKUP(K136,Minimas!$G$15:$L$29,2)))))))</f>
        <v>SE F76</v>
      </c>
      <c r="W136" s="49">
        <f t="shared" si="60"/>
        <v>267.85106011369379</v>
      </c>
      <c r="X136" s="184">
        <v>43421</v>
      </c>
      <c r="Y136" s="278" t="s">
        <v>508</v>
      </c>
      <c r="Z136" s="278"/>
      <c r="AA136" s="232"/>
      <c r="AB136" s="230">
        <f>T136-HLOOKUP(V136,Minimas!$C$3:$CD$12,2,FALSE)</f>
        <v>146</v>
      </c>
      <c r="AC136" s="230">
        <f>T136-HLOOKUP(V136,Minimas!$C$3:$CD$12,3,FALSE)</f>
        <v>131</v>
      </c>
      <c r="AD136" s="230">
        <f>T136-HLOOKUP(V136,Minimas!$C$3:$CD$12,4,FALSE)</f>
        <v>111</v>
      </c>
      <c r="AE136" s="230">
        <f>T136-HLOOKUP(V136,Minimas!$C$3:$CD$12,5,FALSE)</f>
        <v>96</v>
      </c>
      <c r="AF136" s="230">
        <f>T136-HLOOKUP(V136,Minimas!$C$3:$CD$12,6,FALSE)</f>
        <v>79</v>
      </c>
      <c r="AG136" s="230">
        <f>T136-HLOOKUP(V136,Minimas!$C$3:$CD$12,7,FALSE)</f>
        <v>56</v>
      </c>
      <c r="AH136" s="230">
        <f>T136-HLOOKUP(V136,Minimas!$C$3:$CD$12,8,FALSE)</f>
        <v>36</v>
      </c>
      <c r="AI136" s="230">
        <f>T136-HLOOKUP(V136,Minimas!$C$3:$CD$12,9,FALSE)</f>
        <v>16</v>
      </c>
      <c r="AJ136" s="230">
        <f>T136-HLOOKUP(V136,Minimas!$C$3:$CD$12,10,FALSE)</f>
        <v>1</v>
      </c>
      <c r="AK136" s="231" t="str">
        <f>IF(E136=0," ",IF(AJ136&gt;=0,$AJ$5,IF(AI136&gt;=0,$AI$5,IF(AH136&gt;=0,$AH$5,IF(AG136&gt;=0,$AG$5,IF(AF136&gt;=0,$AF$5,IF(AE136&gt;=0,$AE$5,IF(AD136&gt;=0,$AD$5,IF(AC136&gt;=0,$AC$5,$AB$5)))))))))</f>
        <v>OLY +</v>
      </c>
      <c r="AL136" s="232"/>
      <c r="AM136" s="232" t="str">
        <f t="shared" si="61"/>
        <v>OLY +</v>
      </c>
      <c r="AN136" s="232">
        <f t="shared" si="62"/>
        <v>1</v>
      </c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  <c r="BF136" s="38"/>
      <c r="BG136" s="38"/>
      <c r="BH136" s="38"/>
      <c r="BI136" s="38"/>
      <c r="BJ136" s="38"/>
      <c r="BK136" s="38"/>
      <c r="BL136" s="38"/>
      <c r="BM136" s="38"/>
      <c r="BN136" s="38"/>
      <c r="BO136" s="38"/>
      <c r="BP136" s="38"/>
      <c r="BQ136" s="38"/>
      <c r="BR136" s="38"/>
      <c r="BS136" s="38"/>
      <c r="BT136" s="38"/>
      <c r="BU136" s="38"/>
      <c r="BV136" s="38"/>
      <c r="BW136" s="38"/>
      <c r="BX136" s="38"/>
      <c r="BY136" s="38"/>
      <c r="BZ136" s="38"/>
      <c r="CA136" s="38"/>
      <c r="CB136" s="38"/>
      <c r="CC136" s="38"/>
      <c r="CD136" s="38"/>
      <c r="CE136" s="38"/>
      <c r="CF136" s="38"/>
      <c r="CG136" s="38"/>
      <c r="CH136" s="38"/>
      <c r="CI136" s="38"/>
      <c r="CJ136" s="38"/>
      <c r="CK136" s="38"/>
      <c r="CL136" s="38"/>
      <c r="CM136" s="38"/>
      <c r="CN136" s="38"/>
      <c r="CO136" s="38"/>
      <c r="CP136" s="38"/>
      <c r="CQ136" s="38"/>
      <c r="CR136" s="38"/>
      <c r="CS136" s="38"/>
      <c r="CT136" s="38"/>
      <c r="CU136" s="38"/>
      <c r="CV136" s="38"/>
      <c r="CW136" s="38"/>
      <c r="CX136" s="38"/>
      <c r="CY136" s="38"/>
      <c r="CZ136" s="38"/>
      <c r="DA136" s="38"/>
      <c r="DB136" s="38"/>
      <c r="DC136" s="38"/>
      <c r="DD136" s="38"/>
      <c r="DE136" s="38"/>
      <c r="DF136" s="38"/>
      <c r="DG136" s="38"/>
      <c r="DH136" s="38"/>
      <c r="DI136" s="38"/>
      <c r="DJ136" s="38"/>
      <c r="DK136" s="38"/>
      <c r="DL136" s="38"/>
      <c r="DM136" s="38"/>
      <c r="DN136" s="38"/>
      <c r="DO136" s="38"/>
      <c r="DP136" s="38"/>
      <c r="DQ136" s="38"/>
      <c r="DR136" s="38"/>
      <c r="DS136" s="38"/>
      <c r="DT136" s="38"/>
    </row>
    <row r="137" spans="1:179" s="5" customFormat="1" ht="30" customHeight="1" x14ac:dyDescent="0.25">
      <c r="B137" s="495" t="s">
        <v>543</v>
      </c>
      <c r="C137" s="499">
        <v>442585</v>
      </c>
      <c r="D137" s="496"/>
      <c r="E137" s="323" t="s">
        <v>44</v>
      </c>
      <c r="F137" s="328" t="s">
        <v>553</v>
      </c>
      <c r="G137" s="487" t="s">
        <v>554</v>
      </c>
      <c r="H137" s="329">
        <v>1990</v>
      </c>
      <c r="I137" s="330" t="s">
        <v>418</v>
      </c>
      <c r="J137" s="331" t="s">
        <v>44</v>
      </c>
      <c r="K137" s="488">
        <v>74.39</v>
      </c>
      <c r="L137" s="300">
        <v>50</v>
      </c>
      <c r="M137" s="301">
        <v>53</v>
      </c>
      <c r="N137" s="301">
        <v>56</v>
      </c>
      <c r="O137" s="490">
        <f t="shared" si="57"/>
        <v>56</v>
      </c>
      <c r="P137" s="300">
        <v>71</v>
      </c>
      <c r="Q137" s="301">
        <v>74</v>
      </c>
      <c r="R137" s="301">
        <v>75</v>
      </c>
      <c r="S137" s="490">
        <f t="shared" si="58"/>
        <v>75</v>
      </c>
      <c r="T137" s="489">
        <f>IF(E137="","",IF(OR(O137=0,S137=0),0,O137+S137))</f>
        <v>131</v>
      </c>
      <c r="U137" s="48" t="str">
        <f t="shared" si="59"/>
        <v>IRG + 1</v>
      </c>
      <c r="V137" s="48" t="str">
        <f>IF(E137=0," ",IF(E137="H",IF(H137&lt;1999,VLOOKUP(K137,[10]Minimas!$A$15:$F$29,6),IF(AND(H137&gt;1998,H137&lt;2002),VLOOKUP(K137,[10]Minimas!$A$15:$F$29,5),IF(AND(H137&gt;2001,H137&lt;2004),VLOOKUP(K137,[10]Minimas!$A$15:$F$29,4),IF(AND(H137&gt;2003,H137&lt;2006),VLOOKUP(K137,[10]Minimas!$A$15:$F$29,3),VLOOKUP(K137,[10]Minimas!$A$15:$F$29,2))))),IF(H137&lt;1999,VLOOKUP(K137,[10]Minimas!$G$15:$L$29,6),IF(AND(H137&gt;1998,H137&lt;2002),VLOOKUP(K137,[10]Minimas!$G$15:$L$29,5),IF(AND(H137&gt;2001,H137&lt;2004),VLOOKUP(K137,[10]Minimas!$G$15:$L$29,4),IF(AND(H137&gt;2003,H137&lt;2006),VLOOKUP(K137,[10]Minimas!$G$15:$L$29,3),VLOOKUP(K137,[10]Minimas!$G$15:$L$29,2)))))))</f>
        <v>SE F76</v>
      </c>
      <c r="W137" s="49">
        <f t="shared" si="60"/>
        <v>156.68582082495982</v>
      </c>
      <c r="X137" s="257">
        <v>43555</v>
      </c>
      <c r="Y137" s="261" t="s">
        <v>805</v>
      </c>
      <c r="Z137" s="261" t="s">
        <v>661</v>
      </c>
      <c r="AA137" s="232"/>
      <c r="AB137" s="230">
        <f>T137-HLOOKUP(V137,[10]Minimas!$C$3:$CD$12,2,FALSE)</f>
        <v>51</v>
      </c>
      <c r="AC137" s="230">
        <f>T137-HLOOKUP(V137,[10]Minimas!$C$3:$CD$12,3,FALSE)</f>
        <v>36</v>
      </c>
      <c r="AD137" s="230">
        <f>T137-HLOOKUP(V137,[10]Minimas!$C$3:$CD$12,4,FALSE)</f>
        <v>16</v>
      </c>
      <c r="AE137" s="230">
        <f>T137-HLOOKUP(V137,[10]Minimas!$C$3:$CD$12,5,FALSE)</f>
        <v>1</v>
      </c>
      <c r="AF137" s="230">
        <f>T137-HLOOKUP(V137,[10]Minimas!$C$3:$CD$12,6,FALSE)</f>
        <v>-16</v>
      </c>
      <c r="AG137" s="230">
        <f>T137-HLOOKUP(V137,[10]Minimas!$C$3:$CD$12,7,FALSE)</f>
        <v>-39</v>
      </c>
      <c r="AH137" s="230">
        <f>T137-HLOOKUP(V137,[10]Minimas!$C$3:$CD$12,8,FALSE)</f>
        <v>-59</v>
      </c>
      <c r="AI137" s="230">
        <f>T137-HLOOKUP(V137,[10]Minimas!$C$3:$CD$12,9,FALSE)</f>
        <v>-79</v>
      </c>
      <c r="AJ137" s="230">
        <f>T137-HLOOKUP(V137,[10]Minimas!$C$3:$CD$12,10,FALSE)</f>
        <v>-94</v>
      </c>
      <c r="AK137" s="231" t="str">
        <f>IF(E137=0," ",IF(AJ137&gt;=0,$AJ$5,IF(AI137&gt;=0,$AI$5,IF(AH137&gt;=0,$AH$5,IF(AG137&gt;=0,$AG$5,IF(AF137&gt;=0,$AF$5,IF(AE137&gt;=0,$AE$5,IF(AD137&gt;=0,$AD$5,IF(AC137&gt;=0,$AC$5,$AB$5)))))))))</f>
        <v>IRG +</v>
      </c>
      <c r="AL137" s="232"/>
      <c r="AM137" s="232" t="str">
        <f t="shared" si="61"/>
        <v>IRG +</v>
      </c>
      <c r="AN137" s="232">
        <f t="shared" si="62"/>
        <v>1</v>
      </c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  <c r="BF137" s="38"/>
      <c r="BG137" s="38"/>
      <c r="BH137" s="38"/>
      <c r="BI137" s="38"/>
      <c r="BJ137" s="38"/>
      <c r="BK137" s="38"/>
      <c r="BL137" s="38"/>
      <c r="BM137" s="38"/>
      <c r="BN137" s="38"/>
      <c r="BO137" s="38"/>
      <c r="BP137" s="38"/>
      <c r="BQ137" s="38"/>
      <c r="BR137" s="38"/>
      <c r="BS137" s="38"/>
      <c r="BT137" s="38"/>
      <c r="BU137" s="38"/>
      <c r="BV137" s="38"/>
      <c r="BW137" s="38"/>
      <c r="BX137" s="38"/>
      <c r="BY137" s="38"/>
      <c r="BZ137" s="38"/>
      <c r="CA137" s="38"/>
      <c r="CB137" s="38"/>
      <c r="CC137" s="38"/>
      <c r="CD137" s="38"/>
      <c r="CE137" s="38"/>
      <c r="CF137" s="38"/>
      <c r="CG137" s="38"/>
      <c r="CH137" s="38"/>
      <c r="CI137" s="38"/>
      <c r="CJ137" s="38"/>
      <c r="CK137" s="38"/>
      <c r="CL137" s="38"/>
      <c r="CM137" s="38"/>
      <c r="CN137" s="38"/>
      <c r="CO137" s="38"/>
      <c r="CP137" s="38"/>
      <c r="CQ137" s="38"/>
      <c r="CR137" s="38"/>
      <c r="CS137" s="38"/>
      <c r="CT137" s="38"/>
      <c r="CU137" s="38"/>
      <c r="CV137" s="38"/>
      <c r="CW137" s="38"/>
      <c r="CX137" s="38"/>
      <c r="CY137" s="38"/>
      <c r="CZ137" s="38"/>
      <c r="DA137" s="38"/>
      <c r="DB137" s="38"/>
      <c r="DC137" s="38"/>
      <c r="DD137" s="38"/>
      <c r="DE137" s="38"/>
      <c r="DF137" s="38"/>
      <c r="DG137" s="38"/>
      <c r="DH137" s="38"/>
      <c r="DI137" s="38"/>
      <c r="DJ137" s="38"/>
      <c r="DK137" s="38"/>
      <c r="DL137" s="38"/>
      <c r="DM137" s="38"/>
      <c r="DN137" s="38"/>
      <c r="DO137" s="38"/>
      <c r="DP137" s="38"/>
      <c r="DQ137" s="38"/>
      <c r="DR137" s="38"/>
      <c r="DS137" s="38"/>
      <c r="DT137" s="38"/>
    </row>
    <row r="138" spans="1:179" s="5" customFormat="1" ht="30" customHeight="1" x14ac:dyDescent="0.3">
      <c r="B138" s="517" t="s">
        <v>543</v>
      </c>
      <c r="C138" s="525">
        <v>444814</v>
      </c>
      <c r="D138" s="536"/>
      <c r="E138" s="534" t="s">
        <v>44</v>
      </c>
      <c r="F138" s="549" t="s">
        <v>153</v>
      </c>
      <c r="G138" s="556" t="s">
        <v>154</v>
      </c>
      <c r="H138" s="560">
        <v>1993</v>
      </c>
      <c r="I138" s="572" t="s">
        <v>155</v>
      </c>
      <c r="J138" s="493" t="s">
        <v>44</v>
      </c>
      <c r="K138" s="584">
        <v>71.510000000000005</v>
      </c>
      <c r="L138" s="300">
        <v>40</v>
      </c>
      <c r="M138" s="301">
        <v>43</v>
      </c>
      <c r="N138" s="301">
        <v>47</v>
      </c>
      <c r="O138" s="490">
        <f t="shared" si="57"/>
        <v>47</v>
      </c>
      <c r="P138" s="300">
        <v>48</v>
      </c>
      <c r="Q138" s="301">
        <v>53</v>
      </c>
      <c r="R138" s="599">
        <v>-57</v>
      </c>
      <c r="S138" s="490">
        <f t="shared" si="58"/>
        <v>53</v>
      </c>
      <c r="T138" s="489">
        <f>IF(E138="","",IF(OR(O138=0,S138=0),0,O138+S138))</f>
        <v>100</v>
      </c>
      <c r="U138" s="48" t="str">
        <f t="shared" si="59"/>
        <v>DPT + 5</v>
      </c>
      <c r="V138" s="48" t="str">
        <f>IF(E138=0," ",IF(E138="H",IF(H138&lt;1999,VLOOKUP(K138,Minimas!$A$15:$F$29,6),IF(AND(H138&gt;1998,H138&lt;2002),VLOOKUP(K138,Minimas!$A$15:$F$29,5),IF(AND(H138&gt;2001,H138&lt;2004),VLOOKUP(K138,Minimas!$A$15:$F$29,4),IF(AND(H138&gt;2003,H138&lt;2006),VLOOKUP(K138,Minimas!$A$15:$F$29,3),VLOOKUP(K138,Minimas!$A$15:$F$29,2))))),IF(H138&lt;1999,VLOOKUP(K138,Minimas!$G$15:$L$29,6),IF(AND(H138&gt;1998,H138&lt;2002),VLOOKUP(K138,Minimas!$G$15:$L$29,5),IF(AND(H138&gt;2001,H138&lt;2004),VLOOKUP(K138,Minimas!$G$15:$L$29,4),IF(AND(H138&gt;2003,H138&lt;2006),VLOOKUP(K138,Minimas!$G$15:$L$29,3),VLOOKUP(K138,Minimas!$G$15:$L$29,2)))))))</f>
        <v>SE F76</v>
      </c>
      <c r="W138" s="49">
        <f t="shared" si="60"/>
        <v>122.02641506131535</v>
      </c>
      <c r="X138" s="184">
        <v>43401</v>
      </c>
      <c r="Y138" s="186" t="s">
        <v>505</v>
      </c>
      <c r="Z138" s="278" t="s">
        <v>506</v>
      </c>
      <c r="AA138" s="232"/>
      <c r="AB138" s="230">
        <f>T138-HLOOKUP(V138,Minimas!$C$3:$CD$12,2,FALSE)</f>
        <v>20</v>
      </c>
      <c r="AC138" s="230">
        <f>T138-HLOOKUP(V138,Minimas!$C$3:$CD$12,3,FALSE)</f>
        <v>5</v>
      </c>
      <c r="AD138" s="230">
        <f>T138-HLOOKUP(V138,Minimas!$C$3:$CD$12,4,FALSE)</f>
        <v>-15</v>
      </c>
      <c r="AE138" s="230">
        <f>T138-HLOOKUP(V138,Minimas!$C$3:$CD$12,5,FALSE)</f>
        <v>-30</v>
      </c>
      <c r="AF138" s="230">
        <f>T138-HLOOKUP(V138,Minimas!$C$3:$CD$12,6,FALSE)</f>
        <v>-47</v>
      </c>
      <c r="AG138" s="230">
        <f>T138-HLOOKUP(V138,Minimas!$C$3:$CD$12,7,FALSE)</f>
        <v>-70</v>
      </c>
      <c r="AH138" s="230">
        <f>T138-HLOOKUP(V138,Minimas!$C$3:$CD$12,8,FALSE)</f>
        <v>-90</v>
      </c>
      <c r="AI138" s="230">
        <f>T138-HLOOKUP(V138,Minimas!$C$3:$CD$12,9,FALSE)</f>
        <v>-110</v>
      </c>
      <c r="AJ138" s="230">
        <f>T138-HLOOKUP(V138,Minimas!$C$3:$CD$12,10,FALSE)</f>
        <v>-125</v>
      </c>
      <c r="AK138" s="231" t="str">
        <f>IF(E138=0," ",IF(AJ138&gt;=0,$AJ$5,IF(AI138&gt;=0,$AI$5,IF(AH138&gt;=0,$AH$5,IF(AG138&gt;=0,$AG$5,IF(AF138&gt;=0,$AF$5,IF(AE138&gt;=0,$AE$5,IF(AD138&gt;=0,$AD$5,IF(AC138&gt;=0,$AC$5,$AB$5)))))))))</f>
        <v>DPT +</v>
      </c>
      <c r="AL138" s="232"/>
      <c r="AM138" s="232" t="str">
        <f t="shared" si="61"/>
        <v>DPT +</v>
      </c>
      <c r="AN138" s="232">
        <f t="shared" si="62"/>
        <v>5</v>
      </c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  <c r="BF138" s="38"/>
      <c r="BG138" s="38"/>
      <c r="BH138" s="38"/>
      <c r="BI138" s="38"/>
      <c r="BJ138" s="38"/>
      <c r="BK138" s="38"/>
      <c r="BL138" s="38"/>
      <c r="BM138" s="38"/>
      <c r="BN138" s="38"/>
      <c r="BO138" s="38"/>
      <c r="BP138" s="38"/>
      <c r="BQ138" s="38"/>
      <c r="BR138" s="38"/>
      <c r="BS138" s="38"/>
      <c r="BT138" s="38"/>
      <c r="BU138" s="38"/>
      <c r="BV138" s="38"/>
      <c r="BW138" s="38"/>
      <c r="BX138" s="38"/>
      <c r="BY138" s="38"/>
      <c r="BZ138" s="38"/>
      <c r="CA138" s="38"/>
      <c r="CB138" s="38"/>
      <c r="CC138" s="38"/>
      <c r="CD138" s="38"/>
      <c r="CE138" s="38"/>
      <c r="CF138" s="38"/>
      <c r="CG138" s="38"/>
      <c r="CH138" s="38"/>
      <c r="CI138" s="38"/>
      <c r="CJ138" s="38"/>
      <c r="CK138" s="38"/>
      <c r="CL138" s="38"/>
      <c r="CM138" s="38"/>
      <c r="CN138" s="38"/>
      <c r="CO138" s="38"/>
      <c r="CP138" s="38"/>
      <c r="CQ138" s="38"/>
      <c r="CR138" s="38"/>
      <c r="CS138" s="38"/>
      <c r="CT138" s="38"/>
      <c r="CU138" s="38"/>
      <c r="CV138" s="38"/>
      <c r="CW138" s="38"/>
      <c r="CX138" s="38"/>
      <c r="CY138" s="38"/>
      <c r="CZ138" s="38"/>
      <c r="DA138" s="38"/>
      <c r="DB138" s="38"/>
      <c r="DC138" s="38"/>
      <c r="DD138" s="38"/>
      <c r="DE138" s="38"/>
      <c r="DF138" s="38"/>
      <c r="DG138" s="38"/>
      <c r="DH138" s="38"/>
      <c r="DI138" s="38"/>
      <c r="DJ138" s="38"/>
      <c r="DK138" s="38"/>
      <c r="DL138" s="38"/>
      <c r="DM138" s="38"/>
      <c r="DN138" s="38"/>
      <c r="DO138" s="38"/>
      <c r="DP138" s="38"/>
      <c r="DQ138" s="38"/>
      <c r="DR138" s="38"/>
      <c r="DS138" s="38"/>
      <c r="DT138" s="38"/>
    </row>
    <row r="139" spans="1:179" s="5" customFormat="1" ht="30" customHeight="1" x14ac:dyDescent="0.25">
      <c r="A139" s="1"/>
      <c r="B139" s="515" t="s">
        <v>543</v>
      </c>
      <c r="C139" s="499">
        <v>445973</v>
      </c>
      <c r="D139" s="496"/>
      <c r="E139" s="323" t="s">
        <v>44</v>
      </c>
      <c r="F139" s="486" t="s">
        <v>750</v>
      </c>
      <c r="G139" s="487" t="s">
        <v>751</v>
      </c>
      <c r="H139" s="492">
        <v>1993</v>
      </c>
      <c r="I139" s="528" t="s">
        <v>129</v>
      </c>
      <c r="J139" s="493" t="s">
        <v>44</v>
      </c>
      <c r="K139" s="488">
        <v>75.900000000000006</v>
      </c>
      <c r="L139" s="300">
        <v>36</v>
      </c>
      <c r="M139" s="301">
        <v>40</v>
      </c>
      <c r="N139" s="449">
        <v>-43</v>
      </c>
      <c r="O139" s="490">
        <f t="shared" si="57"/>
        <v>40</v>
      </c>
      <c r="P139" s="300">
        <v>50</v>
      </c>
      <c r="Q139" s="301">
        <v>55</v>
      </c>
      <c r="R139" s="301">
        <v>60</v>
      </c>
      <c r="S139" s="490">
        <f t="shared" si="58"/>
        <v>60</v>
      </c>
      <c r="T139" s="489">
        <f>IF(E139="","",O139+S139)</f>
        <v>100</v>
      </c>
      <c r="U139" s="48" t="str">
        <f t="shared" si="59"/>
        <v>DPT + 5</v>
      </c>
      <c r="V139" s="48" t="str">
        <f>IF(E139=0," ",IF(E139="H",IF(H139&lt;1999,VLOOKUP(K139,[13]Minimas!$A$15:$F$29,6),IF(AND(H139&gt;1998,H139&lt;2002),VLOOKUP(K139,[13]Minimas!$A$15:$F$29,5),IF(AND(H139&gt;2001,H139&lt;2004),VLOOKUP(K139,[13]Minimas!$A$15:$F$29,4),IF(AND(H139&gt;2003,H139&lt;2006),VLOOKUP(K139,[13]Minimas!$A$15:$F$29,3),VLOOKUP(K139,[13]Minimas!$A$15:$F$29,2))))),IF(H139&lt;1999,VLOOKUP(K139,[13]Minimas!$G$15:$L$29,6),IF(AND(H139&gt;1998,H139&lt;2002),VLOOKUP(K139,[13]Minimas!$G$15:$L$29,5),IF(AND(H139&gt;2001,H139&lt;2004),VLOOKUP(K139,[13]Minimas!$G$15:$L$29,4),IF(AND(H139&gt;2003,H139&lt;2006),VLOOKUP(K139,[13]Minimas!$G$15:$L$29,3),VLOOKUP(K139,[13]Minimas!$G$15:$L$29,2)))))))</f>
        <v>SE F76</v>
      </c>
      <c r="W139" s="49">
        <f t="shared" si="60"/>
        <v>118.44312364015019</v>
      </c>
      <c r="X139" s="257">
        <v>43540</v>
      </c>
      <c r="Y139" s="261" t="s">
        <v>714</v>
      </c>
      <c r="Z139" s="261" t="s">
        <v>704</v>
      </c>
      <c r="AA139" s="463"/>
      <c r="AB139" s="230">
        <f>T139-HLOOKUP(V139,Minimas!$C$3:$CD$12,2,FALSE)</f>
        <v>20</v>
      </c>
      <c r="AC139" s="230">
        <f>T139-HLOOKUP(V139,Minimas!$C$3:$CD$12,3,FALSE)</f>
        <v>5</v>
      </c>
      <c r="AD139" s="230">
        <f>T139-HLOOKUP(V139,Minimas!$C$3:$CD$12,4,FALSE)</f>
        <v>-15</v>
      </c>
      <c r="AE139" s="230">
        <f>T139-HLOOKUP(V139,Minimas!$C$3:$CD$12,5,FALSE)</f>
        <v>-30</v>
      </c>
      <c r="AF139" s="230">
        <f>T139-HLOOKUP(V139,Minimas!$C$3:$CD$12,6,FALSE)</f>
        <v>-47</v>
      </c>
      <c r="AG139" s="230">
        <f>T139-HLOOKUP(V139,Minimas!$C$3:$CD$12,7,FALSE)</f>
        <v>-70</v>
      </c>
      <c r="AH139" s="230">
        <f>T139-HLOOKUP(V139,Minimas!$C$3:$CD$12,8,FALSE)</f>
        <v>-90</v>
      </c>
      <c r="AI139" s="230">
        <f>T139-HLOOKUP(V139,Minimas!$C$3:$CD$12,9,FALSE)</f>
        <v>-110</v>
      </c>
      <c r="AJ139" s="230">
        <f>T139-HLOOKUP(V139,Minimas!$C$3:$CD$12,10,FALSE)</f>
        <v>-125</v>
      </c>
      <c r="AK139" s="231" t="str">
        <f>IF(E139=0," ",IF(AJ139&gt;=0,MASCULINS!$AJ$5,IF(AI139&gt;=0,MASCULINS!$AI$5,IF(AH139&gt;=0,MASCULINS!$AH$5,IF(AG139&gt;=0,MASCULINS!$AG$5,IF(AF139&gt;=0,MASCULINS!$AF$5,IF(AE139&gt;=0,MASCULINS!$AE$5,IF(AD139&gt;=0,MASCULINS!$AD$5,IF(AC139&gt;=0,MASCULINS!$AC$5,MASCULINS!$AB$5)))))))))</f>
        <v>DPT +</v>
      </c>
      <c r="AL139" s="232"/>
      <c r="AM139" s="232" t="str">
        <f t="shared" si="61"/>
        <v>DPT +</v>
      </c>
      <c r="AN139" s="232">
        <f t="shared" si="62"/>
        <v>5</v>
      </c>
      <c r="AO139" s="34"/>
      <c r="AP139" s="34"/>
      <c r="AQ139" s="34"/>
      <c r="AR139" s="34"/>
      <c r="AS139" s="34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  <c r="BF139" s="34"/>
      <c r="BG139" s="34"/>
      <c r="BH139" s="34"/>
      <c r="BI139" s="34"/>
      <c r="BJ139" s="34"/>
      <c r="BK139" s="34"/>
      <c r="BL139" s="34"/>
      <c r="BM139" s="34"/>
      <c r="BN139" s="34"/>
      <c r="BO139" s="34"/>
      <c r="BP139" s="34"/>
      <c r="BQ139" s="34"/>
      <c r="BR139" s="34"/>
      <c r="BS139" s="34"/>
      <c r="BT139" s="34"/>
      <c r="BU139" s="34"/>
      <c r="BV139" s="34"/>
      <c r="BW139" s="34"/>
      <c r="BX139" s="34"/>
      <c r="BY139" s="34"/>
      <c r="BZ139" s="34"/>
      <c r="CA139" s="34"/>
      <c r="CB139" s="34"/>
      <c r="CC139" s="34"/>
      <c r="CD139" s="34"/>
      <c r="CE139" s="34"/>
      <c r="CF139" s="34"/>
      <c r="CG139" s="34"/>
      <c r="CH139" s="34"/>
      <c r="CI139" s="34"/>
      <c r="CJ139" s="34"/>
      <c r="CK139" s="34"/>
      <c r="CL139" s="34"/>
      <c r="CM139" s="34"/>
      <c r="CN139" s="34"/>
      <c r="CO139" s="34"/>
      <c r="CP139" s="34"/>
      <c r="CQ139" s="34"/>
      <c r="CR139" s="34"/>
      <c r="CS139" s="34"/>
      <c r="CT139" s="34"/>
      <c r="CU139" s="34"/>
      <c r="CV139" s="34"/>
      <c r="CW139" s="34"/>
      <c r="CX139" s="34"/>
      <c r="CY139" s="34"/>
      <c r="CZ139" s="34"/>
      <c r="DA139" s="34"/>
      <c r="DB139" s="34"/>
      <c r="DC139" s="34"/>
      <c r="DD139" s="34"/>
      <c r="DE139" s="34"/>
      <c r="DF139" s="34"/>
      <c r="DG139" s="34"/>
      <c r="DH139" s="34"/>
      <c r="DI139" s="34"/>
      <c r="DJ139" s="34"/>
      <c r="DK139" s="34"/>
      <c r="DL139" s="34"/>
      <c r="DM139" s="34"/>
      <c r="DN139" s="34"/>
      <c r="DO139" s="34"/>
      <c r="DP139" s="34"/>
      <c r="DQ139" s="34"/>
      <c r="DR139" s="34"/>
      <c r="DS139" s="34"/>
      <c r="DT139" s="34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</row>
    <row r="140" spans="1:179" s="5" customFormat="1" ht="30" customHeight="1" x14ac:dyDescent="0.3">
      <c r="B140" s="517" t="s">
        <v>543</v>
      </c>
      <c r="C140" s="525">
        <v>441296</v>
      </c>
      <c r="D140" s="532"/>
      <c r="E140" s="406" t="s">
        <v>44</v>
      </c>
      <c r="F140" s="423" t="s">
        <v>650</v>
      </c>
      <c r="G140" s="415" t="s">
        <v>651</v>
      </c>
      <c r="H140" s="380">
        <v>1995</v>
      </c>
      <c r="I140" s="573" t="s">
        <v>324</v>
      </c>
      <c r="J140" s="381" t="s">
        <v>205</v>
      </c>
      <c r="K140" s="581">
        <v>76.8</v>
      </c>
      <c r="L140" s="456">
        <v>72</v>
      </c>
      <c r="M140" s="457">
        <v>76</v>
      </c>
      <c r="N140" s="457">
        <v>80</v>
      </c>
      <c r="O140" s="490">
        <f t="shared" si="57"/>
        <v>80</v>
      </c>
      <c r="P140" s="456">
        <v>100</v>
      </c>
      <c r="Q140" s="457">
        <v>105</v>
      </c>
      <c r="R140" s="457">
        <v>110</v>
      </c>
      <c r="S140" s="490">
        <f t="shared" si="58"/>
        <v>110</v>
      </c>
      <c r="T140" s="489">
        <f>IF(E140="","",IF(OR(O140=0,S140=0),0,O140+S140))</f>
        <v>190</v>
      </c>
      <c r="U140" s="48" t="str">
        <f t="shared" si="59"/>
        <v>NAT + 18</v>
      </c>
      <c r="V140" s="48" t="str">
        <f>IF(E140=0," ",IF(E140="H",IF(H140&lt;1999,VLOOKUP(K140,Minimas!$A$15:$F$29,6),IF(AND(H140&gt;1998,H140&lt;2002),VLOOKUP(K140,Minimas!$A$15:$F$29,5),IF(AND(H140&gt;2001,H140&lt;2004),VLOOKUP(K140,Minimas!$A$15:$F$29,4),IF(AND(H140&gt;2003,H140&lt;2006),VLOOKUP(K140,Minimas!$A$15:$F$29,3),VLOOKUP(K140,Minimas!$A$15:$F$29,2))))),IF(H140&lt;1999,VLOOKUP(K140,Minimas!$G$15:$L$29,6),IF(AND(H140&gt;1998,H140&lt;2002),VLOOKUP(K140,Minimas!$G$15:$L$29,5),IF(AND(H140&gt;2001,H140&lt;2004),VLOOKUP(K140,Minimas!$G$15:$L$29,4),IF(AND(H140&gt;2003,H140&lt;2006),VLOOKUP(K140,Minimas!$G$15:$L$29,3),VLOOKUP(K140,Minimas!$G$15:$L$29,2)))))))</f>
        <v>SE F81</v>
      </c>
      <c r="W140" s="49">
        <f t="shared" si="60"/>
        <v>223.7828320988155</v>
      </c>
      <c r="X140" s="257">
        <v>43485</v>
      </c>
      <c r="Y140" s="261" t="s">
        <v>580</v>
      </c>
      <c r="Z140" s="261" t="s">
        <v>556</v>
      </c>
      <c r="AA140" s="232"/>
      <c r="AB140" s="230">
        <f>T140-HLOOKUP(V140,Minimas!$C$3:$CD$12,2,FALSE)</f>
        <v>105</v>
      </c>
      <c r="AC140" s="230">
        <f>T140-HLOOKUP(V140,Minimas!$C$3:$CD$12,3,FALSE)</f>
        <v>90</v>
      </c>
      <c r="AD140" s="230">
        <f>T140-HLOOKUP(V140,Minimas!$C$3:$CD$12,4,FALSE)</f>
        <v>70</v>
      </c>
      <c r="AE140" s="230">
        <f>T140-HLOOKUP(V140,Minimas!$C$3:$CD$12,5,FALSE)</f>
        <v>55</v>
      </c>
      <c r="AF140" s="230">
        <f>T140-HLOOKUP(V140,Minimas!$C$3:$CD$12,6,FALSE)</f>
        <v>40</v>
      </c>
      <c r="AG140" s="230">
        <f>T140-HLOOKUP(V140,Minimas!$C$3:$CD$12,7,FALSE)</f>
        <v>18</v>
      </c>
      <c r="AH140" s="230">
        <f>T140-HLOOKUP(V140,Minimas!$C$3:$CD$12,8,FALSE)</f>
        <v>-2</v>
      </c>
      <c r="AI140" s="230">
        <f>T140-HLOOKUP(V140,Minimas!$C$3:$CD$12,9,FALSE)</f>
        <v>-22</v>
      </c>
      <c r="AJ140" s="230">
        <f>T140-HLOOKUP(V140,Minimas!$C$3:$CD$12,10,FALSE)</f>
        <v>-40</v>
      </c>
      <c r="AK140" s="231" t="str">
        <f>IF(E140=0," ",IF(AJ140&gt;=0,$AJ$5,IF(AI140&gt;=0,$AI$5,IF(AH140&gt;=0,$AH$5,IF(AG140&gt;=0,$AG$5,IF(AF140&gt;=0,$AF$5,IF(AE140&gt;=0,$AE$5,IF(AD140&gt;=0,$AD$5,IF(AC140&gt;=0,$AC$5,$AB$5)))))))))</f>
        <v>NAT +</v>
      </c>
      <c r="AL140" s="232"/>
      <c r="AM140" s="232" t="str">
        <f t="shared" si="61"/>
        <v>NAT +</v>
      </c>
      <c r="AN140" s="232">
        <f t="shared" si="62"/>
        <v>18</v>
      </c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  <c r="BF140" s="38"/>
      <c r="BG140" s="38"/>
      <c r="BH140" s="38"/>
      <c r="BI140" s="38"/>
      <c r="BJ140" s="38"/>
      <c r="BK140" s="38"/>
      <c r="BL140" s="38"/>
      <c r="BM140" s="38"/>
      <c r="BN140" s="38"/>
      <c r="BO140" s="38"/>
      <c r="BP140" s="38"/>
      <c r="BQ140" s="38"/>
      <c r="BR140" s="38"/>
      <c r="BS140" s="38"/>
      <c r="BT140" s="38"/>
      <c r="BU140" s="38"/>
      <c r="BV140" s="38"/>
      <c r="BW140" s="38"/>
      <c r="BX140" s="38"/>
      <c r="BY140" s="38"/>
      <c r="BZ140" s="38"/>
      <c r="CA140" s="38"/>
      <c r="CB140" s="38"/>
      <c r="CC140" s="38"/>
      <c r="CD140" s="38"/>
      <c r="CE140" s="38"/>
      <c r="CF140" s="38"/>
      <c r="CG140" s="38"/>
      <c r="CH140" s="38"/>
      <c r="CI140" s="38"/>
      <c r="CJ140" s="38"/>
      <c r="CK140" s="38"/>
      <c r="CL140" s="38"/>
      <c r="CM140" s="38"/>
      <c r="CN140" s="38"/>
      <c r="CO140" s="38"/>
      <c r="CP140" s="38"/>
      <c r="CQ140" s="38"/>
      <c r="CR140" s="38"/>
      <c r="CS140" s="38"/>
      <c r="CT140" s="38"/>
      <c r="CU140" s="38"/>
      <c r="CV140" s="38"/>
      <c r="CW140" s="38"/>
      <c r="CX140" s="38"/>
      <c r="CY140" s="38"/>
      <c r="CZ140" s="38"/>
      <c r="DA140" s="38"/>
      <c r="DB140" s="38"/>
      <c r="DC140" s="38"/>
      <c r="DD140" s="38"/>
      <c r="DE140" s="38"/>
      <c r="DF140" s="38"/>
      <c r="DG140" s="38"/>
      <c r="DH140" s="38"/>
      <c r="DI140" s="38"/>
      <c r="DJ140" s="38"/>
      <c r="DK140" s="38"/>
      <c r="DL140" s="38"/>
      <c r="DM140" s="38"/>
      <c r="DN140" s="38"/>
      <c r="DO140" s="38"/>
      <c r="DP140" s="38"/>
      <c r="DQ140" s="38"/>
      <c r="DR140" s="38"/>
      <c r="DS140" s="38"/>
      <c r="DT140" s="38"/>
    </row>
    <row r="141" spans="1:179" s="5" customFormat="1" ht="30" customHeight="1" thickBot="1" x14ac:dyDescent="0.3">
      <c r="A141" s="484"/>
      <c r="B141" s="341" t="s">
        <v>543</v>
      </c>
      <c r="C141" s="499">
        <v>415721</v>
      </c>
      <c r="D141" s="290"/>
      <c r="E141" s="323" t="s">
        <v>44</v>
      </c>
      <c r="F141" s="486" t="s">
        <v>688</v>
      </c>
      <c r="G141" s="487" t="s">
        <v>649</v>
      </c>
      <c r="H141" s="492">
        <v>1980</v>
      </c>
      <c r="I141" s="572" t="s">
        <v>418</v>
      </c>
      <c r="J141" s="493" t="s">
        <v>44</v>
      </c>
      <c r="K141" s="586">
        <v>78.62</v>
      </c>
      <c r="L141" s="300">
        <v>48</v>
      </c>
      <c r="M141" s="301">
        <v>50</v>
      </c>
      <c r="N141" s="301">
        <v>52</v>
      </c>
      <c r="O141" s="338">
        <f t="shared" si="57"/>
        <v>52</v>
      </c>
      <c r="P141" s="300">
        <v>58</v>
      </c>
      <c r="Q141" s="301">
        <v>62</v>
      </c>
      <c r="R141" s="301">
        <v>64</v>
      </c>
      <c r="S141" s="607">
        <f t="shared" si="58"/>
        <v>64</v>
      </c>
      <c r="T141" s="611">
        <f>IF(E141="","",IF(OR(O141=0,S141=0),0,O141+S141))</f>
        <v>116</v>
      </c>
      <c r="U141" s="48" t="s">
        <v>689</v>
      </c>
      <c r="V141" s="48" t="str">
        <f>IF(E141=0," ",IF(E141="H",IF(H141&lt;1999,VLOOKUP(K141,Minimas!$A$15:$F$29,6),IF(AND(H141&gt;1998,H141&lt;2002),VLOOKUP(K141,Minimas!$A$15:$F$29,5),IF(AND(H141&gt;2001,H141&lt;2004),VLOOKUP(K141,Minimas!$A$15:$F$29,4),IF(AND(H141&gt;2003,H141&lt;2006),VLOOKUP(K141,Minimas!$A$15:$F$29,3),VLOOKUP(K141,Minimas!$A$15:$F$29,2))))),IF(H141&lt;1999,VLOOKUP(K141,Minimas!$G$15:$L$29,6),IF(AND(H141&gt;1998,H141&lt;2002),VLOOKUP(K141,Minimas!$G$15:$L$29,5),IF(AND(H141&gt;2001,H141&lt;2004),VLOOKUP(K141,Minimas!$G$15:$L$29,4),IF(AND(H141&gt;2003,H141&lt;2006),VLOOKUP(K141,Minimas!$G$15:$L$29,3),VLOOKUP(K141,Minimas!$G$15:$L$29,2)))))))</f>
        <v>SE F81</v>
      </c>
      <c r="W141" s="49">
        <f t="shared" si="60"/>
        <v>135.1486048754808</v>
      </c>
      <c r="X141" s="257">
        <v>43492</v>
      </c>
      <c r="Y141" s="261" t="s">
        <v>525</v>
      </c>
      <c r="Z141" s="261" t="s">
        <v>700</v>
      </c>
      <c r="AA141" s="232"/>
      <c r="AB141" s="230">
        <f>T141-HLOOKUP(V141,Minimas!$C$3:$CD$12,2,FALSE)</f>
        <v>31</v>
      </c>
      <c r="AC141" s="230">
        <f>T141-HLOOKUP(V141,Minimas!$C$3:$CD$12,3,FALSE)</f>
        <v>16</v>
      </c>
      <c r="AD141" s="230">
        <f>T141-HLOOKUP(V141,Minimas!$C$3:$CD$12,4,FALSE)</f>
        <v>-4</v>
      </c>
      <c r="AE141" s="230">
        <f>T141-HLOOKUP(V141,Minimas!$C$3:$CD$12,5,FALSE)</f>
        <v>-19</v>
      </c>
      <c r="AF141" s="230">
        <f>T141-HLOOKUP(V141,Minimas!$C$3:$CD$12,6,FALSE)</f>
        <v>-34</v>
      </c>
      <c r="AG141" s="230">
        <f>T141-HLOOKUP(V141,Minimas!$C$3:$CD$12,7,FALSE)</f>
        <v>-56</v>
      </c>
      <c r="AH141" s="230">
        <f>T141-HLOOKUP(V141,Minimas!$C$3:$CD$12,8,FALSE)</f>
        <v>-76</v>
      </c>
      <c r="AI141" s="230">
        <f>T141-HLOOKUP(V141,Minimas!$C$3:$CD$12,9,FALSE)</f>
        <v>-96</v>
      </c>
      <c r="AJ141" s="230">
        <f>T141-HLOOKUP(V141,Minimas!$C$3:$CD$12,10,FALSE)</f>
        <v>-114</v>
      </c>
      <c r="AK141" s="231" t="str">
        <f>IF(E141=0," ",IF(AJ141&gt;=0,$AJ$5,IF(AI141&gt;=0,$AI$5,IF(AH141&gt;=0,$AH$5,IF(AG141&gt;=0,$AG$5,IF(AF141&gt;=0,$AF$5,IF(AE141&gt;=0,$AE$5,IF(AD141&gt;=0,$AD$5,IF(AC141&gt;=0,$AC$5,$AB$5)))))))))</f>
        <v>DPT +</v>
      </c>
      <c r="AL141" s="232"/>
      <c r="AM141" s="232" t="str">
        <f t="shared" si="61"/>
        <v>DPT +</v>
      </c>
      <c r="AN141" s="232">
        <f t="shared" si="62"/>
        <v>16</v>
      </c>
      <c r="AO141" s="485"/>
      <c r="AP141" s="485"/>
      <c r="AQ141" s="485"/>
      <c r="AR141" s="485"/>
      <c r="AS141" s="485"/>
      <c r="AT141" s="485"/>
      <c r="AU141" s="485"/>
      <c r="AV141" s="485"/>
      <c r="AW141" s="485"/>
      <c r="AX141" s="485"/>
      <c r="AY141" s="485"/>
      <c r="AZ141" s="485"/>
      <c r="BA141" s="485"/>
      <c r="BB141" s="485"/>
      <c r="BC141" s="485"/>
      <c r="BD141" s="485"/>
      <c r="BE141" s="485"/>
      <c r="BF141" s="485"/>
      <c r="BG141" s="485"/>
      <c r="BH141" s="485"/>
      <c r="BI141" s="485"/>
      <c r="BJ141" s="485"/>
      <c r="BK141" s="485"/>
      <c r="BL141" s="485"/>
      <c r="BM141" s="485"/>
      <c r="BN141" s="485"/>
      <c r="BO141" s="485"/>
      <c r="BP141" s="485"/>
      <c r="BQ141" s="485"/>
      <c r="BR141" s="485"/>
      <c r="BS141" s="485"/>
      <c r="BT141" s="485"/>
      <c r="BU141" s="485"/>
      <c r="BV141" s="485"/>
      <c r="BW141" s="485"/>
      <c r="BX141" s="485"/>
      <c r="BY141" s="485"/>
      <c r="BZ141" s="485"/>
      <c r="CA141" s="485"/>
      <c r="CB141" s="485"/>
      <c r="CC141" s="485"/>
      <c r="CD141" s="485"/>
      <c r="CE141" s="485"/>
      <c r="CF141" s="485"/>
      <c r="CG141" s="485"/>
      <c r="CH141" s="485"/>
      <c r="CI141" s="485"/>
      <c r="CJ141" s="485"/>
      <c r="CK141" s="485"/>
      <c r="CL141" s="485"/>
      <c r="CM141" s="485"/>
      <c r="CN141" s="485"/>
      <c r="CO141" s="485"/>
      <c r="CP141" s="485"/>
      <c r="CQ141" s="485"/>
      <c r="CR141" s="485"/>
      <c r="CS141" s="485"/>
      <c r="CT141" s="485"/>
      <c r="CU141" s="485"/>
      <c r="CV141" s="485"/>
      <c r="CW141" s="485"/>
      <c r="CX141" s="485"/>
      <c r="CY141" s="485"/>
      <c r="CZ141" s="485"/>
      <c r="DA141" s="485"/>
      <c r="DB141" s="485"/>
      <c r="DC141" s="485"/>
      <c r="DD141" s="485"/>
      <c r="DE141" s="485"/>
      <c r="DF141" s="485"/>
      <c r="DG141" s="485"/>
      <c r="DH141" s="485"/>
      <c r="DI141" s="485"/>
      <c r="DJ141" s="485"/>
      <c r="DK141" s="485"/>
      <c r="DL141" s="485"/>
      <c r="DM141" s="485"/>
      <c r="DN141" s="485"/>
      <c r="DO141" s="485"/>
      <c r="DP141" s="485"/>
      <c r="DQ141" s="485"/>
      <c r="DR141" s="485"/>
      <c r="DS141" s="485"/>
      <c r="DT141" s="485"/>
      <c r="DU141" s="484"/>
      <c r="DV141" s="484"/>
      <c r="DW141" s="484"/>
      <c r="DX141" s="484"/>
      <c r="DY141" s="484"/>
      <c r="DZ141" s="484"/>
      <c r="EA141" s="484"/>
      <c r="EB141" s="484"/>
      <c r="EC141" s="484"/>
      <c r="ED141" s="484"/>
      <c r="EE141" s="484"/>
      <c r="EF141" s="484"/>
      <c r="EG141" s="484"/>
      <c r="EH141" s="484"/>
      <c r="EI141" s="484"/>
      <c r="EJ141" s="484"/>
      <c r="EK141" s="484"/>
      <c r="EL141" s="484"/>
      <c r="EM141" s="484"/>
      <c r="EN141" s="484"/>
      <c r="EO141" s="484"/>
      <c r="EP141" s="484"/>
      <c r="EQ141" s="484"/>
      <c r="ER141" s="484"/>
      <c r="ES141" s="484"/>
      <c r="ET141" s="484"/>
      <c r="EU141" s="484"/>
      <c r="EV141" s="484"/>
      <c r="EW141" s="484"/>
      <c r="EX141" s="484"/>
      <c r="EY141" s="484"/>
      <c r="EZ141" s="484"/>
      <c r="FA141" s="484"/>
      <c r="FB141" s="484"/>
      <c r="FC141" s="484"/>
      <c r="FD141" s="484"/>
      <c r="FE141" s="484"/>
      <c r="FF141" s="484"/>
      <c r="FG141" s="484"/>
      <c r="FH141" s="484"/>
      <c r="FI141" s="484"/>
      <c r="FJ141" s="484"/>
      <c r="FK141" s="484"/>
      <c r="FL141" s="484"/>
      <c r="FM141" s="484"/>
      <c r="FN141" s="484"/>
      <c r="FO141" s="484"/>
      <c r="FP141" s="484"/>
      <c r="FQ141" s="484"/>
      <c r="FR141" s="484"/>
      <c r="FS141" s="484"/>
      <c r="FT141" s="484"/>
      <c r="FU141" s="484"/>
      <c r="FV141" s="484"/>
      <c r="FW141" s="484"/>
    </row>
    <row r="142" spans="1:179" s="5" customFormat="1" ht="30" customHeight="1" thickBot="1" x14ac:dyDescent="0.3">
      <c r="B142" s="495" t="s">
        <v>543</v>
      </c>
      <c r="C142" s="526">
        <v>415721</v>
      </c>
      <c r="D142" s="541"/>
      <c r="E142" s="636" t="s">
        <v>44</v>
      </c>
      <c r="F142" s="638" t="s">
        <v>821</v>
      </c>
      <c r="G142" s="640" t="s">
        <v>649</v>
      </c>
      <c r="H142" s="643">
        <v>1980</v>
      </c>
      <c r="I142" s="649" t="s">
        <v>418</v>
      </c>
      <c r="J142" s="651" t="s">
        <v>44</v>
      </c>
      <c r="K142" s="654">
        <v>81.400000000000006</v>
      </c>
      <c r="L142" s="300">
        <v>48</v>
      </c>
      <c r="M142" s="449">
        <v>-50</v>
      </c>
      <c r="N142" s="301">
        <v>50</v>
      </c>
      <c r="O142" s="490">
        <f t="shared" ref="O142:O143" si="63">IF(E142="","",IF(MAXA(L142:N142)&lt;=0,0,MAXA(L142:N142)))</f>
        <v>50</v>
      </c>
      <c r="P142" s="300">
        <v>58</v>
      </c>
      <c r="Q142" s="301">
        <v>60</v>
      </c>
      <c r="R142" s="301">
        <v>-65</v>
      </c>
      <c r="S142" s="490">
        <f t="shared" ref="S142:S143" si="64">IF(E142="","",IF(MAXA(P142:R142)&lt;=0,0,MAXA(P142:R142)))</f>
        <v>60</v>
      </c>
      <c r="T142" s="489">
        <f>IF(E142="","",IF(OR(O142=0,S142=0),0,O142+S142))</f>
        <v>110</v>
      </c>
      <c r="U142" s="48" t="str">
        <f>+CONCATENATE(AM142," ",AN142)</f>
        <v>DPT + 8</v>
      </c>
      <c r="V142" s="48" t="str">
        <f>IF(E142=0," ",IF(E142="H",IF(H142&lt;1999,VLOOKUP(K142,[10]Minimas!$A$15:$F$29,6),IF(AND(H142&gt;1998,H142&lt;2002),VLOOKUP(K142,[10]Minimas!$A$15:$F$29,5),IF(AND(H142&gt;2001,H142&lt;2004),VLOOKUP(K142,[10]Minimas!$A$15:$F$29,4),IF(AND(H142&gt;2003,H142&lt;2006),VLOOKUP(K142,[10]Minimas!$A$15:$F$29,3),VLOOKUP(K142,[10]Minimas!$A$15:$F$29,2))))),IF(H142&lt;1999,VLOOKUP(K142,[10]Minimas!$G$15:$L$29,6),IF(AND(H142&gt;1998,H142&lt;2002),VLOOKUP(K142,[10]Minimas!$G$15:$L$29,5),IF(AND(H142&gt;2001,H142&lt;2004),VLOOKUP(K142,[10]Minimas!$G$15:$L$29,4),IF(AND(H142&gt;2003,H142&lt;2006),VLOOKUP(K142,[10]Minimas!$G$15:$L$29,3),VLOOKUP(K142,[10]Minimas!$G$15:$L$29,2)))))))</f>
        <v>SE F87</v>
      </c>
      <c r="W142" s="49">
        <f t="shared" ref="W142:W143" si="65">IF(E142=" "," ",IF(E142="H",10^(0.75194503*LOG(K142/175.508)^2)*T142,IF(E142="F",10^(0.783497476* LOG(K142/153.655)^2)*T142,"")))</f>
        <v>126.19518529877863</v>
      </c>
      <c r="X142" s="257">
        <v>43555</v>
      </c>
      <c r="Y142" s="261" t="s">
        <v>805</v>
      </c>
      <c r="Z142" s="261" t="s">
        <v>661</v>
      </c>
      <c r="AA142" s="232"/>
      <c r="AB142" s="230">
        <f>T142-HLOOKUP(V142,[10]Minimas!$C$3:$CD$12,2,FALSE)</f>
        <v>23</v>
      </c>
      <c r="AC142" s="230">
        <f>T142-HLOOKUP(V142,[10]Minimas!$C$3:$CD$12,3,FALSE)</f>
        <v>8</v>
      </c>
      <c r="AD142" s="230">
        <f>T142-HLOOKUP(V142,[10]Minimas!$C$3:$CD$12,4,FALSE)</f>
        <v>-12</v>
      </c>
      <c r="AE142" s="230">
        <f>T142-HLOOKUP(V142,[10]Minimas!$C$3:$CD$12,5,FALSE)</f>
        <v>-27</v>
      </c>
      <c r="AF142" s="230">
        <f>T142-HLOOKUP(V142,[10]Minimas!$C$3:$CD$12,6,FALSE)</f>
        <v>-42</v>
      </c>
      <c r="AG142" s="230">
        <f>T142-HLOOKUP(V142,[10]Minimas!$C$3:$CD$12,7,FALSE)</f>
        <v>-65</v>
      </c>
      <c r="AH142" s="230">
        <f>T142-HLOOKUP(V142,[10]Minimas!$C$3:$CD$12,8,FALSE)</f>
        <v>-85</v>
      </c>
      <c r="AI142" s="230">
        <f>T142-HLOOKUP(V142,[10]Minimas!$C$3:$CD$12,9,FALSE)</f>
        <v>-105</v>
      </c>
      <c r="AJ142" s="230">
        <f>T142-HLOOKUP(V142,[10]Minimas!$C$3:$CD$12,10,FALSE)</f>
        <v>-120</v>
      </c>
      <c r="AK142" s="231" t="str">
        <f>IF(E142=0," ",IF(AJ142&gt;=0,$AJ$5,IF(AI142&gt;=0,$AI$5,IF(AH142&gt;=0,$AH$5,IF(AG142&gt;=0,$AG$5,IF(AF142&gt;=0,$AF$5,IF(AE142&gt;=0,$AE$5,IF(AD142&gt;=0,$AD$5,IF(AC142&gt;=0,$AC$5,$AB$5)))))))))</f>
        <v>DPT +</v>
      </c>
      <c r="AL142" s="232"/>
      <c r="AM142" s="232" t="str">
        <f t="shared" ref="AM142:AM143" si="66">IF(AK142="","",AK142)</f>
        <v>DPT +</v>
      </c>
      <c r="AN142" s="232">
        <f t="shared" ref="AN142:AN143" si="67">IF(E142=0," ",IF(AJ142&gt;=0,AJ142,IF(AI142&gt;=0,AI142,IF(AH142&gt;=0,AH142,IF(AG142&gt;=0,AG142,IF(AF142&gt;=0,AF142,IF(AE142&gt;=0,AE142,IF(AD142&gt;=0,AD142,IF(AC142&gt;=0,AC142,AB142)))))))))</f>
        <v>8</v>
      </c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  <c r="BF142" s="38"/>
      <c r="BG142" s="38"/>
      <c r="BH142" s="38"/>
      <c r="BI142" s="38"/>
      <c r="BJ142" s="38"/>
      <c r="BK142" s="38"/>
      <c r="BL142" s="38"/>
      <c r="BM142" s="38"/>
      <c r="BN142" s="38"/>
      <c r="BO142" s="38"/>
      <c r="BP142" s="38"/>
      <c r="BQ142" s="38"/>
      <c r="BR142" s="38"/>
      <c r="BS142" s="38"/>
      <c r="BT142" s="38"/>
      <c r="BU142" s="38"/>
      <c r="BV142" s="38"/>
      <c r="BW142" s="38"/>
      <c r="BX142" s="38"/>
      <c r="BY142" s="38"/>
      <c r="BZ142" s="38"/>
      <c r="CA142" s="38"/>
      <c r="CB142" s="38"/>
      <c r="CC142" s="38"/>
      <c r="CD142" s="38"/>
      <c r="CE142" s="38"/>
      <c r="CF142" s="38"/>
      <c r="CG142" s="38"/>
      <c r="CH142" s="38"/>
      <c r="CI142" s="38"/>
      <c r="CJ142" s="38"/>
      <c r="CK142" s="38"/>
      <c r="CL142" s="38"/>
      <c r="CM142" s="38"/>
      <c r="CN142" s="38"/>
      <c r="CO142" s="38"/>
      <c r="CP142" s="38"/>
      <c r="CQ142" s="38"/>
      <c r="CR142" s="38"/>
      <c r="CS142" s="38"/>
      <c r="CT142" s="38"/>
      <c r="CU142" s="38"/>
      <c r="CV142" s="38"/>
      <c r="CW142" s="38"/>
      <c r="CX142" s="38"/>
      <c r="CY142" s="38"/>
      <c r="CZ142" s="38"/>
      <c r="DA142" s="38"/>
      <c r="DB142" s="38"/>
      <c r="DC142" s="38"/>
      <c r="DD142" s="38"/>
      <c r="DE142" s="38"/>
      <c r="DF142" s="38"/>
      <c r="DG142" s="38"/>
      <c r="DH142" s="38"/>
      <c r="DI142" s="38"/>
      <c r="DJ142" s="38"/>
      <c r="DK142" s="38"/>
      <c r="DL142" s="38"/>
      <c r="DM142" s="38"/>
      <c r="DN142" s="38"/>
      <c r="DO142" s="38"/>
      <c r="DP142" s="38"/>
      <c r="DQ142" s="38"/>
      <c r="DR142" s="38"/>
      <c r="DS142" s="38"/>
      <c r="DT142" s="38"/>
    </row>
    <row r="143" spans="1:179" s="5" customFormat="1" ht="30" customHeight="1" thickBot="1" x14ac:dyDescent="0.35">
      <c r="B143" s="517" t="s">
        <v>543</v>
      </c>
      <c r="C143" s="529">
        <v>193724</v>
      </c>
      <c r="D143" s="635"/>
      <c r="E143" s="543" t="s">
        <v>44</v>
      </c>
      <c r="F143" s="637" t="s">
        <v>578</v>
      </c>
      <c r="G143" s="639" t="s">
        <v>579</v>
      </c>
      <c r="H143" s="642">
        <v>1989</v>
      </c>
      <c r="I143" s="645" t="s">
        <v>322</v>
      </c>
      <c r="J143" s="650"/>
      <c r="K143" s="653">
        <v>87.9</v>
      </c>
      <c r="L143" s="452">
        <v>45</v>
      </c>
      <c r="M143" s="453">
        <v>50</v>
      </c>
      <c r="N143" s="453">
        <v>55</v>
      </c>
      <c r="O143" s="490">
        <f t="shared" si="63"/>
        <v>55</v>
      </c>
      <c r="P143" s="456">
        <v>60</v>
      </c>
      <c r="Q143" s="596">
        <v>-70</v>
      </c>
      <c r="R143" s="457">
        <v>70</v>
      </c>
      <c r="S143" s="490">
        <f t="shared" si="64"/>
        <v>70</v>
      </c>
      <c r="T143" s="489">
        <f>IF(E143="","",IF(OR(O143=0,S143=0),0,O143+S143))</f>
        <v>125</v>
      </c>
      <c r="U143" s="48" t="str">
        <f>+CONCATENATE(AM143," ",AN143)</f>
        <v>REG + 0</v>
      </c>
      <c r="V143" s="48" t="str">
        <f>IF(E143=0," ",IF(E143="H",IF(H143&lt;1999,VLOOKUP(K143,Minimas!$A$15:$F$29,6),IF(AND(H143&gt;1998,H143&lt;2002),VLOOKUP(K143,Minimas!$A$15:$F$29,5),IF(AND(H143&gt;2001,H143&lt;2004),VLOOKUP(K143,Minimas!$A$15:$F$29,4),IF(AND(H143&gt;2003,H143&lt;2006),VLOOKUP(K143,Minimas!$A$15:$F$29,3),VLOOKUP(K143,Minimas!$A$15:$F$29,2))))),IF(H143&lt;1999,VLOOKUP(K143,Minimas!$G$15:$L$29,6),IF(AND(H143&gt;1998,H143&lt;2002),VLOOKUP(K143,Minimas!$G$15:$L$29,5),IF(AND(H143&gt;2001,H143&lt;2004),VLOOKUP(K143,Minimas!$G$15:$L$29,4),IF(AND(H143&gt;2003,H143&lt;2006),VLOOKUP(K143,Minimas!$G$15:$L$29,3),VLOOKUP(K143,Minimas!$G$15:$L$29,2)))))))</f>
        <v>SE F&gt;87</v>
      </c>
      <c r="W143" s="49">
        <f t="shared" si="65"/>
        <v>138.99735502926234</v>
      </c>
      <c r="X143" s="257">
        <v>43484</v>
      </c>
      <c r="Y143" s="261" t="s">
        <v>580</v>
      </c>
      <c r="Z143" s="261" t="s">
        <v>581</v>
      </c>
      <c r="AA143" s="232"/>
      <c r="AB143" s="230">
        <f>T143-HLOOKUP(V143,Minimas!$C$3:$CD$12,2,FALSE)</f>
        <v>35</v>
      </c>
      <c r="AC143" s="230">
        <f>T143-HLOOKUP(V143,Minimas!$C$3:$CD$12,3,FALSE)</f>
        <v>20</v>
      </c>
      <c r="AD143" s="230">
        <f>T143-HLOOKUP(V143,Minimas!$C$3:$CD$12,4,FALSE)</f>
        <v>0</v>
      </c>
      <c r="AE143" s="230">
        <f>T143-HLOOKUP(V143,Minimas!$C$3:$CD$12,5,FALSE)</f>
        <v>-15</v>
      </c>
      <c r="AF143" s="230">
        <f>T143-HLOOKUP(V143,Minimas!$C$3:$CD$12,6,FALSE)</f>
        <v>-30</v>
      </c>
      <c r="AG143" s="230">
        <f>T143-HLOOKUP(V143,Minimas!$C$3:$CD$12,7,FALSE)</f>
        <v>-55</v>
      </c>
      <c r="AH143" s="230">
        <f>T143-HLOOKUP(V143,Minimas!$C$3:$CD$12,8,FALSE)</f>
        <v>-75</v>
      </c>
      <c r="AI143" s="230">
        <f>T143-HLOOKUP(V143,Minimas!$C$3:$CD$12,9,FALSE)</f>
        <v>-95</v>
      </c>
      <c r="AJ143" s="230">
        <f>T143-HLOOKUP(V143,Minimas!$C$3:$CD$12,10,FALSE)</f>
        <v>-110</v>
      </c>
      <c r="AK143" s="231" t="str">
        <f>IF(E143=0," ",IF(AJ143&gt;=0,$AJ$5,IF(AI143&gt;=0,$AI$5,IF(AH143&gt;=0,$AH$5,IF(AG143&gt;=0,$AG$5,IF(AF143&gt;=0,$AF$5,IF(AE143&gt;=0,$AE$5,IF(AD143&gt;=0,$AD$5,IF(AC143&gt;=0,$AC$5,$AB$5)))))))))</f>
        <v>REG +</v>
      </c>
      <c r="AL143" s="232"/>
      <c r="AM143" s="232" t="str">
        <f t="shared" si="66"/>
        <v>REG +</v>
      </c>
      <c r="AN143" s="232">
        <f t="shared" si="67"/>
        <v>0</v>
      </c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  <c r="BF143" s="38"/>
      <c r="BG143" s="38"/>
      <c r="BH143" s="38"/>
      <c r="BI143" s="38"/>
      <c r="BJ143" s="38"/>
      <c r="BK143" s="38"/>
      <c r="BL143" s="38"/>
      <c r="BM143" s="38"/>
      <c r="BN143" s="38"/>
      <c r="BO143" s="38"/>
      <c r="BP143" s="38"/>
      <c r="BQ143" s="38"/>
      <c r="BR143" s="38"/>
      <c r="BS143" s="38"/>
      <c r="BT143" s="38"/>
      <c r="BU143" s="38"/>
      <c r="BV143" s="38"/>
      <c r="BW143" s="38"/>
      <c r="BX143" s="38"/>
      <c r="BY143" s="38"/>
      <c r="BZ143" s="38"/>
      <c r="CA143" s="38"/>
      <c r="CB143" s="38"/>
      <c r="CC143" s="38"/>
      <c r="CD143" s="38"/>
      <c r="CE143" s="38"/>
      <c r="CF143" s="38"/>
      <c r="CG143" s="38"/>
      <c r="CH143" s="38"/>
      <c r="CI143" s="38"/>
      <c r="CJ143" s="38"/>
      <c r="CK143" s="38"/>
      <c r="CL143" s="38"/>
      <c r="CM143" s="38"/>
      <c r="CN143" s="38"/>
      <c r="CO143" s="38"/>
      <c r="CP143" s="38"/>
      <c r="CQ143" s="38"/>
      <c r="CR143" s="38"/>
      <c r="CS143" s="38"/>
      <c r="CT143" s="38"/>
      <c r="CU143" s="38"/>
      <c r="CV143" s="38"/>
      <c r="CW143" s="38"/>
      <c r="CX143" s="38"/>
      <c r="CY143" s="38"/>
      <c r="CZ143" s="38"/>
      <c r="DA143" s="38"/>
      <c r="DB143" s="38"/>
      <c r="DC143" s="38"/>
      <c r="DD143" s="38"/>
      <c r="DE143" s="38"/>
      <c r="DF143" s="38"/>
      <c r="DG143" s="38"/>
      <c r="DH143" s="38"/>
      <c r="DI143" s="38"/>
      <c r="DJ143" s="38"/>
      <c r="DK143" s="38"/>
      <c r="DL143" s="38"/>
      <c r="DM143" s="38"/>
      <c r="DN143" s="38"/>
      <c r="DO143" s="38"/>
      <c r="DP143" s="38"/>
      <c r="DQ143" s="38"/>
      <c r="DR143" s="38"/>
      <c r="DS143" s="38"/>
      <c r="DT143" s="38"/>
    </row>
    <row r="144" spans="1:179" s="5" customFormat="1" ht="30" customHeight="1" x14ac:dyDescent="0.25">
      <c r="B144" s="355" t="s">
        <v>543</v>
      </c>
      <c r="C144" s="429"/>
      <c r="D144" s="430"/>
      <c r="E144" s="323"/>
      <c r="F144" s="319"/>
      <c r="G144" s="320"/>
      <c r="H144" s="305"/>
      <c r="I144" s="321"/>
      <c r="J144" s="431"/>
      <c r="K144" s="293"/>
      <c r="L144" s="300"/>
      <c r="M144" s="301"/>
      <c r="N144" s="301"/>
      <c r="O144" s="358" t="str">
        <f t="shared" ref="O144:O153" si="68">IF(E144="","",IF(MAXA(L144:N144)&lt;=0,0,MAXA(L144:N144)))</f>
        <v/>
      </c>
      <c r="P144" s="300"/>
      <c r="Q144" s="301"/>
      <c r="R144" s="301"/>
      <c r="S144" s="358" t="str">
        <f t="shared" ref="S144:S153" si="69">IF(E144="","",IF(MAXA(P144:R144)&lt;=0,0,MAXA(P144:R144)))</f>
        <v/>
      </c>
      <c r="T144" s="359" t="str">
        <f t="shared" ref="T144:T153" si="70">IF(E144="","",IF(OR(O144=0,S144=0),0,O144+S144))</f>
        <v/>
      </c>
      <c r="U144" s="360" t="str">
        <f t="shared" ref="U144:U153" si="71">+CONCATENATE(AM144," ",AN144)</f>
        <v xml:space="preserve">   </v>
      </c>
      <c r="V144" s="360" t="str">
        <f>IF(E144=0," ",IF(E144="H",IF(H144&lt;1999,VLOOKUP(K144,[3]Minimas!$A$15:$F$29,6),IF(AND(H144&gt;1998,H144&lt;2002),VLOOKUP(K144,[3]Minimas!$A$15:$F$29,5),IF(AND(H144&gt;2001,H144&lt;2004),VLOOKUP(K144,[3]Minimas!$A$15:$F$29,4),IF(AND(H144&gt;2003,H144&lt;2006),VLOOKUP(K144,[3]Minimas!$A$15:$F$29,3),VLOOKUP(K144,[3]Minimas!$A$15:$F$29,2))))),IF(H144&lt;1999,VLOOKUP(K144,[3]Minimas!$G$15:$L$29,6),IF(AND(H144&gt;1998,H144&lt;2002),VLOOKUP(K144,[3]Minimas!$G$15:$L$29,5),IF(AND(H144&gt;2001,H144&lt;2004),VLOOKUP(K144,[3]Minimas!$G$15:$L$29,4),IF(AND(H144&gt;2003,H144&lt;2006),VLOOKUP(K144,[3]Minimas!$G$15:$L$29,3),VLOOKUP(K144,[3]Minimas!$G$15:$L$29,2)))))))</f>
        <v xml:space="preserve"> </v>
      </c>
      <c r="W144" s="361" t="str">
        <f t="shared" ref="W144:W153" si="72">IF(E144=" "," ",IF(E144="H",10^(0.75194503*LOG(K144/175.508)^2)*T144,IF(E144="F",10^(0.783497476* LOG(K144/153.655)^2)*T144,"")))</f>
        <v/>
      </c>
      <c r="X144" s="257"/>
      <c r="Y144" s="261"/>
      <c r="Z144" s="261"/>
      <c r="AA144" s="232"/>
      <c r="AB144" s="230" t="e">
        <f>T144-HLOOKUP(V144,[3]Minimas!$C$3:$CD$12,2,FALSE)</f>
        <v>#VALUE!</v>
      </c>
      <c r="AC144" s="230" t="e">
        <f>T144-HLOOKUP(V144,[3]Minimas!$C$3:$CD$12,3,FALSE)</f>
        <v>#VALUE!</v>
      </c>
      <c r="AD144" s="230" t="e">
        <f>T144-HLOOKUP(V144,[3]Minimas!$C$3:$CD$12,4,FALSE)</f>
        <v>#VALUE!</v>
      </c>
      <c r="AE144" s="230" t="e">
        <f>T144-HLOOKUP(V144,[3]Minimas!$C$3:$CD$12,5,FALSE)</f>
        <v>#VALUE!</v>
      </c>
      <c r="AF144" s="230" t="e">
        <f>T144-HLOOKUP(V144,[3]Minimas!$C$3:$CD$12,6,FALSE)</f>
        <v>#VALUE!</v>
      </c>
      <c r="AG144" s="230" t="e">
        <f>T144-HLOOKUP(V144,[3]Minimas!$C$3:$CD$12,7,FALSE)</f>
        <v>#VALUE!</v>
      </c>
      <c r="AH144" s="230" t="e">
        <f>T144-HLOOKUP(V144,[3]Minimas!$C$3:$CD$12,8,FALSE)</f>
        <v>#VALUE!</v>
      </c>
      <c r="AI144" s="230" t="e">
        <f>T144-HLOOKUP(V144,[3]Minimas!$C$3:$CD$12,9,FALSE)</f>
        <v>#VALUE!</v>
      </c>
      <c r="AJ144" s="230" t="e">
        <f>T144-HLOOKUP(V144,[3]Minimas!$C$3:$CD$12,10,FALSE)</f>
        <v>#VALUE!</v>
      </c>
      <c r="AK144" s="231" t="str">
        <f t="shared" ref="AK144:AK153" si="73">IF(E144=0," ",IF(AJ144&gt;=0,$AJ$5,IF(AI144&gt;=0,$AI$5,IF(AH144&gt;=0,$AH$5,IF(AG144&gt;=0,$AG$5,IF(AF144&gt;=0,$AF$5,IF(AE144&gt;=0,$AE$5,IF(AD144&gt;=0,$AD$5,IF(AC144&gt;=0,$AC$5,$AB$5)))))))))</f>
        <v xml:space="preserve"> </v>
      </c>
      <c r="AL144" s="232"/>
      <c r="AM144" s="232" t="str">
        <f t="shared" ref="AM144:AM153" si="74">IF(AK144="","",AK144)</f>
        <v xml:space="preserve"> </v>
      </c>
      <c r="AN144" s="232" t="str">
        <f t="shared" ref="AN144:AN153" si="75">IF(E144=0," ",IF(AJ144&gt;=0,AJ144,IF(AI144&gt;=0,AI144,IF(AH144&gt;=0,AH144,IF(AG144&gt;=0,AG144,IF(AF144&gt;=0,AF144,IF(AE144&gt;=0,AE144,IF(AD144&gt;=0,AD144,IF(AC144&gt;=0,AC144,AB144)))))))))</f>
        <v xml:space="preserve"> </v>
      </c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  <c r="BF144" s="38"/>
      <c r="BG144" s="38"/>
      <c r="BH144" s="38"/>
      <c r="BI144" s="38"/>
      <c r="BJ144" s="38"/>
      <c r="BK144" s="38"/>
      <c r="BL144" s="38"/>
      <c r="BM144" s="38"/>
      <c r="BN144" s="38"/>
      <c r="BO144" s="38"/>
      <c r="BP144" s="38"/>
      <c r="BQ144" s="38"/>
      <c r="BR144" s="38"/>
      <c r="BS144" s="38"/>
      <c r="BT144" s="38"/>
      <c r="BU144" s="38"/>
      <c r="BV144" s="38"/>
      <c r="BW144" s="38"/>
      <c r="BX144" s="38"/>
      <c r="BY144" s="38"/>
      <c r="BZ144" s="38"/>
      <c r="CA144" s="38"/>
      <c r="CB144" s="38"/>
      <c r="CC144" s="38"/>
      <c r="CD144" s="38"/>
      <c r="CE144" s="38"/>
      <c r="CF144" s="38"/>
      <c r="CG144" s="38"/>
      <c r="CH144" s="38"/>
      <c r="CI144" s="38"/>
      <c r="CJ144" s="38"/>
      <c r="CK144" s="38"/>
      <c r="CL144" s="38"/>
      <c r="CM144" s="38"/>
      <c r="CN144" s="38"/>
      <c r="CO144" s="38"/>
      <c r="CP144" s="38"/>
      <c r="CQ144" s="38"/>
      <c r="CR144" s="38"/>
      <c r="CS144" s="38"/>
      <c r="CT144" s="38"/>
      <c r="CU144" s="38"/>
      <c r="CV144" s="38"/>
      <c r="CW144" s="38"/>
      <c r="CX144" s="38"/>
      <c r="CY144" s="38"/>
      <c r="CZ144" s="38"/>
      <c r="DA144" s="38"/>
      <c r="DB144" s="38"/>
      <c r="DC144" s="38"/>
      <c r="DD144" s="38"/>
      <c r="DE144" s="38"/>
      <c r="DF144" s="38"/>
      <c r="DG144" s="38"/>
      <c r="DH144" s="38"/>
      <c r="DI144" s="38"/>
      <c r="DJ144" s="38"/>
      <c r="DK144" s="38"/>
      <c r="DL144" s="38"/>
      <c r="DM144" s="38"/>
      <c r="DN144" s="38"/>
      <c r="DO144" s="38"/>
      <c r="DP144" s="38"/>
      <c r="DQ144" s="38"/>
      <c r="DR144" s="38"/>
      <c r="DS144" s="38"/>
      <c r="DT144" s="38"/>
    </row>
    <row r="145" spans="2:124" s="5" customFormat="1" ht="30" customHeight="1" x14ac:dyDescent="0.25">
      <c r="B145" s="355" t="s">
        <v>543</v>
      </c>
      <c r="C145" s="429"/>
      <c r="D145" s="430"/>
      <c r="E145" s="323"/>
      <c r="F145" s="319"/>
      <c r="G145" s="320"/>
      <c r="H145" s="305"/>
      <c r="I145" s="321"/>
      <c r="J145" s="431"/>
      <c r="K145" s="293"/>
      <c r="L145" s="300"/>
      <c r="M145" s="301"/>
      <c r="N145" s="301"/>
      <c r="O145" s="358" t="str">
        <f t="shared" si="68"/>
        <v/>
      </c>
      <c r="P145" s="300"/>
      <c r="Q145" s="301"/>
      <c r="R145" s="301"/>
      <c r="S145" s="358" t="str">
        <f t="shared" si="69"/>
        <v/>
      </c>
      <c r="T145" s="359" t="str">
        <f t="shared" si="70"/>
        <v/>
      </c>
      <c r="U145" s="360" t="str">
        <f t="shared" si="71"/>
        <v xml:space="preserve">   </v>
      </c>
      <c r="V145" s="360" t="str">
        <f>IF(E145=0," ",IF(E145="H",IF(H145&lt;1999,VLOOKUP(K145,[3]Minimas!$A$15:$F$29,6),IF(AND(H145&gt;1998,H145&lt;2002),VLOOKUP(K145,[3]Minimas!$A$15:$F$29,5),IF(AND(H145&gt;2001,H145&lt;2004),VLOOKUP(K145,[3]Minimas!$A$15:$F$29,4),IF(AND(H145&gt;2003,H145&lt;2006),VLOOKUP(K145,[3]Minimas!$A$15:$F$29,3),VLOOKUP(K145,[3]Minimas!$A$15:$F$29,2))))),IF(H145&lt;1999,VLOOKUP(K145,[3]Minimas!$G$15:$L$29,6),IF(AND(H145&gt;1998,H145&lt;2002),VLOOKUP(K145,[3]Minimas!$G$15:$L$29,5),IF(AND(H145&gt;2001,H145&lt;2004),VLOOKUP(K145,[3]Minimas!$G$15:$L$29,4),IF(AND(H145&gt;2003,H145&lt;2006),VLOOKUP(K145,[3]Minimas!$G$15:$L$29,3),VLOOKUP(K145,[3]Minimas!$G$15:$L$29,2)))))))</f>
        <v xml:space="preserve"> </v>
      </c>
      <c r="W145" s="361" t="str">
        <f t="shared" si="72"/>
        <v/>
      </c>
      <c r="X145" s="257"/>
      <c r="Y145" s="261"/>
      <c r="Z145" s="261"/>
      <c r="AA145" s="232"/>
      <c r="AB145" s="230" t="e">
        <f>T145-HLOOKUP(V145,[3]Minimas!$C$3:$CD$12,2,FALSE)</f>
        <v>#VALUE!</v>
      </c>
      <c r="AC145" s="230" t="e">
        <f>T145-HLOOKUP(V145,[3]Minimas!$C$3:$CD$12,3,FALSE)</f>
        <v>#VALUE!</v>
      </c>
      <c r="AD145" s="230" t="e">
        <f>T145-HLOOKUP(V145,[3]Minimas!$C$3:$CD$12,4,FALSE)</f>
        <v>#VALUE!</v>
      </c>
      <c r="AE145" s="230" t="e">
        <f>T145-HLOOKUP(V145,[3]Minimas!$C$3:$CD$12,5,FALSE)</f>
        <v>#VALUE!</v>
      </c>
      <c r="AF145" s="230" t="e">
        <f>T145-HLOOKUP(V145,[3]Minimas!$C$3:$CD$12,6,FALSE)</f>
        <v>#VALUE!</v>
      </c>
      <c r="AG145" s="230" t="e">
        <f>T145-HLOOKUP(V145,[3]Minimas!$C$3:$CD$12,7,FALSE)</f>
        <v>#VALUE!</v>
      </c>
      <c r="AH145" s="230" t="e">
        <f>T145-HLOOKUP(V145,[3]Minimas!$C$3:$CD$12,8,FALSE)</f>
        <v>#VALUE!</v>
      </c>
      <c r="AI145" s="230" t="e">
        <f>T145-HLOOKUP(V145,[3]Minimas!$C$3:$CD$12,9,FALSE)</f>
        <v>#VALUE!</v>
      </c>
      <c r="AJ145" s="230" t="e">
        <f>T145-HLOOKUP(V145,[3]Minimas!$C$3:$CD$12,10,FALSE)</f>
        <v>#VALUE!</v>
      </c>
      <c r="AK145" s="231" t="str">
        <f t="shared" si="73"/>
        <v xml:space="preserve"> </v>
      </c>
      <c r="AL145" s="232"/>
      <c r="AM145" s="232" t="str">
        <f t="shared" si="74"/>
        <v xml:space="preserve"> </v>
      </c>
      <c r="AN145" s="232" t="str">
        <f t="shared" si="75"/>
        <v xml:space="preserve"> </v>
      </c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  <c r="BF145" s="38"/>
      <c r="BG145" s="38"/>
      <c r="BH145" s="38"/>
      <c r="BI145" s="38"/>
      <c r="BJ145" s="38"/>
      <c r="BK145" s="38"/>
      <c r="BL145" s="38"/>
      <c r="BM145" s="38"/>
      <c r="BN145" s="38"/>
      <c r="BO145" s="38"/>
      <c r="BP145" s="38"/>
      <c r="BQ145" s="38"/>
      <c r="BR145" s="38"/>
      <c r="BS145" s="38"/>
      <c r="BT145" s="38"/>
      <c r="BU145" s="38"/>
      <c r="BV145" s="38"/>
      <c r="BW145" s="38"/>
      <c r="BX145" s="38"/>
      <c r="BY145" s="38"/>
      <c r="BZ145" s="38"/>
      <c r="CA145" s="38"/>
      <c r="CB145" s="38"/>
      <c r="CC145" s="38"/>
      <c r="CD145" s="38"/>
      <c r="CE145" s="38"/>
      <c r="CF145" s="38"/>
      <c r="CG145" s="38"/>
      <c r="CH145" s="38"/>
      <c r="CI145" s="38"/>
      <c r="CJ145" s="38"/>
      <c r="CK145" s="38"/>
      <c r="CL145" s="38"/>
      <c r="CM145" s="38"/>
      <c r="CN145" s="38"/>
      <c r="CO145" s="38"/>
      <c r="CP145" s="38"/>
      <c r="CQ145" s="38"/>
      <c r="CR145" s="38"/>
      <c r="CS145" s="38"/>
      <c r="CT145" s="38"/>
      <c r="CU145" s="38"/>
      <c r="CV145" s="38"/>
      <c r="CW145" s="38"/>
      <c r="CX145" s="38"/>
      <c r="CY145" s="38"/>
      <c r="CZ145" s="38"/>
      <c r="DA145" s="38"/>
      <c r="DB145" s="38"/>
      <c r="DC145" s="38"/>
      <c r="DD145" s="38"/>
      <c r="DE145" s="38"/>
      <c r="DF145" s="38"/>
      <c r="DG145" s="38"/>
      <c r="DH145" s="38"/>
      <c r="DI145" s="38"/>
      <c r="DJ145" s="38"/>
      <c r="DK145" s="38"/>
      <c r="DL145" s="38"/>
      <c r="DM145" s="38"/>
      <c r="DN145" s="38"/>
      <c r="DO145" s="38"/>
      <c r="DP145" s="38"/>
      <c r="DQ145" s="38"/>
      <c r="DR145" s="38"/>
      <c r="DS145" s="38"/>
      <c r="DT145" s="38"/>
    </row>
    <row r="146" spans="2:124" s="5" customFormat="1" ht="30" customHeight="1" x14ac:dyDescent="0.25">
      <c r="B146" s="355" t="s">
        <v>543</v>
      </c>
      <c r="C146" s="429"/>
      <c r="D146" s="430"/>
      <c r="E146" s="323"/>
      <c r="F146" s="319"/>
      <c r="G146" s="320"/>
      <c r="H146" s="305"/>
      <c r="I146" s="321"/>
      <c r="J146" s="431"/>
      <c r="K146" s="293"/>
      <c r="L146" s="300"/>
      <c r="M146" s="301"/>
      <c r="N146" s="301"/>
      <c r="O146" s="358" t="str">
        <f t="shared" si="68"/>
        <v/>
      </c>
      <c r="P146" s="300"/>
      <c r="Q146" s="301"/>
      <c r="R146" s="301"/>
      <c r="S146" s="358" t="str">
        <f t="shared" si="69"/>
        <v/>
      </c>
      <c r="T146" s="359" t="str">
        <f t="shared" si="70"/>
        <v/>
      </c>
      <c r="U146" s="360" t="str">
        <f t="shared" si="71"/>
        <v xml:space="preserve">   </v>
      </c>
      <c r="V146" s="360" t="str">
        <f>IF(E146=0," ",IF(E146="H",IF(H146&lt;1999,VLOOKUP(K146,[3]Minimas!$A$15:$F$29,6),IF(AND(H146&gt;1998,H146&lt;2002),VLOOKUP(K146,[3]Minimas!$A$15:$F$29,5),IF(AND(H146&gt;2001,H146&lt;2004),VLOOKUP(K146,[3]Minimas!$A$15:$F$29,4),IF(AND(H146&gt;2003,H146&lt;2006),VLOOKUP(K146,[3]Minimas!$A$15:$F$29,3),VLOOKUP(K146,[3]Minimas!$A$15:$F$29,2))))),IF(H146&lt;1999,VLOOKUP(K146,[3]Minimas!$G$15:$L$29,6),IF(AND(H146&gt;1998,H146&lt;2002),VLOOKUP(K146,[3]Minimas!$G$15:$L$29,5),IF(AND(H146&gt;2001,H146&lt;2004),VLOOKUP(K146,[3]Minimas!$G$15:$L$29,4),IF(AND(H146&gt;2003,H146&lt;2006),VLOOKUP(K146,[3]Minimas!$G$15:$L$29,3),VLOOKUP(K146,[3]Minimas!$G$15:$L$29,2)))))))</f>
        <v xml:space="preserve"> </v>
      </c>
      <c r="W146" s="361" t="str">
        <f t="shared" si="72"/>
        <v/>
      </c>
      <c r="X146" s="257"/>
      <c r="Y146" s="261"/>
      <c r="Z146" s="261"/>
      <c r="AA146" s="232"/>
      <c r="AB146" s="230" t="e">
        <f>T146-HLOOKUP(V146,[3]Minimas!$C$3:$CD$12,2,FALSE)</f>
        <v>#VALUE!</v>
      </c>
      <c r="AC146" s="230" t="e">
        <f>T146-HLOOKUP(V146,[3]Minimas!$C$3:$CD$12,3,FALSE)</f>
        <v>#VALUE!</v>
      </c>
      <c r="AD146" s="230" t="e">
        <f>T146-HLOOKUP(V146,[3]Minimas!$C$3:$CD$12,4,FALSE)</f>
        <v>#VALUE!</v>
      </c>
      <c r="AE146" s="230" t="e">
        <f>T146-HLOOKUP(V146,[3]Minimas!$C$3:$CD$12,5,FALSE)</f>
        <v>#VALUE!</v>
      </c>
      <c r="AF146" s="230" t="e">
        <f>T146-HLOOKUP(V146,[3]Minimas!$C$3:$CD$12,6,FALSE)</f>
        <v>#VALUE!</v>
      </c>
      <c r="AG146" s="230" t="e">
        <f>T146-HLOOKUP(V146,[3]Minimas!$C$3:$CD$12,7,FALSE)</f>
        <v>#VALUE!</v>
      </c>
      <c r="AH146" s="230" t="e">
        <f>T146-HLOOKUP(V146,[3]Minimas!$C$3:$CD$12,8,FALSE)</f>
        <v>#VALUE!</v>
      </c>
      <c r="AI146" s="230" t="e">
        <f>T146-HLOOKUP(V146,[3]Minimas!$C$3:$CD$12,9,FALSE)</f>
        <v>#VALUE!</v>
      </c>
      <c r="AJ146" s="230" t="e">
        <f>T146-HLOOKUP(V146,[3]Minimas!$C$3:$CD$12,10,FALSE)</f>
        <v>#VALUE!</v>
      </c>
      <c r="AK146" s="231" t="str">
        <f t="shared" si="73"/>
        <v xml:space="preserve"> </v>
      </c>
      <c r="AL146" s="232"/>
      <c r="AM146" s="232" t="str">
        <f t="shared" si="74"/>
        <v xml:space="preserve"> </v>
      </c>
      <c r="AN146" s="232" t="str">
        <f t="shared" si="75"/>
        <v xml:space="preserve"> </v>
      </c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  <c r="BF146" s="38"/>
      <c r="BG146" s="38"/>
      <c r="BH146" s="38"/>
      <c r="BI146" s="38"/>
      <c r="BJ146" s="38"/>
      <c r="BK146" s="38"/>
      <c r="BL146" s="38"/>
      <c r="BM146" s="38"/>
      <c r="BN146" s="38"/>
      <c r="BO146" s="38"/>
      <c r="BP146" s="38"/>
      <c r="BQ146" s="38"/>
      <c r="BR146" s="38"/>
      <c r="BS146" s="38"/>
      <c r="BT146" s="38"/>
      <c r="BU146" s="38"/>
      <c r="BV146" s="38"/>
      <c r="BW146" s="38"/>
      <c r="BX146" s="38"/>
      <c r="BY146" s="38"/>
      <c r="BZ146" s="38"/>
      <c r="CA146" s="38"/>
      <c r="CB146" s="38"/>
      <c r="CC146" s="38"/>
      <c r="CD146" s="38"/>
      <c r="CE146" s="38"/>
      <c r="CF146" s="38"/>
      <c r="CG146" s="38"/>
      <c r="CH146" s="38"/>
      <c r="CI146" s="38"/>
      <c r="CJ146" s="38"/>
      <c r="CK146" s="38"/>
      <c r="CL146" s="38"/>
      <c r="CM146" s="38"/>
      <c r="CN146" s="38"/>
      <c r="CO146" s="38"/>
      <c r="CP146" s="38"/>
      <c r="CQ146" s="38"/>
      <c r="CR146" s="38"/>
      <c r="CS146" s="38"/>
      <c r="CT146" s="38"/>
      <c r="CU146" s="38"/>
      <c r="CV146" s="38"/>
      <c r="CW146" s="38"/>
      <c r="CX146" s="38"/>
      <c r="CY146" s="38"/>
      <c r="CZ146" s="38"/>
      <c r="DA146" s="38"/>
      <c r="DB146" s="38"/>
      <c r="DC146" s="38"/>
      <c r="DD146" s="38"/>
      <c r="DE146" s="38"/>
      <c r="DF146" s="38"/>
      <c r="DG146" s="38"/>
      <c r="DH146" s="38"/>
      <c r="DI146" s="38"/>
      <c r="DJ146" s="38"/>
      <c r="DK146" s="38"/>
      <c r="DL146" s="38"/>
      <c r="DM146" s="38"/>
      <c r="DN146" s="38"/>
      <c r="DO146" s="38"/>
      <c r="DP146" s="38"/>
      <c r="DQ146" s="38"/>
      <c r="DR146" s="38"/>
      <c r="DS146" s="38"/>
      <c r="DT146" s="38"/>
    </row>
    <row r="147" spans="2:124" s="5" customFormat="1" ht="30" customHeight="1" x14ac:dyDescent="0.25">
      <c r="B147" s="355" t="s">
        <v>543</v>
      </c>
      <c r="C147" s="429"/>
      <c r="D147" s="430"/>
      <c r="E147" s="323"/>
      <c r="F147" s="319"/>
      <c r="G147" s="320"/>
      <c r="H147" s="305"/>
      <c r="I147" s="321"/>
      <c r="J147" s="431"/>
      <c r="K147" s="293"/>
      <c r="L147" s="300"/>
      <c r="M147" s="301"/>
      <c r="N147" s="301"/>
      <c r="O147" s="358" t="str">
        <f t="shared" si="68"/>
        <v/>
      </c>
      <c r="P147" s="300"/>
      <c r="Q147" s="301"/>
      <c r="R147" s="301"/>
      <c r="S147" s="358" t="str">
        <f t="shared" si="69"/>
        <v/>
      </c>
      <c r="T147" s="359" t="str">
        <f t="shared" si="70"/>
        <v/>
      </c>
      <c r="U147" s="360" t="str">
        <f t="shared" si="71"/>
        <v xml:space="preserve">   </v>
      </c>
      <c r="V147" s="360" t="str">
        <f>IF(E147=0," ",IF(E147="H",IF(H147&lt;1999,VLOOKUP(K147,[3]Minimas!$A$15:$F$29,6),IF(AND(H147&gt;1998,H147&lt;2002),VLOOKUP(K147,[3]Minimas!$A$15:$F$29,5),IF(AND(H147&gt;2001,H147&lt;2004),VLOOKUP(K147,[3]Minimas!$A$15:$F$29,4),IF(AND(H147&gt;2003,H147&lt;2006),VLOOKUP(K147,[3]Minimas!$A$15:$F$29,3),VLOOKUP(K147,[3]Minimas!$A$15:$F$29,2))))),IF(H147&lt;1999,VLOOKUP(K147,[3]Minimas!$G$15:$L$29,6),IF(AND(H147&gt;1998,H147&lt;2002),VLOOKUP(K147,[3]Minimas!$G$15:$L$29,5),IF(AND(H147&gt;2001,H147&lt;2004),VLOOKUP(K147,[3]Minimas!$G$15:$L$29,4),IF(AND(H147&gt;2003,H147&lt;2006),VLOOKUP(K147,[3]Minimas!$G$15:$L$29,3),VLOOKUP(K147,[3]Minimas!$G$15:$L$29,2)))))))</f>
        <v xml:space="preserve"> </v>
      </c>
      <c r="W147" s="361" t="str">
        <f t="shared" si="72"/>
        <v/>
      </c>
      <c r="X147" s="257"/>
      <c r="Y147" s="261"/>
      <c r="Z147" s="261"/>
      <c r="AA147" s="232"/>
      <c r="AB147" s="230" t="e">
        <f>T147-HLOOKUP(V147,[3]Minimas!$C$3:$CD$12,2,FALSE)</f>
        <v>#VALUE!</v>
      </c>
      <c r="AC147" s="230" t="e">
        <f>T147-HLOOKUP(V147,[3]Minimas!$C$3:$CD$12,3,FALSE)</f>
        <v>#VALUE!</v>
      </c>
      <c r="AD147" s="230" t="e">
        <f>T147-HLOOKUP(V147,[3]Minimas!$C$3:$CD$12,4,FALSE)</f>
        <v>#VALUE!</v>
      </c>
      <c r="AE147" s="230" t="e">
        <f>T147-HLOOKUP(V147,[3]Minimas!$C$3:$CD$12,5,FALSE)</f>
        <v>#VALUE!</v>
      </c>
      <c r="AF147" s="230" t="e">
        <f>T147-HLOOKUP(V147,[3]Minimas!$C$3:$CD$12,6,FALSE)</f>
        <v>#VALUE!</v>
      </c>
      <c r="AG147" s="230" t="e">
        <f>T147-HLOOKUP(V147,[3]Minimas!$C$3:$CD$12,7,FALSE)</f>
        <v>#VALUE!</v>
      </c>
      <c r="AH147" s="230" t="e">
        <f>T147-HLOOKUP(V147,[3]Minimas!$C$3:$CD$12,8,FALSE)</f>
        <v>#VALUE!</v>
      </c>
      <c r="AI147" s="230" t="e">
        <f>T147-HLOOKUP(V147,[3]Minimas!$C$3:$CD$12,9,FALSE)</f>
        <v>#VALUE!</v>
      </c>
      <c r="AJ147" s="230" t="e">
        <f>T147-HLOOKUP(V147,[3]Minimas!$C$3:$CD$12,10,FALSE)</f>
        <v>#VALUE!</v>
      </c>
      <c r="AK147" s="231" t="str">
        <f t="shared" si="73"/>
        <v xml:space="preserve"> </v>
      </c>
      <c r="AL147" s="232"/>
      <c r="AM147" s="232" t="str">
        <f t="shared" si="74"/>
        <v xml:space="preserve"> </v>
      </c>
      <c r="AN147" s="232" t="str">
        <f t="shared" si="75"/>
        <v xml:space="preserve"> </v>
      </c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  <c r="BF147" s="38"/>
      <c r="BG147" s="38"/>
      <c r="BH147" s="38"/>
      <c r="BI147" s="38"/>
      <c r="BJ147" s="38"/>
      <c r="BK147" s="38"/>
      <c r="BL147" s="38"/>
      <c r="BM147" s="38"/>
      <c r="BN147" s="38"/>
      <c r="BO147" s="38"/>
      <c r="BP147" s="38"/>
      <c r="BQ147" s="38"/>
      <c r="BR147" s="38"/>
      <c r="BS147" s="38"/>
      <c r="BT147" s="38"/>
      <c r="BU147" s="38"/>
      <c r="BV147" s="38"/>
      <c r="BW147" s="38"/>
      <c r="BX147" s="38"/>
      <c r="BY147" s="38"/>
      <c r="BZ147" s="38"/>
      <c r="CA147" s="38"/>
      <c r="CB147" s="38"/>
      <c r="CC147" s="38"/>
      <c r="CD147" s="38"/>
      <c r="CE147" s="38"/>
      <c r="CF147" s="38"/>
      <c r="CG147" s="38"/>
      <c r="CH147" s="38"/>
      <c r="CI147" s="38"/>
      <c r="CJ147" s="38"/>
      <c r="CK147" s="38"/>
      <c r="CL147" s="38"/>
      <c r="CM147" s="38"/>
      <c r="CN147" s="38"/>
      <c r="CO147" s="38"/>
      <c r="CP147" s="38"/>
      <c r="CQ147" s="38"/>
      <c r="CR147" s="38"/>
      <c r="CS147" s="38"/>
      <c r="CT147" s="38"/>
      <c r="CU147" s="38"/>
      <c r="CV147" s="38"/>
      <c r="CW147" s="38"/>
      <c r="CX147" s="38"/>
      <c r="CY147" s="38"/>
      <c r="CZ147" s="38"/>
      <c r="DA147" s="38"/>
      <c r="DB147" s="38"/>
      <c r="DC147" s="38"/>
      <c r="DD147" s="38"/>
      <c r="DE147" s="38"/>
      <c r="DF147" s="38"/>
      <c r="DG147" s="38"/>
      <c r="DH147" s="38"/>
      <c r="DI147" s="38"/>
      <c r="DJ147" s="38"/>
      <c r="DK147" s="38"/>
      <c r="DL147" s="38"/>
      <c r="DM147" s="38"/>
      <c r="DN147" s="38"/>
      <c r="DO147" s="38"/>
      <c r="DP147" s="38"/>
      <c r="DQ147" s="38"/>
      <c r="DR147" s="38"/>
      <c r="DS147" s="38"/>
      <c r="DT147" s="38"/>
    </row>
    <row r="148" spans="2:124" s="5" customFormat="1" ht="30" customHeight="1" x14ac:dyDescent="0.25">
      <c r="B148" s="355" t="s">
        <v>543</v>
      </c>
      <c r="C148" s="429"/>
      <c r="D148" s="430"/>
      <c r="E148" s="323"/>
      <c r="F148" s="319"/>
      <c r="G148" s="320"/>
      <c r="H148" s="305"/>
      <c r="I148" s="321"/>
      <c r="J148" s="431"/>
      <c r="K148" s="293"/>
      <c r="L148" s="300"/>
      <c r="M148" s="301"/>
      <c r="N148" s="301"/>
      <c r="O148" s="358" t="str">
        <f t="shared" si="68"/>
        <v/>
      </c>
      <c r="P148" s="300"/>
      <c r="Q148" s="301"/>
      <c r="R148" s="301"/>
      <c r="S148" s="358" t="str">
        <f t="shared" si="69"/>
        <v/>
      </c>
      <c r="T148" s="359" t="str">
        <f t="shared" si="70"/>
        <v/>
      </c>
      <c r="U148" s="360" t="str">
        <f t="shared" si="71"/>
        <v xml:space="preserve">   </v>
      </c>
      <c r="V148" s="360" t="str">
        <f>IF(E148=0," ",IF(E148="H",IF(H148&lt;1999,VLOOKUP(K148,[3]Minimas!$A$15:$F$29,6),IF(AND(H148&gt;1998,H148&lt;2002),VLOOKUP(K148,[3]Minimas!$A$15:$F$29,5),IF(AND(H148&gt;2001,H148&lt;2004),VLOOKUP(K148,[3]Minimas!$A$15:$F$29,4),IF(AND(H148&gt;2003,H148&lt;2006),VLOOKUP(K148,[3]Minimas!$A$15:$F$29,3),VLOOKUP(K148,[3]Minimas!$A$15:$F$29,2))))),IF(H148&lt;1999,VLOOKUP(K148,[3]Minimas!$G$15:$L$29,6),IF(AND(H148&gt;1998,H148&lt;2002),VLOOKUP(K148,[3]Minimas!$G$15:$L$29,5),IF(AND(H148&gt;2001,H148&lt;2004),VLOOKUP(K148,[3]Minimas!$G$15:$L$29,4),IF(AND(H148&gt;2003,H148&lt;2006),VLOOKUP(K148,[3]Minimas!$G$15:$L$29,3),VLOOKUP(K148,[3]Minimas!$G$15:$L$29,2)))))))</f>
        <v xml:space="preserve"> </v>
      </c>
      <c r="W148" s="361" t="str">
        <f t="shared" si="72"/>
        <v/>
      </c>
      <c r="X148" s="257"/>
      <c r="Y148" s="261"/>
      <c r="Z148" s="261"/>
      <c r="AA148" s="232"/>
      <c r="AB148" s="230" t="e">
        <f>T148-HLOOKUP(V148,[3]Minimas!$C$3:$CD$12,2,FALSE)</f>
        <v>#VALUE!</v>
      </c>
      <c r="AC148" s="230" t="e">
        <f>T148-HLOOKUP(V148,[3]Minimas!$C$3:$CD$12,3,FALSE)</f>
        <v>#VALUE!</v>
      </c>
      <c r="AD148" s="230" t="e">
        <f>T148-HLOOKUP(V148,[3]Minimas!$C$3:$CD$12,4,FALSE)</f>
        <v>#VALUE!</v>
      </c>
      <c r="AE148" s="230" t="e">
        <f>T148-HLOOKUP(V148,[3]Minimas!$C$3:$CD$12,5,FALSE)</f>
        <v>#VALUE!</v>
      </c>
      <c r="AF148" s="230" t="e">
        <f>T148-HLOOKUP(V148,[3]Minimas!$C$3:$CD$12,6,FALSE)</f>
        <v>#VALUE!</v>
      </c>
      <c r="AG148" s="230" t="e">
        <f>T148-HLOOKUP(V148,[3]Minimas!$C$3:$CD$12,7,FALSE)</f>
        <v>#VALUE!</v>
      </c>
      <c r="AH148" s="230" t="e">
        <f>T148-HLOOKUP(V148,[3]Minimas!$C$3:$CD$12,8,FALSE)</f>
        <v>#VALUE!</v>
      </c>
      <c r="AI148" s="230" t="e">
        <f>T148-HLOOKUP(V148,[3]Minimas!$C$3:$CD$12,9,FALSE)</f>
        <v>#VALUE!</v>
      </c>
      <c r="AJ148" s="230" t="e">
        <f>T148-HLOOKUP(V148,[3]Minimas!$C$3:$CD$12,10,FALSE)</f>
        <v>#VALUE!</v>
      </c>
      <c r="AK148" s="231" t="str">
        <f t="shared" si="73"/>
        <v xml:space="preserve"> </v>
      </c>
      <c r="AL148" s="232"/>
      <c r="AM148" s="232" t="str">
        <f t="shared" si="74"/>
        <v xml:space="preserve"> </v>
      </c>
      <c r="AN148" s="232" t="str">
        <f t="shared" si="75"/>
        <v xml:space="preserve"> </v>
      </c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  <c r="BF148" s="38"/>
      <c r="BG148" s="38"/>
      <c r="BH148" s="38"/>
      <c r="BI148" s="38"/>
      <c r="BJ148" s="38"/>
      <c r="BK148" s="38"/>
      <c r="BL148" s="38"/>
      <c r="BM148" s="38"/>
      <c r="BN148" s="38"/>
      <c r="BO148" s="38"/>
      <c r="BP148" s="38"/>
      <c r="BQ148" s="38"/>
      <c r="BR148" s="38"/>
      <c r="BS148" s="38"/>
      <c r="BT148" s="38"/>
      <c r="BU148" s="38"/>
      <c r="BV148" s="38"/>
      <c r="BW148" s="38"/>
      <c r="BX148" s="38"/>
      <c r="BY148" s="38"/>
      <c r="BZ148" s="38"/>
      <c r="CA148" s="38"/>
      <c r="CB148" s="38"/>
      <c r="CC148" s="38"/>
      <c r="CD148" s="38"/>
      <c r="CE148" s="38"/>
      <c r="CF148" s="38"/>
      <c r="CG148" s="38"/>
      <c r="CH148" s="38"/>
      <c r="CI148" s="38"/>
      <c r="CJ148" s="38"/>
      <c r="CK148" s="38"/>
      <c r="CL148" s="38"/>
      <c r="CM148" s="38"/>
      <c r="CN148" s="38"/>
      <c r="CO148" s="38"/>
      <c r="CP148" s="38"/>
      <c r="CQ148" s="38"/>
      <c r="CR148" s="38"/>
      <c r="CS148" s="38"/>
      <c r="CT148" s="38"/>
      <c r="CU148" s="38"/>
      <c r="CV148" s="38"/>
      <c r="CW148" s="38"/>
      <c r="CX148" s="38"/>
      <c r="CY148" s="38"/>
      <c r="CZ148" s="38"/>
      <c r="DA148" s="38"/>
      <c r="DB148" s="38"/>
      <c r="DC148" s="38"/>
      <c r="DD148" s="38"/>
      <c r="DE148" s="38"/>
      <c r="DF148" s="38"/>
      <c r="DG148" s="38"/>
      <c r="DH148" s="38"/>
      <c r="DI148" s="38"/>
      <c r="DJ148" s="38"/>
      <c r="DK148" s="38"/>
      <c r="DL148" s="38"/>
      <c r="DM148" s="38"/>
      <c r="DN148" s="38"/>
      <c r="DO148" s="38"/>
      <c r="DP148" s="38"/>
      <c r="DQ148" s="38"/>
      <c r="DR148" s="38"/>
      <c r="DS148" s="38"/>
      <c r="DT148" s="38"/>
    </row>
    <row r="149" spans="2:124" s="5" customFormat="1" ht="30" customHeight="1" x14ac:dyDescent="0.25">
      <c r="B149" s="355" t="s">
        <v>543</v>
      </c>
      <c r="C149" s="429"/>
      <c r="D149" s="430"/>
      <c r="E149" s="323"/>
      <c r="F149" s="319"/>
      <c r="G149" s="320"/>
      <c r="H149" s="305"/>
      <c r="I149" s="321"/>
      <c r="J149" s="431"/>
      <c r="K149" s="293"/>
      <c r="L149" s="300"/>
      <c r="M149" s="301"/>
      <c r="N149" s="301"/>
      <c r="O149" s="358" t="str">
        <f t="shared" si="68"/>
        <v/>
      </c>
      <c r="P149" s="300"/>
      <c r="Q149" s="301"/>
      <c r="R149" s="301"/>
      <c r="S149" s="358" t="str">
        <f t="shared" si="69"/>
        <v/>
      </c>
      <c r="T149" s="359" t="str">
        <f t="shared" si="70"/>
        <v/>
      </c>
      <c r="U149" s="360" t="str">
        <f t="shared" si="71"/>
        <v xml:space="preserve">   </v>
      </c>
      <c r="V149" s="360" t="str">
        <f>IF(E149=0," ",IF(E149="H",IF(H149&lt;1999,VLOOKUP(K149,[3]Minimas!$A$15:$F$29,6),IF(AND(H149&gt;1998,H149&lt;2002),VLOOKUP(K149,[3]Minimas!$A$15:$F$29,5),IF(AND(H149&gt;2001,H149&lt;2004),VLOOKUP(K149,[3]Minimas!$A$15:$F$29,4),IF(AND(H149&gt;2003,H149&lt;2006),VLOOKUP(K149,[3]Minimas!$A$15:$F$29,3),VLOOKUP(K149,[3]Minimas!$A$15:$F$29,2))))),IF(H149&lt;1999,VLOOKUP(K149,[3]Minimas!$G$15:$L$29,6),IF(AND(H149&gt;1998,H149&lt;2002),VLOOKUP(K149,[3]Minimas!$G$15:$L$29,5),IF(AND(H149&gt;2001,H149&lt;2004),VLOOKUP(K149,[3]Minimas!$G$15:$L$29,4),IF(AND(H149&gt;2003,H149&lt;2006),VLOOKUP(K149,[3]Minimas!$G$15:$L$29,3),VLOOKUP(K149,[3]Minimas!$G$15:$L$29,2)))))))</f>
        <v xml:space="preserve"> </v>
      </c>
      <c r="W149" s="361" t="str">
        <f t="shared" si="72"/>
        <v/>
      </c>
      <c r="X149" s="257"/>
      <c r="Y149" s="261"/>
      <c r="Z149" s="261"/>
      <c r="AA149" s="232"/>
      <c r="AB149" s="230" t="e">
        <f>T149-HLOOKUP(V149,[3]Minimas!$C$3:$CD$12,2,FALSE)</f>
        <v>#VALUE!</v>
      </c>
      <c r="AC149" s="230" t="e">
        <f>T149-HLOOKUP(V149,[3]Minimas!$C$3:$CD$12,3,FALSE)</f>
        <v>#VALUE!</v>
      </c>
      <c r="AD149" s="230" t="e">
        <f>T149-HLOOKUP(V149,[3]Minimas!$C$3:$CD$12,4,FALSE)</f>
        <v>#VALUE!</v>
      </c>
      <c r="AE149" s="230" t="e">
        <f>T149-HLOOKUP(V149,[3]Minimas!$C$3:$CD$12,5,FALSE)</f>
        <v>#VALUE!</v>
      </c>
      <c r="AF149" s="230" t="e">
        <f>T149-HLOOKUP(V149,[3]Minimas!$C$3:$CD$12,6,FALSE)</f>
        <v>#VALUE!</v>
      </c>
      <c r="AG149" s="230" t="e">
        <f>T149-HLOOKUP(V149,[3]Minimas!$C$3:$CD$12,7,FALSE)</f>
        <v>#VALUE!</v>
      </c>
      <c r="AH149" s="230" t="e">
        <f>T149-HLOOKUP(V149,[3]Minimas!$C$3:$CD$12,8,FALSE)</f>
        <v>#VALUE!</v>
      </c>
      <c r="AI149" s="230" t="e">
        <f>T149-HLOOKUP(V149,[3]Minimas!$C$3:$CD$12,9,FALSE)</f>
        <v>#VALUE!</v>
      </c>
      <c r="AJ149" s="230" t="e">
        <f>T149-HLOOKUP(V149,[3]Minimas!$C$3:$CD$12,10,FALSE)</f>
        <v>#VALUE!</v>
      </c>
      <c r="AK149" s="231" t="str">
        <f t="shared" si="73"/>
        <v xml:space="preserve"> </v>
      </c>
      <c r="AL149" s="232"/>
      <c r="AM149" s="232" t="str">
        <f t="shared" si="74"/>
        <v xml:space="preserve"> </v>
      </c>
      <c r="AN149" s="232" t="str">
        <f t="shared" si="75"/>
        <v xml:space="preserve"> </v>
      </c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  <c r="BF149" s="38"/>
      <c r="BG149" s="38"/>
      <c r="BH149" s="38"/>
      <c r="BI149" s="38"/>
      <c r="BJ149" s="38"/>
      <c r="BK149" s="38"/>
      <c r="BL149" s="38"/>
      <c r="BM149" s="38"/>
      <c r="BN149" s="38"/>
      <c r="BO149" s="38"/>
      <c r="BP149" s="38"/>
      <c r="BQ149" s="38"/>
      <c r="BR149" s="38"/>
      <c r="BS149" s="38"/>
      <c r="BT149" s="38"/>
      <c r="BU149" s="38"/>
      <c r="BV149" s="38"/>
      <c r="BW149" s="38"/>
      <c r="BX149" s="38"/>
      <c r="BY149" s="38"/>
      <c r="BZ149" s="38"/>
      <c r="CA149" s="38"/>
      <c r="CB149" s="38"/>
      <c r="CC149" s="38"/>
      <c r="CD149" s="38"/>
      <c r="CE149" s="38"/>
      <c r="CF149" s="38"/>
      <c r="CG149" s="38"/>
      <c r="CH149" s="38"/>
      <c r="CI149" s="38"/>
      <c r="CJ149" s="38"/>
      <c r="CK149" s="38"/>
      <c r="CL149" s="38"/>
      <c r="CM149" s="38"/>
      <c r="CN149" s="38"/>
      <c r="CO149" s="38"/>
      <c r="CP149" s="38"/>
      <c r="CQ149" s="38"/>
      <c r="CR149" s="38"/>
      <c r="CS149" s="38"/>
      <c r="CT149" s="38"/>
      <c r="CU149" s="38"/>
      <c r="CV149" s="38"/>
      <c r="CW149" s="38"/>
      <c r="CX149" s="38"/>
      <c r="CY149" s="38"/>
      <c r="CZ149" s="38"/>
      <c r="DA149" s="38"/>
      <c r="DB149" s="38"/>
      <c r="DC149" s="38"/>
      <c r="DD149" s="38"/>
      <c r="DE149" s="38"/>
      <c r="DF149" s="38"/>
      <c r="DG149" s="38"/>
      <c r="DH149" s="38"/>
      <c r="DI149" s="38"/>
      <c r="DJ149" s="38"/>
      <c r="DK149" s="38"/>
      <c r="DL149" s="38"/>
      <c r="DM149" s="38"/>
      <c r="DN149" s="38"/>
      <c r="DO149" s="38"/>
      <c r="DP149" s="38"/>
      <c r="DQ149" s="38"/>
      <c r="DR149" s="38"/>
      <c r="DS149" s="38"/>
      <c r="DT149" s="38"/>
    </row>
    <row r="150" spans="2:124" s="5" customFormat="1" ht="30" customHeight="1" x14ac:dyDescent="0.25">
      <c r="B150" s="355" t="s">
        <v>543</v>
      </c>
      <c r="C150" s="429"/>
      <c r="D150" s="430"/>
      <c r="E150" s="323"/>
      <c r="F150" s="319"/>
      <c r="G150" s="320"/>
      <c r="H150" s="305"/>
      <c r="I150" s="321"/>
      <c r="J150" s="431"/>
      <c r="K150" s="293"/>
      <c r="L150" s="300"/>
      <c r="M150" s="301"/>
      <c r="N150" s="301"/>
      <c r="O150" s="358" t="str">
        <f t="shared" si="68"/>
        <v/>
      </c>
      <c r="P150" s="300"/>
      <c r="Q150" s="301"/>
      <c r="R150" s="301"/>
      <c r="S150" s="358" t="str">
        <f t="shared" si="69"/>
        <v/>
      </c>
      <c r="T150" s="359" t="str">
        <f t="shared" si="70"/>
        <v/>
      </c>
      <c r="U150" s="360" t="str">
        <f t="shared" si="71"/>
        <v xml:space="preserve">   </v>
      </c>
      <c r="V150" s="360" t="str">
        <f>IF(E150=0," ",IF(E150="H",IF(H150&lt;1999,VLOOKUP(K150,[3]Minimas!$A$15:$F$29,6),IF(AND(H150&gt;1998,H150&lt;2002),VLOOKUP(K150,[3]Minimas!$A$15:$F$29,5),IF(AND(H150&gt;2001,H150&lt;2004),VLOOKUP(K150,[3]Minimas!$A$15:$F$29,4),IF(AND(H150&gt;2003,H150&lt;2006),VLOOKUP(K150,[3]Minimas!$A$15:$F$29,3),VLOOKUP(K150,[3]Minimas!$A$15:$F$29,2))))),IF(H150&lt;1999,VLOOKUP(K150,[3]Minimas!$G$15:$L$29,6),IF(AND(H150&gt;1998,H150&lt;2002),VLOOKUP(K150,[3]Minimas!$G$15:$L$29,5),IF(AND(H150&gt;2001,H150&lt;2004),VLOOKUP(K150,[3]Minimas!$G$15:$L$29,4),IF(AND(H150&gt;2003,H150&lt;2006),VLOOKUP(K150,[3]Minimas!$G$15:$L$29,3),VLOOKUP(K150,[3]Minimas!$G$15:$L$29,2)))))))</f>
        <v xml:space="preserve"> </v>
      </c>
      <c r="W150" s="361" t="str">
        <f t="shared" si="72"/>
        <v/>
      </c>
      <c r="X150" s="257"/>
      <c r="Y150" s="261"/>
      <c r="Z150" s="261"/>
      <c r="AA150" s="232"/>
      <c r="AB150" s="230" t="e">
        <f>T150-HLOOKUP(V150,[3]Minimas!$C$3:$CD$12,2,FALSE)</f>
        <v>#VALUE!</v>
      </c>
      <c r="AC150" s="230" t="e">
        <f>T150-HLOOKUP(V150,[3]Minimas!$C$3:$CD$12,3,FALSE)</f>
        <v>#VALUE!</v>
      </c>
      <c r="AD150" s="230" t="e">
        <f>T150-HLOOKUP(V150,[3]Minimas!$C$3:$CD$12,4,FALSE)</f>
        <v>#VALUE!</v>
      </c>
      <c r="AE150" s="230" t="e">
        <f>T150-HLOOKUP(V150,[3]Minimas!$C$3:$CD$12,5,FALSE)</f>
        <v>#VALUE!</v>
      </c>
      <c r="AF150" s="230" t="e">
        <f>T150-HLOOKUP(V150,[3]Minimas!$C$3:$CD$12,6,FALSE)</f>
        <v>#VALUE!</v>
      </c>
      <c r="AG150" s="230" t="e">
        <f>T150-HLOOKUP(V150,[3]Minimas!$C$3:$CD$12,7,FALSE)</f>
        <v>#VALUE!</v>
      </c>
      <c r="AH150" s="230" t="e">
        <f>T150-HLOOKUP(V150,[3]Minimas!$C$3:$CD$12,8,FALSE)</f>
        <v>#VALUE!</v>
      </c>
      <c r="AI150" s="230" t="e">
        <f>T150-HLOOKUP(V150,[3]Minimas!$C$3:$CD$12,9,FALSE)</f>
        <v>#VALUE!</v>
      </c>
      <c r="AJ150" s="230" t="e">
        <f>T150-HLOOKUP(V150,[3]Minimas!$C$3:$CD$12,10,FALSE)</f>
        <v>#VALUE!</v>
      </c>
      <c r="AK150" s="231" t="str">
        <f t="shared" si="73"/>
        <v xml:space="preserve"> </v>
      </c>
      <c r="AL150" s="232"/>
      <c r="AM150" s="232" t="str">
        <f t="shared" si="74"/>
        <v xml:space="preserve"> </v>
      </c>
      <c r="AN150" s="232" t="str">
        <f t="shared" si="75"/>
        <v xml:space="preserve"> </v>
      </c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  <c r="BF150" s="38"/>
      <c r="BG150" s="38"/>
      <c r="BH150" s="38"/>
      <c r="BI150" s="38"/>
      <c r="BJ150" s="38"/>
      <c r="BK150" s="38"/>
      <c r="BL150" s="38"/>
      <c r="BM150" s="38"/>
      <c r="BN150" s="38"/>
      <c r="BO150" s="38"/>
      <c r="BP150" s="38"/>
      <c r="BQ150" s="38"/>
      <c r="BR150" s="38"/>
      <c r="BS150" s="38"/>
      <c r="BT150" s="38"/>
      <c r="BU150" s="38"/>
      <c r="BV150" s="38"/>
      <c r="BW150" s="38"/>
      <c r="BX150" s="38"/>
      <c r="BY150" s="38"/>
      <c r="BZ150" s="38"/>
      <c r="CA150" s="38"/>
      <c r="CB150" s="38"/>
      <c r="CC150" s="38"/>
      <c r="CD150" s="38"/>
      <c r="CE150" s="38"/>
      <c r="CF150" s="38"/>
      <c r="CG150" s="38"/>
      <c r="CH150" s="38"/>
      <c r="CI150" s="38"/>
      <c r="CJ150" s="38"/>
      <c r="CK150" s="38"/>
      <c r="CL150" s="38"/>
      <c r="CM150" s="38"/>
      <c r="CN150" s="38"/>
      <c r="CO150" s="38"/>
      <c r="CP150" s="38"/>
      <c r="CQ150" s="38"/>
      <c r="CR150" s="38"/>
      <c r="CS150" s="38"/>
      <c r="CT150" s="38"/>
      <c r="CU150" s="38"/>
      <c r="CV150" s="38"/>
      <c r="CW150" s="38"/>
      <c r="CX150" s="38"/>
      <c r="CY150" s="38"/>
      <c r="CZ150" s="38"/>
      <c r="DA150" s="38"/>
      <c r="DB150" s="38"/>
      <c r="DC150" s="38"/>
      <c r="DD150" s="38"/>
      <c r="DE150" s="38"/>
      <c r="DF150" s="38"/>
      <c r="DG150" s="38"/>
      <c r="DH150" s="38"/>
      <c r="DI150" s="38"/>
      <c r="DJ150" s="38"/>
      <c r="DK150" s="38"/>
      <c r="DL150" s="38"/>
      <c r="DM150" s="38"/>
      <c r="DN150" s="38"/>
      <c r="DO150" s="38"/>
      <c r="DP150" s="38"/>
      <c r="DQ150" s="38"/>
      <c r="DR150" s="38"/>
      <c r="DS150" s="38"/>
      <c r="DT150" s="38"/>
    </row>
    <row r="151" spans="2:124" s="5" customFormat="1" ht="30" customHeight="1" x14ac:dyDescent="0.25">
      <c r="B151" s="355" t="s">
        <v>543</v>
      </c>
      <c r="C151" s="429"/>
      <c r="D151" s="430"/>
      <c r="E151" s="323"/>
      <c r="F151" s="319"/>
      <c r="G151" s="320"/>
      <c r="H151" s="305"/>
      <c r="I151" s="321"/>
      <c r="J151" s="431"/>
      <c r="K151" s="293"/>
      <c r="L151" s="300"/>
      <c r="M151" s="301"/>
      <c r="N151" s="301"/>
      <c r="O151" s="358" t="str">
        <f t="shared" si="68"/>
        <v/>
      </c>
      <c r="P151" s="300"/>
      <c r="Q151" s="301"/>
      <c r="R151" s="301"/>
      <c r="S151" s="358" t="str">
        <f t="shared" si="69"/>
        <v/>
      </c>
      <c r="T151" s="359" t="str">
        <f t="shared" si="70"/>
        <v/>
      </c>
      <c r="U151" s="360" t="str">
        <f t="shared" si="71"/>
        <v xml:space="preserve">   </v>
      </c>
      <c r="V151" s="360" t="str">
        <f>IF(E151=0," ",IF(E151="H",IF(H151&lt;1999,VLOOKUP(K151,[3]Minimas!$A$15:$F$29,6),IF(AND(H151&gt;1998,H151&lt;2002),VLOOKUP(K151,[3]Minimas!$A$15:$F$29,5),IF(AND(H151&gt;2001,H151&lt;2004),VLOOKUP(K151,[3]Minimas!$A$15:$F$29,4),IF(AND(H151&gt;2003,H151&lt;2006),VLOOKUP(K151,[3]Minimas!$A$15:$F$29,3),VLOOKUP(K151,[3]Minimas!$A$15:$F$29,2))))),IF(H151&lt;1999,VLOOKUP(K151,[3]Minimas!$G$15:$L$29,6),IF(AND(H151&gt;1998,H151&lt;2002),VLOOKUP(K151,[3]Minimas!$G$15:$L$29,5),IF(AND(H151&gt;2001,H151&lt;2004),VLOOKUP(K151,[3]Minimas!$G$15:$L$29,4),IF(AND(H151&gt;2003,H151&lt;2006),VLOOKUP(K151,[3]Minimas!$G$15:$L$29,3),VLOOKUP(K151,[3]Minimas!$G$15:$L$29,2)))))))</f>
        <v xml:space="preserve"> </v>
      </c>
      <c r="W151" s="361" t="str">
        <f t="shared" si="72"/>
        <v/>
      </c>
      <c r="X151" s="257"/>
      <c r="Y151" s="261"/>
      <c r="Z151" s="261"/>
      <c r="AA151" s="232"/>
      <c r="AB151" s="230" t="e">
        <f>T151-HLOOKUP(V151,[3]Minimas!$C$3:$CD$12,2,FALSE)</f>
        <v>#VALUE!</v>
      </c>
      <c r="AC151" s="230" t="e">
        <f>T151-HLOOKUP(V151,[3]Minimas!$C$3:$CD$12,3,FALSE)</f>
        <v>#VALUE!</v>
      </c>
      <c r="AD151" s="230" t="e">
        <f>T151-HLOOKUP(V151,[3]Minimas!$C$3:$CD$12,4,FALSE)</f>
        <v>#VALUE!</v>
      </c>
      <c r="AE151" s="230" t="e">
        <f>T151-HLOOKUP(V151,[3]Minimas!$C$3:$CD$12,5,FALSE)</f>
        <v>#VALUE!</v>
      </c>
      <c r="AF151" s="230" t="e">
        <f>T151-HLOOKUP(V151,[3]Minimas!$C$3:$CD$12,6,FALSE)</f>
        <v>#VALUE!</v>
      </c>
      <c r="AG151" s="230" t="e">
        <f>T151-HLOOKUP(V151,[3]Minimas!$C$3:$CD$12,7,FALSE)</f>
        <v>#VALUE!</v>
      </c>
      <c r="AH151" s="230" t="e">
        <f>T151-HLOOKUP(V151,[3]Minimas!$C$3:$CD$12,8,FALSE)</f>
        <v>#VALUE!</v>
      </c>
      <c r="AI151" s="230" t="e">
        <f>T151-HLOOKUP(V151,[3]Minimas!$C$3:$CD$12,9,FALSE)</f>
        <v>#VALUE!</v>
      </c>
      <c r="AJ151" s="230" t="e">
        <f>T151-HLOOKUP(V151,[3]Minimas!$C$3:$CD$12,10,FALSE)</f>
        <v>#VALUE!</v>
      </c>
      <c r="AK151" s="231" t="str">
        <f t="shared" si="73"/>
        <v xml:space="preserve"> </v>
      </c>
      <c r="AL151" s="232"/>
      <c r="AM151" s="232" t="str">
        <f t="shared" si="74"/>
        <v xml:space="preserve"> </v>
      </c>
      <c r="AN151" s="232" t="str">
        <f t="shared" si="75"/>
        <v xml:space="preserve"> </v>
      </c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  <c r="BF151" s="38"/>
      <c r="BG151" s="38"/>
      <c r="BH151" s="38"/>
      <c r="BI151" s="38"/>
      <c r="BJ151" s="38"/>
      <c r="BK151" s="38"/>
      <c r="BL151" s="38"/>
      <c r="BM151" s="38"/>
      <c r="BN151" s="38"/>
      <c r="BO151" s="38"/>
      <c r="BP151" s="38"/>
      <c r="BQ151" s="38"/>
      <c r="BR151" s="38"/>
      <c r="BS151" s="38"/>
      <c r="BT151" s="38"/>
      <c r="BU151" s="38"/>
      <c r="BV151" s="38"/>
      <c r="BW151" s="38"/>
      <c r="BX151" s="38"/>
      <c r="BY151" s="38"/>
      <c r="BZ151" s="38"/>
      <c r="CA151" s="38"/>
      <c r="CB151" s="38"/>
      <c r="CC151" s="38"/>
      <c r="CD151" s="38"/>
      <c r="CE151" s="38"/>
      <c r="CF151" s="38"/>
      <c r="CG151" s="38"/>
      <c r="CH151" s="38"/>
      <c r="CI151" s="38"/>
      <c r="CJ151" s="38"/>
      <c r="CK151" s="38"/>
      <c r="CL151" s="38"/>
      <c r="CM151" s="38"/>
      <c r="CN151" s="38"/>
      <c r="CO151" s="38"/>
      <c r="CP151" s="38"/>
      <c r="CQ151" s="38"/>
      <c r="CR151" s="38"/>
      <c r="CS151" s="38"/>
      <c r="CT151" s="38"/>
      <c r="CU151" s="38"/>
      <c r="CV151" s="38"/>
      <c r="CW151" s="38"/>
      <c r="CX151" s="38"/>
      <c r="CY151" s="38"/>
      <c r="CZ151" s="38"/>
      <c r="DA151" s="38"/>
      <c r="DB151" s="38"/>
      <c r="DC151" s="38"/>
      <c r="DD151" s="38"/>
      <c r="DE151" s="38"/>
      <c r="DF151" s="38"/>
      <c r="DG151" s="38"/>
      <c r="DH151" s="38"/>
      <c r="DI151" s="38"/>
      <c r="DJ151" s="38"/>
      <c r="DK151" s="38"/>
      <c r="DL151" s="38"/>
      <c r="DM151" s="38"/>
      <c r="DN151" s="38"/>
      <c r="DO151" s="38"/>
      <c r="DP151" s="38"/>
      <c r="DQ151" s="38"/>
      <c r="DR151" s="38"/>
      <c r="DS151" s="38"/>
      <c r="DT151" s="38"/>
    </row>
    <row r="152" spans="2:124" s="5" customFormat="1" ht="30" customHeight="1" x14ac:dyDescent="0.25">
      <c r="B152" s="355" t="s">
        <v>543</v>
      </c>
      <c r="C152" s="429"/>
      <c r="D152" s="430"/>
      <c r="E152" s="323"/>
      <c r="F152" s="319"/>
      <c r="G152" s="320"/>
      <c r="H152" s="305"/>
      <c r="I152" s="321"/>
      <c r="J152" s="431"/>
      <c r="K152" s="293"/>
      <c r="L152" s="300"/>
      <c r="M152" s="301"/>
      <c r="N152" s="301"/>
      <c r="O152" s="358" t="str">
        <f t="shared" si="68"/>
        <v/>
      </c>
      <c r="P152" s="300"/>
      <c r="Q152" s="301"/>
      <c r="R152" s="301"/>
      <c r="S152" s="358" t="str">
        <f t="shared" si="69"/>
        <v/>
      </c>
      <c r="T152" s="359" t="str">
        <f t="shared" si="70"/>
        <v/>
      </c>
      <c r="U152" s="360" t="str">
        <f t="shared" si="71"/>
        <v xml:space="preserve">   </v>
      </c>
      <c r="V152" s="360" t="str">
        <f>IF(E152=0," ",IF(E152="H",IF(H152&lt;1999,VLOOKUP(K152,[3]Minimas!$A$15:$F$29,6),IF(AND(H152&gt;1998,H152&lt;2002),VLOOKUP(K152,[3]Minimas!$A$15:$F$29,5),IF(AND(H152&gt;2001,H152&lt;2004),VLOOKUP(K152,[3]Minimas!$A$15:$F$29,4),IF(AND(H152&gt;2003,H152&lt;2006),VLOOKUP(K152,[3]Minimas!$A$15:$F$29,3),VLOOKUP(K152,[3]Minimas!$A$15:$F$29,2))))),IF(H152&lt;1999,VLOOKUP(K152,[3]Minimas!$G$15:$L$29,6),IF(AND(H152&gt;1998,H152&lt;2002),VLOOKUP(K152,[3]Minimas!$G$15:$L$29,5),IF(AND(H152&gt;2001,H152&lt;2004),VLOOKUP(K152,[3]Minimas!$G$15:$L$29,4),IF(AND(H152&gt;2003,H152&lt;2006),VLOOKUP(K152,[3]Minimas!$G$15:$L$29,3),VLOOKUP(K152,[3]Minimas!$G$15:$L$29,2)))))))</f>
        <v xml:space="preserve"> </v>
      </c>
      <c r="W152" s="361" t="str">
        <f t="shared" si="72"/>
        <v/>
      </c>
      <c r="X152" s="257"/>
      <c r="Y152" s="261"/>
      <c r="Z152" s="261"/>
      <c r="AA152" s="232"/>
      <c r="AB152" s="230" t="e">
        <f>T152-HLOOKUP(V152,[3]Minimas!$C$3:$CD$12,2,FALSE)</f>
        <v>#VALUE!</v>
      </c>
      <c r="AC152" s="230" t="e">
        <f>T152-HLOOKUP(V152,[3]Minimas!$C$3:$CD$12,3,FALSE)</f>
        <v>#VALUE!</v>
      </c>
      <c r="AD152" s="230" t="e">
        <f>T152-HLOOKUP(V152,[3]Minimas!$C$3:$CD$12,4,FALSE)</f>
        <v>#VALUE!</v>
      </c>
      <c r="AE152" s="230" t="e">
        <f>T152-HLOOKUP(V152,[3]Minimas!$C$3:$CD$12,5,FALSE)</f>
        <v>#VALUE!</v>
      </c>
      <c r="AF152" s="230" t="e">
        <f>T152-HLOOKUP(V152,[3]Minimas!$C$3:$CD$12,6,FALSE)</f>
        <v>#VALUE!</v>
      </c>
      <c r="AG152" s="230" t="e">
        <f>T152-HLOOKUP(V152,[3]Minimas!$C$3:$CD$12,7,FALSE)</f>
        <v>#VALUE!</v>
      </c>
      <c r="AH152" s="230" t="e">
        <f>T152-HLOOKUP(V152,[3]Minimas!$C$3:$CD$12,8,FALSE)</f>
        <v>#VALUE!</v>
      </c>
      <c r="AI152" s="230" t="e">
        <f>T152-HLOOKUP(V152,[3]Minimas!$C$3:$CD$12,9,FALSE)</f>
        <v>#VALUE!</v>
      </c>
      <c r="AJ152" s="230" t="e">
        <f>T152-HLOOKUP(V152,[3]Minimas!$C$3:$CD$12,10,FALSE)</f>
        <v>#VALUE!</v>
      </c>
      <c r="AK152" s="231" t="str">
        <f t="shared" si="73"/>
        <v xml:space="preserve"> </v>
      </c>
      <c r="AL152" s="232"/>
      <c r="AM152" s="232" t="str">
        <f t="shared" si="74"/>
        <v xml:space="preserve"> </v>
      </c>
      <c r="AN152" s="232" t="str">
        <f t="shared" si="75"/>
        <v xml:space="preserve"> </v>
      </c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  <c r="BF152" s="38"/>
      <c r="BG152" s="38"/>
      <c r="BH152" s="38"/>
      <c r="BI152" s="38"/>
      <c r="BJ152" s="38"/>
      <c r="BK152" s="38"/>
      <c r="BL152" s="38"/>
      <c r="BM152" s="38"/>
      <c r="BN152" s="38"/>
      <c r="BO152" s="38"/>
      <c r="BP152" s="38"/>
      <c r="BQ152" s="38"/>
      <c r="BR152" s="38"/>
      <c r="BS152" s="38"/>
      <c r="BT152" s="38"/>
      <c r="BU152" s="38"/>
      <c r="BV152" s="38"/>
      <c r="BW152" s="38"/>
      <c r="BX152" s="38"/>
      <c r="BY152" s="38"/>
      <c r="BZ152" s="38"/>
      <c r="CA152" s="38"/>
      <c r="CB152" s="38"/>
      <c r="CC152" s="38"/>
      <c r="CD152" s="38"/>
      <c r="CE152" s="38"/>
      <c r="CF152" s="38"/>
      <c r="CG152" s="38"/>
      <c r="CH152" s="38"/>
      <c r="CI152" s="38"/>
      <c r="CJ152" s="38"/>
      <c r="CK152" s="38"/>
      <c r="CL152" s="38"/>
      <c r="CM152" s="38"/>
      <c r="CN152" s="38"/>
      <c r="CO152" s="38"/>
      <c r="CP152" s="38"/>
      <c r="CQ152" s="38"/>
      <c r="CR152" s="38"/>
      <c r="CS152" s="38"/>
      <c r="CT152" s="38"/>
      <c r="CU152" s="38"/>
      <c r="CV152" s="38"/>
      <c r="CW152" s="38"/>
      <c r="CX152" s="38"/>
      <c r="CY152" s="38"/>
      <c r="CZ152" s="38"/>
      <c r="DA152" s="38"/>
      <c r="DB152" s="38"/>
      <c r="DC152" s="38"/>
      <c r="DD152" s="38"/>
      <c r="DE152" s="38"/>
      <c r="DF152" s="38"/>
      <c r="DG152" s="38"/>
      <c r="DH152" s="38"/>
      <c r="DI152" s="38"/>
      <c r="DJ152" s="38"/>
      <c r="DK152" s="38"/>
      <c r="DL152" s="38"/>
      <c r="DM152" s="38"/>
      <c r="DN152" s="38"/>
      <c r="DO152" s="38"/>
      <c r="DP152" s="38"/>
      <c r="DQ152" s="38"/>
      <c r="DR152" s="38"/>
      <c r="DS152" s="38"/>
      <c r="DT152" s="38"/>
    </row>
    <row r="153" spans="2:124" s="5" customFormat="1" ht="30" customHeight="1" x14ac:dyDescent="0.25">
      <c r="B153" s="355" t="s">
        <v>543</v>
      </c>
      <c r="C153" s="429"/>
      <c r="D153" s="430"/>
      <c r="E153" s="323"/>
      <c r="F153" s="319"/>
      <c r="G153" s="320"/>
      <c r="H153" s="305"/>
      <c r="I153" s="321"/>
      <c r="J153" s="431"/>
      <c r="K153" s="293"/>
      <c r="L153" s="300"/>
      <c r="M153" s="301"/>
      <c r="N153" s="301"/>
      <c r="O153" s="358" t="str">
        <f t="shared" si="68"/>
        <v/>
      </c>
      <c r="P153" s="300"/>
      <c r="Q153" s="301"/>
      <c r="R153" s="301"/>
      <c r="S153" s="358" t="str">
        <f t="shared" si="69"/>
        <v/>
      </c>
      <c r="T153" s="359" t="str">
        <f t="shared" si="70"/>
        <v/>
      </c>
      <c r="U153" s="360" t="str">
        <f t="shared" si="71"/>
        <v xml:space="preserve">   </v>
      </c>
      <c r="V153" s="360" t="str">
        <f>IF(E153=0," ",IF(E153="H",IF(H153&lt;1999,VLOOKUP(K153,[3]Minimas!$A$15:$F$29,6),IF(AND(H153&gt;1998,H153&lt;2002),VLOOKUP(K153,[3]Minimas!$A$15:$F$29,5),IF(AND(H153&gt;2001,H153&lt;2004),VLOOKUP(K153,[3]Minimas!$A$15:$F$29,4),IF(AND(H153&gt;2003,H153&lt;2006),VLOOKUP(K153,[3]Minimas!$A$15:$F$29,3),VLOOKUP(K153,[3]Minimas!$A$15:$F$29,2))))),IF(H153&lt;1999,VLOOKUP(K153,[3]Minimas!$G$15:$L$29,6),IF(AND(H153&gt;1998,H153&lt;2002),VLOOKUP(K153,[3]Minimas!$G$15:$L$29,5),IF(AND(H153&gt;2001,H153&lt;2004),VLOOKUP(K153,[3]Minimas!$G$15:$L$29,4),IF(AND(H153&gt;2003,H153&lt;2006),VLOOKUP(K153,[3]Minimas!$G$15:$L$29,3),VLOOKUP(K153,[3]Minimas!$G$15:$L$29,2)))))))</f>
        <v xml:space="preserve"> </v>
      </c>
      <c r="W153" s="361" t="str">
        <f t="shared" si="72"/>
        <v/>
      </c>
      <c r="X153" s="257"/>
      <c r="Y153" s="261"/>
      <c r="Z153" s="261"/>
      <c r="AA153" s="232"/>
      <c r="AB153" s="230" t="e">
        <f>T153-HLOOKUP(V153,[3]Minimas!$C$3:$CD$12,2,FALSE)</f>
        <v>#VALUE!</v>
      </c>
      <c r="AC153" s="230" t="e">
        <f>T153-HLOOKUP(V153,[3]Minimas!$C$3:$CD$12,3,FALSE)</f>
        <v>#VALUE!</v>
      </c>
      <c r="AD153" s="230" t="e">
        <f>T153-HLOOKUP(V153,[3]Minimas!$C$3:$CD$12,4,FALSE)</f>
        <v>#VALUE!</v>
      </c>
      <c r="AE153" s="230" t="e">
        <f>T153-HLOOKUP(V153,[3]Minimas!$C$3:$CD$12,5,FALSE)</f>
        <v>#VALUE!</v>
      </c>
      <c r="AF153" s="230" t="e">
        <f>T153-HLOOKUP(V153,[3]Minimas!$C$3:$CD$12,6,FALSE)</f>
        <v>#VALUE!</v>
      </c>
      <c r="AG153" s="230" t="e">
        <f>T153-HLOOKUP(V153,[3]Minimas!$C$3:$CD$12,7,FALSE)</f>
        <v>#VALUE!</v>
      </c>
      <c r="AH153" s="230" t="e">
        <f>T153-HLOOKUP(V153,[3]Minimas!$C$3:$CD$12,8,FALSE)</f>
        <v>#VALUE!</v>
      </c>
      <c r="AI153" s="230" t="e">
        <f>T153-HLOOKUP(V153,[3]Minimas!$C$3:$CD$12,9,FALSE)</f>
        <v>#VALUE!</v>
      </c>
      <c r="AJ153" s="230" t="e">
        <f>T153-HLOOKUP(V153,[3]Minimas!$C$3:$CD$12,10,FALSE)</f>
        <v>#VALUE!</v>
      </c>
      <c r="AK153" s="231" t="str">
        <f t="shared" si="73"/>
        <v xml:space="preserve"> </v>
      </c>
      <c r="AL153" s="232"/>
      <c r="AM153" s="232" t="str">
        <f t="shared" si="74"/>
        <v xml:space="preserve"> </v>
      </c>
      <c r="AN153" s="232" t="str">
        <f t="shared" si="75"/>
        <v xml:space="preserve"> </v>
      </c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  <c r="BF153" s="38"/>
      <c r="BG153" s="38"/>
      <c r="BH153" s="38"/>
      <c r="BI153" s="38"/>
      <c r="BJ153" s="38"/>
      <c r="BK153" s="38"/>
      <c r="BL153" s="38"/>
      <c r="BM153" s="38"/>
      <c r="BN153" s="38"/>
      <c r="BO153" s="38"/>
      <c r="BP153" s="38"/>
      <c r="BQ153" s="38"/>
      <c r="BR153" s="38"/>
      <c r="BS153" s="38"/>
      <c r="BT153" s="38"/>
      <c r="BU153" s="38"/>
      <c r="BV153" s="38"/>
      <c r="BW153" s="38"/>
      <c r="BX153" s="38"/>
      <c r="BY153" s="38"/>
      <c r="BZ153" s="38"/>
      <c r="CA153" s="38"/>
      <c r="CB153" s="38"/>
      <c r="CC153" s="38"/>
      <c r="CD153" s="38"/>
      <c r="CE153" s="38"/>
      <c r="CF153" s="38"/>
      <c r="CG153" s="38"/>
      <c r="CH153" s="38"/>
      <c r="CI153" s="38"/>
      <c r="CJ153" s="38"/>
      <c r="CK153" s="38"/>
      <c r="CL153" s="38"/>
      <c r="CM153" s="38"/>
      <c r="CN153" s="38"/>
      <c r="CO153" s="38"/>
      <c r="CP153" s="38"/>
      <c r="CQ153" s="38"/>
      <c r="CR153" s="38"/>
      <c r="CS153" s="38"/>
      <c r="CT153" s="38"/>
      <c r="CU153" s="38"/>
      <c r="CV153" s="38"/>
      <c r="CW153" s="38"/>
      <c r="CX153" s="38"/>
      <c r="CY153" s="38"/>
      <c r="CZ153" s="38"/>
      <c r="DA153" s="38"/>
      <c r="DB153" s="38"/>
      <c r="DC153" s="38"/>
      <c r="DD153" s="38"/>
      <c r="DE153" s="38"/>
      <c r="DF153" s="38"/>
      <c r="DG153" s="38"/>
      <c r="DH153" s="38"/>
      <c r="DI153" s="38"/>
      <c r="DJ153" s="38"/>
      <c r="DK153" s="38"/>
      <c r="DL153" s="38"/>
      <c r="DM153" s="38"/>
      <c r="DN153" s="38"/>
      <c r="DO153" s="38"/>
      <c r="DP153" s="38"/>
      <c r="DQ153" s="38"/>
      <c r="DR153" s="38"/>
      <c r="DS153" s="38"/>
      <c r="DT153" s="38"/>
    </row>
    <row r="154" spans="2:124" s="5" customFormat="1" ht="30" customHeight="1" x14ac:dyDescent="0.25">
      <c r="B154" s="355" t="s">
        <v>543</v>
      </c>
      <c r="C154" s="429"/>
      <c r="D154" s="430"/>
      <c r="E154" s="323"/>
      <c r="F154" s="319"/>
      <c r="G154" s="320"/>
      <c r="H154" s="305"/>
      <c r="I154" s="321"/>
      <c r="J154" s="431"/>
      <c r="K154" s="293"/>
      <c r="L154" s="300"/>
      <c r="M154" s="301"/>
      <c r="N154" s="301"/>
      <c r="O154" s="358" t="str">
        <f t="shared" ref="O154:O156" si="76">IF(E154="","",IF(MAXA(L154:N154)&lt;=0,0,MAXA(L154:N154)))</f>
        <v/>
      </c>
      <c r="P154" s="300"/>
      <c r="Q154" s="301"/>
      <c r="R154" s="301"/>
      <c r="S154" s="358" t="str">
        <f t="shared" ref="S154:S156" si="77">IF(E154="","",IF(MAXA(P154:R154)&lt;=0,0,MAXA(P154:R154)))</f>
        <v/>
      </c>
      <c r="T154" s="359" t="str">
        <f t="shared" ref="T154:T156" si="78">IF(E154="","",IF(OR(O154=0,S154=0),0,O154+S154))</f>
        <v/>
      </c>
      <c r="U154" s="360" t="str">
        <f t="shared" ref="U154:U156" si="79">+CONCATENATE(AM154," ",AN154)</f>
        <v xml:space="preserve">   </v>
      </c>
      <c r="V154" s="360" t="str">
        <f>IF(E154=0," ",IF(E154="H",IF(H154&lt;1999,VLOOKUP(K154,[3]Minimas!$A$15:$F$29,6),IF(AND(H154&gt;1998,H154&lt;2002),VLOOKUP(K154,[3]Minimas!$A$15:$F$29,5),IF(AND(H154&gt;2001,H154&lt;2004),VLOOKUP(K154,[3]Minimas!$A$15:$F$29,4),IF(AND(H154&gt;2003,H154&lt;2006),VLOOKUP(K154,[3]Minimas!$A$15:$F$29,3),VLOOKUP(K154,[3]Minimas!$A$15:$F$29,2))))),IF(H154&lt;1999,VLOOKUP(K154,[3]Minimas!$G$15:$L$29,6),IF(AND(H154&gt;1998,H154&lt;2002),VLOOKUP(K154,[3]Minimas!$G$15:$L$29,5),IF(AND(H154&gt;2001,H154&lt;2004),VLOOKUP(K154,[3]Minimas!$G$15:$L$29,4),IF(AND(H154&gt;2003,H154&lt;2006),VLOOKUP(K154,[3]Minimas!$G$15:$L$29,3),VLOOKUP(K154,[3]Minimas!$G$15:$L$29,2)))))))</f>
        <v xml:space="preserve"> </v>
      </c>
      <c r="W154" s="361" t="str">
        <f t="shared" ref="W154:W156" si="80">IF(E154=" "," ",IF(E154="H",10^(0.75194503*LOG(K154/175.508)^2)*T154,IF(E154="F",10^(0.783497476* LOG(K154/153.655)^2)*T154,"")))</f>
        <v/>
      </c>
      <c r="X154" s="257"/>
      <c r="Y154" s="261"/>
      <c r="Z154" s="261"/>
      <c r="AA154" s="232"/>
      <c r="AB154" s="230" t="e">
        <f>T154-HLOOKUP(V154,[3]Minimas!$C$3:$CD$12,2,FALSE)</f>
        <v>#VALUE!</v>
      </c>
      <c r="AC154" s="230" t="e">
        <f>T154-HLOOKUP(V154,[3]Minimas!$C$3:$CD$12,3,FALSE)</f>
        <v>#VALUE!</v>
      </c>
      <c r="AD154" s="230" t="e">
        <f>T154-HLOOKUP(V154,[3]Minimas!$C$3:$CD$12,4,FALSE)</f>
        <v>#VALUE!</v>
      </c>
      <c r="AE154" s="230" t="e">
        <f>T154-HLOOKUP(V154,[3]Minimas!$C$3:$CD$12,5,FALSE)</f>
        <v>#VALUE!</v>
      </c>
      <c r="AF154" s="230" t="e">
        <f>T154-HLOOKUP(V154,[3]Minimas!$C$3:$CD$12,6,FALSE)</f>
        <v>#VALUE!</v>
      </c>
      <c r="AG154" s="230" t="e">
        <f>T154-HLOOKUP(V154,[3]Minimas!$C$3:$CD$12,7,FALSE)</f>
        <v>#VALUE!</v>
      </c>
      <c r="AH154" s="230" t="e">
        <f>T154-HLOOKUP(V154,[3]Minimas!$C$3:$CD$12,8,FALSE)</f>
        <v>#VALUE!</v>
      </c>
      <c r="AI154" s="230" t="e">
        <f>T154-HLOOKUP(V154,[3]Minimas!$C$3:$CD$12,9,FALSE)</f>
        <v>#VALUE!</v>
      </c>
      <c r="AJ154" s="230" t="e">
        <f>T154-HLOOKUP(V154,[3]Minimas!$C$3:$CD$12,10,FALSE)</f>
        <v>#VALUE!</v>
      </c>
      <c r="AK154" s="231" t="str">
        <f t="shared" ref="AK154:AK156" si="81">IF(E154=0," ",IF(AJ154&gt;=0,$AJ$5,IF(AI154&gt;=0,$AI$5,IF(AH154&gt;=0,$AH$5,IF(AG154&gt;=0,$AG$5,IF(AF154&gt;=0,$AF$5,IF(AE154&gt;=0,$AE$5,IF(AD154&gt;=0,$AD$5,IF(AC154&gt;=0,$AC$5,$AB$5)))))))))</f>
        <v xml:space="preserve"> </v>
      </c>
      <c r="AL154" s="232"/>
      <c r="AM154" s="232" t="str">
        <f t="shared" ref="AM154:AM156" si="82">IF(AK154="","",AK154)</f>
        <v xml:space="preserve"> </v>
      </c>
      <c r="AN154" s="232" t="str">
        <f t="shared" ref="AN154:AN156" si="83">IF(E154=0," ",IF(AJ154&gt;=0,AJ154,IF(AI154&gt;=0,AI154,IF(AH154&gt;=0,AH154,IF(AG154&gt;=0,AG154,IF(AF154&gt;=0,AF154,IF(AE154&gt;=0,AE154,IF(AD154&gt;=0,AD154,IF(AC154&gt;=0,AC154,AB154)))))))))</f>
        <v xml:space="preserve"> </v>
      </c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  <c r="BF154" s="38"/>
      <c r="BG154" s="38"/>
      <c r="BH154" s="38"/>
      <c r="BI154" s="38"/>
      <c r="BJ154" s="38"/>
      <c r="BK154" s="38"/>
      <c r="BL154" s="38"/>
      <c r="BM154" s="38"/>
      <c r="BN154" s="38"/>
      <c r="BO154" s="38"/>
      <c r="BP154" s="38"/>
      <c r="BQ154" s="38"/>
      <c r="BR154" s="38"/>
      <c r="BS154" s="38"/>
      <c r="BT154" s="38"/>
      <c r="BU154" s="38"/>
      <c r="BV154" s="38"/>
      <c r="BW154" s="38"/>
      <c r="BX154" s="38"/>
      <c r="BY154" s="38"/>
      <c r="BZ154" s="38"/>
      <c r="CA154" s="38"/>
      <c r="CB154" s="38"/>
      <c r="CC154" s="38"/>
      <c r="CD154" s="38"/>
      <c r="CE154" s="38"/>
      <c r="CF154" s="38"/>
      <c r="CG154" s="38"/>
      <c r="CH154" s="38"/>
      <c r="CI154" s="38"/>
      <c r="CJ154" s="38"/>
      <c r="CK154" s="38"/>
      <c r="CL154" s="38"/>
      <c r="CM154" s="38"/>
      <c r="CN154" s="38"/>
      <c r="CO154" s="38"/>
      <c r="CP154" s="38"/>
      <c r="CQ154" s="38"/>
      <c r="CR154" s="38"/>
      <c r="CS154" s="38"/>
      <c r="CT154" s="38"/>
      <c r="CU154" s="38"/>
      <c r="CV154" s="38"/>
      <c r="CW154" s="38"/>
      <c r="CX154" s="38"/>
      <c r="CY154" s="38"/>
      <c r="CZ154" s="38"/>
      <c r="DA154" s="38"/>
      <c r="DB154" s="38"/>
      <c r="DC154" s="38"/>
      <c r="DD154" s="38"/>
      <c r="DE154" s="38"/>
      <c r="DF154" s="38"/>
      <c r="DG154" s="38"/>
      <c r="DH154" s="38"/>
      <c r="DI154" s="38"/>
      <c r="DJ154" s="38"/>
      <c r="DK154" s="38"/>
      <c r="DL154" s="38"/>
      <c r="DM154" s="38"/>
      <c r="DN154" s="38"/>
      <c r="DO154" s="38"/>
      <c r="DP154" s="38"/>
      <c r="DQ154" s="38"/>
      <c r="DR154" s="38"/>
      <c r="DS154" s="38"/>
      <c r="DT154" s="38"/>
    </row>
    <row r="155" spans="2:124" s="5" customFormat="1" ht="30" customHeight="1" x14ac:dyDescent="0.25">
      <c r="B155" s="355" t="s">
        <v>543</v>
      </c>
      <c r="C155" s="429"/>
      <c r="D155" s="430"/>
      <c r="E155" s="323"/>
      <c r="F155" s="319"/>
      <c r="G155" s="320"/>
      <c r="H155" s="305"/>
      <c r="I155" s="321"/>
      <c r="J155" s="431"/>
      <c r="K155" s="293"/>
      <c r="L155" s="300"/>
      <c r="M155" s="301"/>
      <c r="N155" s="301"/>
      <c r="O155" s="358" t="str">
        <f t="shared" si="76"/>
        <v/>
      </c>
      <c r="P155" s="300"/>
      <c r="Q155" s="301"/>
      <c r="R155" s="301"/>
      <c r="S155" s="358" t="str">
        <f t="shared" si="77"/>
        <v/>
      </c>
      <c r="T155" s="359" t="str">
        <f t="shared" si="78"/>
        <v/>
      </c>
      <c r="U155" s="360" t="str">
        <f t="shared" si="79"/>
        <v xml:space="preserve">   </v>
      </c>
      <c r="V155" s="360" t="str">
        <f>IF(E155=0," ",IF(E155="H",IF(H155&lt;1999,VLOOKUP(K155,[3]Minimas!$A$15:$F$29,6),IF(AND(H155&gt;1998,H155&lt;2002),VLOOKUP(K155,[3]Minimas!$A$15:$F$29,5),IF(AND(H155&gt;2001,H155&lt;2004),VLOOKUP(K155,[3]Minimas!$A$15:$F$29,4),IF(AND(H155&gt;2003,H155&lt;2006),VLOOKUP(K155,[3]Minimas!$A$15:$F$29,3),VLOOKUP(K155,[3]Minimas!$A$15:$F$29,2))))),IF(H155&lt;1999,VLOOKUP(K155,[3]Minimas!$G$15:$L$29,6),IF(AND(H155&gt;1998,H155&lt;2002),VLOOKUP(K155,[3]Minimas!$G$15:$L$29,5),IF(AND(H155&gt;2001,H155&lt;2004),VLOOKUP(K155,[3]Minimas!$G$15:$L$29,4),IF(AND(H155&gt;2003,H155&lt;2006),VLOOKUP(K155,[3]Minimas!$G$15:$L$29,3),VLOOKUP(K155,[3]Minimas!$G$15:$L$29,2)))))))</f>
        <v xml:space="preserve"> </v>
      </c>
      <c r="W155" s="361" t="str">
        <f t="shared" si="80"/>
        <v/>
      </c>
      <c r="X155" s="257"/>
      <c r="Y155" s="261"/>
      <c r="Z155" s="261"/>
      <c r="AA155" s="232"/>
      <c r="AB155" s="230" t="e">
        <f>T155-HLOOKUP(V155,[3]Minimas!$C$3:$CD$12,2,FALSE)</f>
        <v>#VALUE!</v>
      </c>
      <c r="AC155" s="230" t="e">
        <f>T155-HLOOKUP(V155,[3]Minimas!$C$3:$CD$12,3,FALSE)</f>
        <v>#VALUE!</v>
      </c>
      <c r="AD155" s="230" t="e">
        <f>T155-HLOOKUP(V155,[3]Minimas!$C$3:$CD$12,4,FALSE)</f>
        <v>#VALUE!</v>
      </c>
      <c r="AE155" s="230" t="e">
        <f>T155-HLOOKUP(V155,[3]Minimas!$C$3:$CD$12,5,FALSE)</f>
        <v>#VALUE!</v>
      </c>
      <c r="AF155" s="230" t="e">
        <f>T155-HLOOKUP(V155,[3]Minimas!$C$3:$CD$12,6,FALSE)</f>
        <v>#VALUE!</v>
      </c>
      <c r="AG155" s="230" t="e">
        <f>T155-HLOOKUP(V155,[3]Minimas!$C$3:$CD$12,7,FALSE)</f>
        <v>#VALUE!</v>
      </c>
      <c r="AH155" s="230" t="e">
        <f>T155-HLOOKUP(V155,[3]Minimas!$C$3:$CD$12,8,FALSE)</f>
        <v>#VALUE!</v>
      </c>
      <c r="AI155" s="230" t="e">
        <f>T155-HLOOKUP(V155,[3]Minimas!$C$3:$CD$12,9,FALSE)</f>
        <v>#VALUE!</v>
      </c>
      <c r="AJ155" s="230" t="e">
        <f>T155-HLOOKUP(V155,[3]Minimas!$C$3:$CD$12,10,FALSE)</f>
        <v>#VALUE!</v>
      </c>
      <c r="AK155" s="231" t="str">
        <f t="shared" si="81"/>
        <v xml:space="preserve"> </v>
      </c>
      <c r="AL155" s="232"/>
      <c r="AM155" s="232" t="str">
        <f t="shared" si="82"/>
        <v xml:space="preserve"> </v>
      </c>
      <c r="AN155" s="232" t="str">
        <f t="shared" si="83"/>
        <v xml:space="preserve"> </v>
      </c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  <c r="BF155" s="38"/>
      <c r="BG155" s="38"/>
      <c r="BH155" s="38"/>
      <c r="BI155" s="38"/>
      <c r="BJ155" s="38"/>
      <c r="BK155" s="38"/>
      <c r="BL155" s="38"/>
      <c r="BM155" s="38"/>
      <c r="BN155" s="38"/>
      <c r="BO155" s="38"/>
      <c r="BP155" s="38"/>
      <c r="BQ155" s="38"/>
      <c r="BR155" s="38"/>
      <c r="BS155" s="38"/>
      <c r="BT155" s="38"/>
      <c r="BU155" s="38"/>
      <c r="BV155" s="38"/>
      <c r="BW155" s="38"/>
      <c r="BX155" s="38"/>
      <c r="BY155" s="38"/>
      <c r="BZ155" s="38"/>
      <c r="CA155" s="38"/>
      <c r="CB155" s="38"/>
      <c r="CC155" s="38"/>
      <c r="CD155" s="38"/>
      <c r="CE155" s="38"/>
      <c r="CF155" s="38"/>
      <c r="CG155" s="38"/>
      <c r="CH155" s="38"/>
      <c r="CI155" s="38"/>
      <c r="CJ155" s="38"/>
      <c r="CK155" s="38"/>
      <c r="CL155" s="38"/>
      <c r="CM155" s="38"/>
      <c r="CN155" s="38"/>
      <c r="CO155" s="38"/>
      <c r="CP155" s="38"/>
      <c r="CQ155" s="38"/>
      <c r="CR155" s="38"/>
      <c r="CS155" s="38"/>
      <c r="CT155" s="38"/>
      <c r="CU155" s="38"/>
      <c r="CV155" s="38"/>
      <c r="CW155" s="38"/>
      <c r="CX155" s="38"/>
      <c r="CY155" s="38"/>
      <c r="CZ155" s="38"/>
      <c r="DA155" s="38"/>
      <c r="DB155" s="38"/>
      <c r="DC155" s="38"/>
      <c r="DD155" s="38"/>
      <c r="DE155" s="38"/>
      <c r="DF155" s="38"/>
      <c r="DG155" s="38"/>
      <c r="DH155" s="38"/>
      <c r="DI155" s="38"/>
      <c r="DJ155" s="38"/>
      <c r="DK155" s="38"/>
      <c r="DL155" s="38"/>
      <c r="DM155" s="38"/>
      <c r="DN155" s="38"/>
      <c r="DO155" s="38"/>
      <c r="DP155" s="38"/>
      <c r="DQ155" s="38"/>
      <c r="DR155" s="38"/>
      <c r="DS155" s="38"/>
      <c r="DT155" s="38"/>
    </row>
    <row r="156" spans="2:124" s="5" customFormat="1" ht="30" customHeight="1" x14ac:dyDescent="0.25">
      <c r="B156" s="355" t="s">
        <v>543</v>
      </c>
      <c r="C156" s="429"/>
      <c r="D156" s="430"/>
      <c r="E156" s="323"/>
      <c r="F156" s="319"/>
      <c r="G156" s="320"/>
      <c r="H156" s="305"/>
      <c r="I156" s="321"/>
      <c r="J156" s="431"/>
      <c r="K156" s="293"/>
      <c r="L156" s="300"/>
      <c r="M156" s="301"/>
      <c r="N156" s="301"/>
      <c r="O156" s="358" t="str">
        <f t="shared" si="76"/>
        <v/>
      </c>
      <c r="P156" s="300"/>
      <c r="Q156" s="301"/>
      <c r="R156" s="301"/>
      <c r="S156" s="358" t="str">
        <f t="shared" si="77"/>
        <v/>
      </c>
      <c r="T156" s="359" t="str">
        <f t="shared" si="78"/>
        <v/>
      </c>
      <c r="U156" s="360" t="str">
        <f t="shared" si="79"/>
        <v xml:space="preserve">   </v>
      </c>
      <c r="V156" s="360" t="str">
        <f>IF(E156=0," ",IF(E156="H",IF(H156&lt;1999,VLOOKUP(K156,[3]Minimas!$A$15:$F$29,6),IF(AND(H156&gt;1998,H156&lt;2002),VLOOKUP(K156,[3]Minimas!$A$15:$F$29,5),IF(AND(H156&gt;2001,H156&lt;2004),VLOOKUP(K156,[3]Minimas!$A$15:$F$29,4),IF(AND(H156&gt;2003,H156&lt;2006),VLOOKUP(K156,[3]Minimas!$A$15:$F$29,3),VLOOKUP(K156,[3]Minimas!$A$15:$F$29,2))))),IF(H156&lt;1999,VLOOKUP(K156,[3]Minimas!$G$15:$L$29,6),IF(AND(H156&gt;1998,H156&lt;2002),VLOOKUP(K156,[3]Minimas!$G$15:$L$29,5),IF(AND(H156&gt;2001,H156&lt;2004),VLOOKUP(K156,[3]Minimas!$G$15:$L$29,4),IF(AND(H156&gt;2003,H156&lt;2006),VLOOKUP(K156,[3]Minimas!$G$15:$L$29,3),VLOOKUP(K156,[3]Minimas!$G$15:$L$29,2)))))))</f>
        <v xml:space="preserve"> </v>
      </c>
      <c r="W156" s="361" t="str">
        <f t="shared" si="80"/>
        <v/>
      </c>
      <c r="X156" s="257"/>
      <c r="Y156" s="261"/>
      <c r="Z156" s="261"/>
      <c r="AA156" s="232"/>
      <c r="AB156" s="230" t="e">
        <f>T156-HLOOKUP(V156,[3]Minimas!$C$3:$CD$12,2,FALSE)</f>
        <v>#VALUE!</v>
      </c>
      <c r="AC156" s="230" t="e">
        <f>T156-HLOOKUP(V156,[3]Minimas!$C$3:$CD$12,3,FALSE)</f>
        <v>#VALUE!</v>
      </c>
      <c r="AD156" s="230" t="e">
        <f>T156-HLOOKUP(V156,[3]Minimas!$C$3:$CD$12,4,FALSE)</f>
        <v>#VALUE!</v>
      </c>
      <c r="AE156" s="230" t="e">
        <f>T156-HLOOKUP(V156,[3]Minimas!$C$3:$CD$12,5,FALSE)</f>
        <v>#VALUE!</v>
      </c>
      <c r="AF156" s="230" t="e">
        <f>T156-HLOOKUP(V156,[3]Minimas!$C$3:$CD$12,6,FALSE)</f>
        <v>#VALUE!</v>
      </c>
      <c r="AG156" s="230" t="e">
        <f>T156-HLOOKUP(V156,[3]Minimas!$C$3:$CD$12,7,FALSE)</f>
        <v>#VALUE!</v>
      </c>
      <c r="AH156" s="230" t="e">
        <f>T156-HLOOKUP(V156,[3]Minimas!$C$3:$CD$12,8,FALSE)</f>
        <v>#VALUE!</v>
      </c>
      <c r="AI156" s="230" t="e">
        <f>T156-HLOOKUP(V156,[3]Minimas!$C$3:$CD$12,9,FALSE)</f>
        <v>#VALUE!</v>
      </c>
      <c r="AJ156" s="230" t="e">
        <f>T156-HLOOKUP(V156,[3]Minimas!$C$3:$CD$12,10,FALSE)</f>
        <v>#VALUE!</v>
      </c>
      <c r="AK156" s="231" t="str">
        <f t="shared" si="81"/>
        <v xml:space="preserve"> </v>
      </c>
      <c r="AL156" s="232"/>
      <c r="AM156" s="232" t="str">
        <f t="shared" si="82"/>
        <v xml:space="preserve"> </v>
      </c>
      <c r="AN156" s="232" t="str">
        <f t="shared" si="83"/>
        <v xml:space="preserve"> </v>
      </c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  <c r="BF156" s="38"/>
      <c r="BG156" s="38"/>
      <c r="BH156" s="38"/>
      <c r="BI156" s="38"/>
      <c r="BJ156" s="38"/>
      <c r="BK156" s="38"/>
      <c r="BL156" s="38"/>
      <c r="BM156" s="38"/>
      <c r="BN156" s="38"/>
      <c r="BO156" s="38"/>
      <c r="BP156" s="38"/>
      <c r="BQ156" s="38"/>
      <c r="BR156" s="38"/>
      <c r="BS156" s="38"/>
      <c r="BT156" s="38"/>
      <c r="BU156" s="38"/>
      <c r="BV156" s="38"/>
      <c r="BW156" s="38"/>
      <c r="BX156" s="38"/>
      <c r="BY156" s="38"/>
      <c r="BZ156" s="38"/>
      <c r="CA156" s="38"/>
      <c r="CB156" s="38"/>
      <c r="CC156" s="38"/>
      <c r="CD156" s="38"/>
      <c r="CE156" s="38"/>
      <c r="CF156" s="38"/>
      <c r="CG156" s="38"/>
      <c r="CH156" s="38"/>
      <c r="CI156" s="38"/>
      <c r="CJ156" s="38"/>
      <c r="CK156" s="38"/>
      <c r="CL156" s="38"/>
      <c r="CM156" s="38"/>
      <c r="CN156" s="38"/>
      <c r="CO156" s="38"/>
      <c r="CP156" s="38"/>
      <c r="CQ156" s="38"/>
      <c r="CR156" s="38"/>
      <c r="CS156" s="38"/>
      <c r="CT156" s="38"/>
      <c r="CU156" s="38"/>
      <c r="CV156" s="38"/>
      <c r="CW156" s="38"/>
      <c r="CX156" s="38"/>
      <c r="CY156" s="38"/>
      <c r="CZ156" s="38"/>
      <c r="DA156" s="38"/>
      <c r="DB156" s="38"/>
      <c r="DC156" s="38"/>
      <c r="DD156" s="38"/>
      <c r="DE156" s="38"/>
      <c r="DF156" s="38"/>
      <c r="DG156" s="38"/>
      <c r="DH156" s="38"/>
      <c r="DI156" s="38"/>
      <c r="DJ156" s="38"/>
      <c r="DK156" s="38"/>
      <c r="DL156" s="38"/>
      <c r="DM156" s="38"/>
      <c r="DN156" s="38"/>
      <c r="DO156" s="38"/>
      <c r="DP156" s="38"/>
      <c r="DQ156" s="38"/>
      <c r="DR156" s="38"/>
      <c r="DS156" s="38"/>
      <c r="DT156" s="38"/>
    </row>
    <row r="157" spans="2:124" x14ac:dyDescent="0.25">
      <c r="AB157" s="230" t="e">
        <f>T157-HLOOKUP(V157,Minimas!$C$3:$CD$12,2,FALSE)</f>
        <v>#N/A</v>
      </c>
      <c r="AC157" s="230" t="e">
        <f>T157-HLOOKUP(V157,Minimas!$C$3:$CD$12,3,FALSE)</f>
        <v>#N/A</v>
      </c>
      <c r="AD157" s="230" t="e">
        <f>T157-HLOOKUP(V157,Minimas!$C$3:$CD$12,4,FALSE)</f>
        <v>#N/A</v>
      </c>
      <c r="AE157" s="230" t="e">
        <f>T157-HLOOKUP(V157,Minimas!$C$3:$CD$12,5,FALSE)</f>
        <v>#N/A</v>
      </c>
      <c r="AF157" s="230" t="e">
        <f>T157-HLOOKUP(V157,Minimas!$C$3:$CD$12,6,FALSE)</f>
        <v>#N/A</v>
      </c>
      <c r="AG157" s="230" t="e">
        <f>T157-HLOOKUP(V157,Minimas!$C$3:$CD$12,7,FALSE)</f>
        <v>#N/A</v>
      </c>
      <c r="AH157" s="230" t="e">
        <f>T157-HLOOKUP(V157,Minimas!$C$3:$CD$12,8,FALSE)</f>
        <v>#N/A</v>
      </c>
      <c r="AI157" s="230" t="e">
        <f>T157-HLOOKUP(V157,Minimas!$C$3:$CD$12,9,FALSE)</f>
        <v>#N/A</v>
      </c>
      <c r="AJ157" s="230" t="e">
        <f>T157-HLOOKUP(V157,Minimas!$C$3:$CD$12,10,FALSE)</f>
        <v>#N/A</v>
      </c>
      <c r="AK157" s="231" t="str">
        <f t="shared" ref="AK157:AK195" si="84">IF(E157=0," ",IF(AJ157&gt;=0,$AJ$5,IF(AI157&gt;=0,$AI$5,IF(AH157&gt;=0,$AH$5,IF(AG157&gt;=0,$AG$5,IF(AF157&gt;=0,$AF$5,IF(AE157&gt;=0,$AE$5,IF(AD157&gt;=0,$AD$5,IF(AC157&gt;=0,$AC$5,$AB$5)))))))))</f>
        <v xml:space="preserve"> </v>
      </c>
      <c r="AL157" s="232"/>
      <c r="AM157" s="232" t="str">
        <f t="shared" ref="AM157:AM195" si="85">IF(AK157="","",AK157)</f>
        <v xml:space="preserve"> </v>
      </c>
      <c r="AN157" s="232" t="str">
        <f t="shared" ref="AN157:AN195" si="86">IF(E157=0," ",IF(AJ157&gt;=0,AJ157,IF(AI157&gt;=0,AI157,IF(AH157&gt;=0,AH157,IF(AG157&gt;=0,AG157,IF(AF157&gt;=0,AF157,IF(AE157&gt;=0,AE157,IF(AD157&gt;=0,AD157,IF(AC157&gt;=0,AC157,AB157)))))))))</f>
        <v xml:space="preserve"> </v>
      </c>
    </row>
    <row r="158" spans="2:124" x14ac:dyDescent="0.25">
      <c r="AB158" s="230" t="e">
        <f>T158-HLOOKUP(V158,Minimas!$C$3:$CD$12,2,FALSE)</f>
        <v>#N/A</v>
      </c>
      <c r="AC158" s="230" t="e">
        <f>T158-HLOOKUP(V158,Minimas!$C$3:$CD$12,3,FALSE)</f>
        <v>#N/A</v>
      </c>
      <c r="AD158" s="230" t="e">
        <f>T158-HLOOKUP(V158,Minimas!$C$3:$CD$12,4,FALSE)</f>
        <v>#N/A</v>
      </c>
      <c r="AE158" s="230" t="e">
        <f>T158-HLOOKUP(V158,Minimas!$C$3:$CD$12,5,FALSE)</f>
        <v>#N/A</v>
      </c>
      <c r="AF158" s="230" t="e">
        <f>T158-HLOOKUP(V158,Minimas!$C$3:$CD$12,6,FALSE)</f>
        <v>#N/A</v>
      </c>
      <c r="AG158" s="230" t="e">
        <f>T158-HLOOKUP(V158,Minimas!$C$3:$CD$12,7,FALSE)</f>
        <v>#N/A</v>
      </c>
      <c r="AH158" s="230" t="e">
        <f>T158-HLOOKUP(V158,Minimas!$C$3:$CD$12,8,FALSE)</f>
        <v>#N/A</v>
      </c>
      <c r="AI158" s="230" t="e">
        <f>T158-HLOOKUP(V158,Minimas!$C$3:$CD$12,9,FALSE)</f>
        <v>#N/A</v>
      </c>
      <c r="AJ158" s="230" t="e">
        <f>T158-HLOOKUP(V158,Minimas!$C$3:$CD$12,10,FALSE)</f>
        <v>#N/A</v>
      </c>
      <c r="AK158" s="231" t="str">
        <f t="shared" si="84"/>
        <v xml:space="preserve"> </v>
      </c>
      <c r="AL158" s="232"/>
      <c r="AM158" s="232" t="str">
        <f t="shared" si="85"/>
        <v xml:space="preserve"> </v>
      </c>
      <c r="AN158" s="232" t="str">
        <f t="shared" si="86"/>
        <v xml:space="preserve"> </v>
      </c>
    </row>
    <row r="159" spans="2:124" x14ac:dyDescent="0.25">
      <c r="AB159" s="230" t="e">
        <f>T159-HLOOKUP(V159,Minimas!$C$3:$CD$12,2,FALSE)</f>
        <v>#N/A</v>
      </c>
      <c r="AC159" s="230" t="e">
        <f>T159-HLOOKUP(V159,Minimas!$C$3:$CD$12,3,FALSE)</f>
        <v>#N/A</v>
      </c>
      <c r="AD159" s="230" t="e">
        <f>T159-HLOOKUP(V159,Minimas!$C$3:$CD$12,4,FALSE)</f>
        <v>#N/A</v>
      </c>
      <c r="AE159" s="230" t="e">
        <f>T159-HLOOKUP(V159,Minimas!$C$3:$CD$12,5,FALSE)</f>
        <v>#N/A</v>
      </c>
      <c r="AF159" s="230" t="e">
        <f>T159-HLOOKUP(V159,Minimas!$C$3:$CD$12,6,FALSE)</f>
        <v>#N/A</v>
      </c>
      <c r="AG159" s="230" t="e">
        <f>T159-HLOOKUP(V159,Minimas!$C$3:$CD$12,7,FALSE)</f>
        <v>#N/A</v>
      </c>
      <c r="AH159" s="230" t="e">
        <f>T159-HLOOKUP(V159,Minimas!$C$3:$CD$12,8,FALSE)</f>
        <v>#N/A</v>
      </c>
      <c r="AI159" s="230" t="e">
        <f>T159-HLOOKUP(V159,Minimas!$C$3:$CD$12,9,FALSE)</f>
        <v>#N/A</v>
      </c>
      <c r="AJ159" s="230" t="e">
        <f>T159-HLOOKUP(V159,Minimas!$C$3:$CD$12,10,FALSE)</f>
        <v>#N/A</v>
      </c>
      <c r="AK159" s="231" t="str">
        <f t="shared" si="84"/>
        <v xml:space="preserve"> </v>
      </c>
      <c r="AL159" s="232"/>
      <c r="AM159" s="232" t="str">
        <f t="shared" si="85"/>
        <v xml:space="preserve"> </v>
      </c>
      <c r="AN159" s="232" t="str">
        <f t="shared" si="86"/>
        <v xml:space="preserve"> </v>
      </c>
    </row>
    <row r="160" spans="2:124" x14ac:dyDescent="0.25">
      <c r="AB160" s="230" t="e">
        <f>T160-HLOOKUP(V160,Minimas!$C$3:$CD$12,2,FALSE)</f>
        <v>#N/A</v>
      </c>
      <c r="AC160" s="230" t="e">
        <f>T160-HLOOKUP(V160,Minimas!$C$3:$CD$12,3,FALSE)</f>
        <v>#N/A</v>
      </c>
      <c r="AD160" s="230" t="e">
        <f>T160-HLOOKUP(V160,Minimas!$C$3:$CD$12,4,FALSE)</f>
        <v>#N/A</v>
      </c>
      <c r="AE160" s="230" t="e">
        <f>T160-HLOOKUP(V160,Minimas!$C$3:$CD$12,5,FALSE)</f>
        <v>#N/A</v>
      </c>
      <c r="AF160" s="230" t="e">
        <f>T160-HLOOKUP(V160,Minimas!$C$3:$CD$12,6,FALSE)</f>
        <v>#N/A</v>
      </c>
      <c r="AG160" s="230" t="e">
        <f>T160-HLOOKUP(V160,Minimas!$C$3:$CD$12,7,FALSE)</f>
        <v>#N/A</v>
      </c>
      <c r="AH160" s="230" t="e">
        <f>T160-HLOOKUP(V160,Minimas!$C$3:$CD$12,8,FALSE)</f>
        <v>#N/A</v>
      </c>
      <c r="AI160" s="230" t="e">
        <f>T160-HLOOKUP(V160,Minimas!$C$3:$CD$12,9,FALSE)</f>
        <v>#N/A</v>
      </c>
      <c r="AJ160" s="230" t="e">
        <f>T160-HLOOKUP(V160,Minimas!$C$3:$CD$12,10,FALSE)</f>
        <v>#N/A</v>
      </c>
      <c r="AK160" s="231" t="str">
        <f t="shared" si="84"/>
        <v xml:space="preserve"> </v>
      </c>
      <c r="AL160" s="232"/>
      <c r="AM160" s="232" t="str">
        <f t="shared" si="85"/>
        <v xml:space="preserve"> </v>
      </c>
      <c r="AN160" s="232" t="str">
        <f t="shared" si="86"/>
        <v xml:space="preserve"> </v>
      </c>
    </row>
    <row r="161" spans="28:40" x14ac:dyDescent="0.25">
      <c r="AB161" s="230" t="e">
        <f>T161-HLOOKUP(V161,Minimas!$C$3:$CD$12,2,FALSE)</f>
        <v>#N/A</v>
      </c>
      <c r="AC161" s="230" t="e">
        <f>T161-HLOOKUP(V161,Minimas!$C$3:$CD$12,3,FALSE)</f>
        <v>#N/A</v>
      </c>
      <c r="AD161" s="230" t="e">
        <f>T161-HLOOKUP(V161,Minimas!$C$3:$CD$12,4,FALSE)</f>
        <v>#N/A</v>
      </c>
      <c r="AE161" s="230" t="e">
        <f>T161-HLOOKUP(V161,Minimas!$C$3:$CD$12,5,FALSE)</f>
        <v>#N/A</v>
      </c>
      <c r="AF161" s="230" t="e">
        <f>T161-HLOOKUP(V161,Minimas!$C$3:$CD$12,6,FALSE)</f>
        <v>#N/A</v>
      </c>
      <c r="AG161" s="230" t="e">
        <f>T161-HLOOKUP(V161,Minimas!$C$3:$CD$12,7,FALSE)</f>
        <v>#N/A</v>
      </c>
      <c r="AH161" s="230" t="e">
        <f>T161-HLOOKUP(V161,Minimas!$C$3:$CD$12,8,FALSE)</f>
        <v>#N/A</v>
      </c>
      <c r="AI161" s="230" t="e">
        <f>T161-HLOOKUP(V161,Minimas!$C$3:$CD$12,9,FALSE)</f>
        <v>#N/A</v>
      </c>
      <c r="AJ161" s="230" t="e">
        <f>T161-HLOOKUP(V161,Minimas!$C$3:$CD$12,10,FALSE)</f>
        <v>#N/A</v>
      </c>
      <c r="AK161" s="231" t="str">
        <f t="shared" si="84"/>
        <v xml:space="preserve"> </v>
      </c>
      <c r="AL161" s="232"/>
      <c r="AM161" s="232" t="str">
        <f t="shared" si="85"/>
        <v xml:space="preserve"> </v>
      </c>
      <c r="AN161" s="232" t="str">
        <f t="shared" si="86"/>
        <v xml:space="preserve"> </v>
      </c>
    </row>
    <row r="162" spans="28:40" x14ac:dyDescent="0.25">
      <c r="AB162" s="230" t="e">
        <f>T162-HLOOKUP(V162,Minimas!$C$3:$CD$12,2,FALSE)</f>
        <v>#N/A</v>
      </c>
      <c r="AC162" s="230" t="e">
        <f>T162-HLOOKUP(V162,Minimas!$C$3:$CD$12,3,FALSE)</f>
        <v>#N/A</v>
      </c>
      <c r="AD162" s="230" t="e">
        <f>T162-HLOOKUP(V162,Minimas!$C$3:$CD$12,4,FALSE)</f>
        <v>#N/A</v>
      </c>
      <c r="AE162" s="230" t="e">
        <f>T162-HLOOKUP(V162,Minimas!$C$3:$CD$12,5,FALSE)</f>
        <v>#N/A</v>
      </c>
      <c r="AF162" s="230" t="e">
        <f>T162-HLOOKUP(V162,Minimas!$C$3:$CD$12,6,FALSE)</f>
        <v>#N/A</v>
      </c>
      <c r="AG162" s="230" t="e">
        <f>T162-HLOOKUP(V162,Minimas!$C$3:$CD$12,7,FALSE)</f>
        <v>#N/A</v>
      </c>
      <c r="AH162" s="230" t="e">
        <f>T162-HLOOKUP(V162,Minimas!$C$3:$CD$12,8,FALSE)</f>
        <v>#N/A</v>
      </c>
      <c r="AI162" s="230" t="e">
        <f>T162-HLOOKUP(V162,Minimas!$C$3:$CD$12,9,FALSE)</f>
        <v>#N/A</v>
      </c>
      <c r="AJ162" s="230" t="e">
        <f>T162-HLOOKUP(V162,Minimas!$C$3:$CD$12,10,FALSE)</f>
        <v>#N/A</v>
      </c>
      <c r="AK162" s="231" t="str">
        <f t="shared" si="84"/>
        <v xml:space="preserve"> </v>
      </c>
      <c r="AL162" s="232"/>
      <c r="AM162" s="232" t="str">
        <f t="shared" si="85"/>
        <v xml:space="preserve"> </v>
      </c>
      <c r="AN162" s="232" t="str">
        <f t="shared" si="86"/>
        <v xml:space="preserve"> </v>
      </c>
    </row>
    <row r="163" spans="28:40" x14ac:dyDescent="0.25">
      <c r="AB163" s="230" t="e">
        <f>T163-HLOOKUP(V163,Minimas!$C$3:$CD$12,2,FALSE)</f>
        <v>#N/A</v>
      </c>
      <c r="AC163" s="230" t="e">
        <f>T163-HLOOKUP(V163,Minimas!$C$3:$CD$12,3,FALSE)</f>
        <v>#N/A</v>
      </c>
      <c r="AD163" s="230" t="e">
        <f>T163-HLOOKUP(V163,Minimas!$C$3:$CD$12,4,FALSE)</f>
        <v>#N/A</v>
      </c>
      <c r="AE163" s="230" t="e">
        <f>T163-HLOOKUP(V163,Minimas!$C$3:$CD$12,5,FALSE)</f>
        <v>#N/A</v>
      </c>
      <c r="AF163" s="230" t="e">
        <f>T163-HLOOKUP(V163,Minimas!$C$3:$CD$12,6,FALSE)</f>
        <v>#N/A</v>
      </c>
      <c r="AG163" s="230" t="e">
        <f>T163-HLOOKUP(V163,Minimas!$C$3:$CD$12,7,FALSE)</f>
        <v>#N/A</v>
      </c>
      <c r="AH163" s="230" t="e">
        <f>T163-HLOOKUP(V163,Minimas!$C$3:$CD$12,8,FALSE)</f>
        <v>#N/A</v>
      </c>
      <c r="AI163" s="230" t="e">
        <f>T163-HLOOKUP(V163,Minimas!$C$3:$CD$12,9,FALSE)</f>
        <v>#N/A</v>
      </c>
      <c r="AJ163" s="230" t="e">
        <f>T163-HLOOKUP(V163,Minimas!$C$3:$CD$12,10,FALSE)</f>
        <v>#N/A</v>
      </c>
      <c r="AK163" s="231" t="str">
        <f t="shared" si="84"/>
        <v xml:space="preserve"> </v>
      </c>
      <c r="AL163" s="232"/>
      <c r="AM163" s="232" t="str">
        <f t="shared" si="85"/>
        <v xml:space="preserve"> </v>
      </c>
      <c r="AN163" s="232" t="str">
        <f t="shared" si="86"/>
        <v xml:space="preserve"> </v>
      </c>
    </row>
    <row r="164" spans="28:40" x14ac:dyDescent="0.25">
      <c r="AB164" s="230" t="e">
        <f>T164-HLOOKUP(V164,Minimas!$C$3:$CD$12,2,FALSE)</f>
        <v>#N/A</v>
      </c>
      <c r="AC164" s="230" t="e">
        <f>T164-HLOOKUP(V164,Minimas!$C$3:$CD$12,3,FALSE)</f>
        <v>#N/A</v>
      </c>
      <c r="AD164" s="230" t="e">
        <f>T164-HLOOKUP(V164,Minimas!$C$3:$CD$12,4,FALSE)</f>
        <v>#N/A</v>
      </c>
      <c r="AE164" s="230" t="e">
        <f>T164-HLOOKUP(V164,Minimas!$C$3:$CD$12,5,FALSE)</f>
        <v>#N/A</v>
      </c>
      <c r="AF164" s="230" t="e">
        <f>T164-HLOOKUP(V164,Minimas!$C$3:$CD$12,6,FALSE)</f>
        <v>#N/A</v>
      </c>
      <c r="AG164" s="230" t="e">
        <f>T164-HLOOKUP(V164,Minimas!$C$3:$CD$12,7,FALSE)</f>
        <v>#N/A</v>
      </c>
      <c r="AH164" s="230" t="e">
        <f>T164-HLOOKUP(V164,Minimas!$C$3:$CD$12,8,FALSE)</f>
        <v>#N/A</v>
      </c>
      <c r="AI164" s="230" t="e">
        <f>T164-HLOOKUP(V164,Minimas!$C$3:$CD$12,9,FALSE)</f>
        <v>#N/A</v>
      </c>
      <c r="AJ164" s="230" t="e">
        <f>T164-HLOOKUP(V164,Minimas!$C$3:$CD$12,10,FALSE)</f>
        <v>#N/A</v>
      </c>
      <c r="AK164" s="231" t="str">
        <f t="shared" si="84"/>
        <v xml:space="preserve"> </v>
      </c>
      <c r="AL164" s="232"/>
      <c r="AM164" s="232" t="str">
        <f t="shared" si="85"/>
        <v xml:space="preserve"> </v>
      </c>
      <c r="AN164" s="232" t="str">
        <f t="shared" si="86"/>
        <v xml:space="preserve"> </v>
      </c>
    </row>
    <row r="165" spans="28:40" x14ac:dyDescent="0.25">
      <c r="AB165" s="230" t="e">
        <f>T165-HLOOKUP(V165,Minimas!$C$3:$CD$12,2,FALSE)</f>
        <v>#N/A</v>
      </c>
      <c r="AC165" s="230" t="e">
        <f>T165-HLOOKUP(V165,Minimas!$C$3:$CD$12,3,FALSE)</f>
        <v>#N/A</v>
      </c>
      <c r="AD165" s="230" t="e">
        <f>T165-HLOOKUP(V165,Minimas!$C$3:$CD$12,4,FALSE)</f>
        <v>#N/A</v>
      </c>
      <c r="AE165" s="230" t="e">
        <f>T165-HLOOKUP(V165,Minimas!$C$3:$CD$12,5,FALSE)</f>
        <v>#N/A</v>
      </c>
      <c r="AF165" s="230" t="e">
        <f>T165-HLOOKUP(V165,Minimas!$C$3:$CD$12,6,FALSE)</f>
        <v>#N/A</v>
      </c>
      <c r="AG165" s="230" t="e">
        <f>T165-HLOOKUP(V165,Minimas!$C$3:$CD$12,7,FALSE)</f>
        <v>#N/A</v>
      </c>
      <c r="AH165" s="230" t="e">
        <f>T165-HLOOKUP(V165,Minimas!$C$3:$CD$12,8,FALSE)</f>
        <v>#N/A</v>
      </c>
      <c r="AI165" s="230" t="e">
        <f>T165-HLOOKUP(V165,Minimas!$C$3:$CD$12,9,FALSE)</f>
        <v>#N/A</v>
      </c>
      <c r="AJ165" s="230" t="e">
        <f>T165-HLOOKUP(V165,Minimas!$C$3:$CD$12,10,FALSE)</f>
        <v>#N/A</v>
      </c>
      <c r="AK165" s="231" t="str">
        <f t="shared" si="84"/>
        <v xml:space="preserve"> </v>
      </c>
      <c r="AL165" s="232"/>
      <c r="AM165" s="232" t="str">
        <f t="shared" si="85"/>
        <v xml:space="preserve"> </v>
      </c>
      <c r="AN165" s="232" t="str">
        <f t="shared" si="86"/>
        <v xml:space="preserve"> </v>
      </c>
    </row>
    <row r="166" spans="28:40" x14ac:dyDescent="0.25">
      <c r="AB166" s="230" t="e">
        <f>T166-HLOOKUP(V166,Minimas!$C$3:$CD$12,2,FALSE)</f>
        <v>#N/A</v>
      </c>
      <c r="AC166" s="230" t="e">
        <f>T166-HLOOKUP(V166,Minimas!$C$3:$CD$12,3,FALSE)</f>
        <v>#N/A</v>
      </c>
      <c r="AD166" s="230" t="e">
        <f>T166-HLOOKUP(V166,Minimas!$C$3:$CD$12,4,FALSE)</f>
        <v>#N/A</v>
      </c>
      <c r="AE166" s="230" t="e">
        <f>T166-HLOOKUP(V166,Minimas!$C$3:$CD$12,5,FALSE)</f>
        <v>#N/A</v>
      </c>
      <c r="AF166" s="230" t="e">
        <f>T166-HLOOKUP(V166,Minimas!$C$3:$CD$12,6,FALSE)</f>
        <v>#N/A</v>
      </c>
      <c r="AG166" s="230" t="e">
        <f>T166-HLOOKUP(V166,Minimas!$C$3:$CD$12,7,FALSE)</f>
        <v>#N/A</v>
      </c>
      <c r="AH166" s="230" t="e">
        <f>T166-HLOOKUP(V166,Minimas!$C$3:$CD$12,8,FALSE)</f>
        <v>#N/A</v>
      </c>
      <c r="AI166" s="230" t="e">
        <f>T166-HLOOKUP(V166,Minimas!$C$3:$CD$12,9,FALSE)</f>
        <v>#N/A</v>
      </c>
      <c r="AJ166" s="230" t="e">
        <f>T166-HLOOKUP(V166,Minimas!$C$3:$CD$12,10,FALSE)</f>
        <v>#N/A</v>
      </c>
      <c r="AK166" s="231" t="str">
        <f t="shared" si="84"/>
        <v xml:space="preserve"> </v>
      </c>
      <c r="AL166" s="232"/>
      <c r="AM166" s="232" t="str">
        <f t="shared" si="85"/>
        <v xml:space="preserve"> </v>
      </c>
      <c r="AN166" s="232" t="str">
        <f t="shared" si="86"/>
        <v xml:space="preserve"> </v>
      </c>
    </row>
    <row r="167" spans="28:40" x14ac:dyDescent="0.25">
      <c r="AB167" s="230" t="e">
        <f>T167-HLOOKUP(V167,Minimas!$C$3:$CD$12,2,FALSE)</f>
        <v>#N/A</v>
      </c>
      <c r="AC167" s="230" t="e">
        <f>T167-HLOOKUP(V167,Minimas!$C$3:$CD$12,3,FALSE)</f>
        <v>#N/A</v>
      </c>
      <c r="AD167" s="230" t="e">
        <f>T167-HLOOKUP(V167,Minimas!$C$3:$CD$12,4,FALSE)</f>
        <v>#N/A</v>
      </c>
      <c r="AE167" s="230" t="e">
        <f>T167-HLOOKUP(V167,Minimas!$C$3:$CD$12,5,FALSE)</f>
        <v>#N/A</v>
      </c>
      <c r="AF167" s="230" t="e">
        <f>T167-HLOOKUP(V167,Minimas!$C$3:$CD$12,6,FALSE)</f>
        <v>#N/A</v>
      </c>
      <c r="AG167" s="230" t="e">
        <f>T167-HLOOKUP(V167,Minimas!$C$3:$CD$12,7,FALSE)</f>
        <v>#N/A</v>
      </c>
      <c r="AH167" s="230" t="e">
        <f>T167-HLOOKUP(V167,Minimas!$C$3:$CD$12,8,FALSE)</f>
        <v>#N/A</v>
      </c>
      <c r="AI167" s="230" t="e">
        <f>T167-HLOOKUP(V167,Minimas!$C$3:$CD$12,9,FALSE)</f>
        <v>#N/A</v>
      </c>
      <c r="AJ167" s="230" t="e">
        <f>T167-HLOOKUP(V167,Minimas!$C$3:$CD$12,10,FALSE)</f>
        <v>#N/A</v>
      </c>
      <c r="AK167" s="231" t="str">
        <f t="shared" si="84"/>
        <v xml:space="preserve"> </v>
      </c>
      <c r="AL167" s="232"/>
      <c r="AM167" s="232" t="str">
        <f t="shared" si="85"/>
        <v xml:space="preserve"> </v>
      </c>
      <c r="AN167" s="232" t="str">
        <f t="shared" si="86"/>
        <v xml:space="preserve"> </v>
      </c>
    </row>
    <row r="168" spans="28:40" x14ac:dyDescent="0.25">
      <c r="AB168" s="230" t="e">
        <f>T168-HLOOKUP(V168,Minimas!$C$3:$CD$12,2,FALSE)</f>
        <v>#N/A</v>
      </c>
      <c r="AC168" s="230" t="e">
        <f>T168-HLOOKUP(V168,Minimas!$C$3:$CD$12,3,FALSE)</f>
        <v>#N/A</v>
      </c>
      <c r="AD168" s="230" t="e">
        <f>T168-HLOOKUP(V168,Minimas!$C$3:$CD$12,4,FALSE)</f>
        <v>#N/A</v>
      </c>
      <c r="AE168" s="230" t="e">
        <f>T168-HLOOKUP(V168,Minimas!$C$3:$CD$12,5,FALSE)</f>
        <v>#N/A</v>
      </c>
      <c r="AF168" s="230" t="e">
        <f>T168-HLOOKUP(V168,Minimas!$C$3:$CD$12,6,FALSE)</f>
        <v>#N/A</v>
      </c>
      <c r="AG168" s="230" t="e">
        <f>T168-HLOOKUP(V168,Minimas!$C$3:$CD$12,7,FALSE)</f>
        <v>#N/A</v>
      </c>
      <c r="AH168" s="230" t="e">
        <f>T168-HLOOKUP(V168,Minimas!$C$3:$CD$12,8,FALSE)</f>
        <v>#N/A</v>
      </c>
      <c r="AI168" s="230" t="e">
        <f>T168-HLOOKUP(V168,Minimas!$C$3:$CD$12,9,FALSE)</f>
        <v>#N/A</v>
      </c>
      <c r="AJ168" s="230" t="e">
        <f>T168-HLOOKUP(V168,Minimas!$C$3:$CD$12,10,FALSE)</f>
        <v>#N/A</v>
      </c>
      <c r="AK168" s="231" t="str">
        <f t="shared" si="84"/>
        <v xml:space="preserve"> </v>
      </c>
      <c r="AL168" s="232"/>
      <c r="AM168" s="232" t="str">
        <f t="shared" si="85"/>
        <v xml:space="preserve"> </v>
      </c>
      <c r="AN168" s="232" t="str">
        <f t="shared" si="86"/>
        <v xml:space="preserve"> </v>
      </c>
    </row>
    <row r="169" spans="28:40" x14ac:dyDescent="0.25">
      <c r="AB169" s="230" t="e">
        <f>T169-HLOOKUP(V169,Minimas!$C$3:$CD$12,2,FALSE)</f>
        <v>#N/A</v>
      </c>
      <c r="AC169" s="230" t="e">
        <f>T169-HLOOKUP(V169,Minimas!$C$3:$CD$12,3,FALSE)</f>
        <v>#N/A</v>
      </c>
      <c r="AD169" s="230" t="e">
        <f>T169-HLOOKUP(V169,Minimas!$C$3:$CD$12,4,FALSE)</f>
        <v>#N/A</v>
      </c>
      <c r="AE169" s="230" t="e">
        <f>T169-HLOOKUP(V169,Minimas!$C$3:$CD$12,5,FALSE)</f>
        <v>#N/A</v>
      </c>
      <c r="AF169" s="230" t="e">
        <f>T169-HLOOKUP(V169,Minimas!$C$3:$CD$12,6,FALSE)</f>
        <v>#N/A</v>
      </c>
      <c r="AG169" s="230" t="e">
        <f>T169-HLOOKUP(V169,Minimas!$C$3:$CD$12,7,FALSE)</f>
        <v>#N/A</v>
      </c>
      <c r="AH169" s="230" t="e">
        <f>T169-HLOOKUP(V169,Minimas!$C$3:$CD$12,8,FALSE)</f>
        <v>#N/A</v>
      </c>
      <c r="AI169" s="230" t="e">
        <f>T169-HLOOKUP(V169,Minimas!$C$3:$CD$12,9,FALSE)</f>
        <v>#N/A</v>
      </c>
      <c r="AJ169" s="230" t="e">
        <f>T169-HLOOKUP(V169,Minimas!$C$3:$CD$12,10,FALSE)</f>
        <v>#N/A</v>
      </c>
      <c r="AK169" s="231" t="str">
        <f t="shared" si="84"/>
        <v xml:space="preserve"> </v>
      </c>
      <c r="AL169" s="232"/>
      <c r="AM169" s="232" t="str">
        <f t="shared" si="85"/>
        <v xml:space="preserve"> </v>
      </c>
      <c r="AN169" s="232" t="str">
        <f t="shared" si="86"/>
        <v xml:space="preserve"> </v>
      </c>
    </row>
    <row r="170" spans="28:40" x14ac:dyDescent="0.25">
      <c r="AB170" s="230" t="e">
        <f>T170-HLOOKUP(V170,Minimas!$C$3:$CD$12,2,FALSE)</f>
        <v>#N/A</v>
      </c>
      <c r="AC170" s="230" t="e">
        <f>T170-HLOOKUP(V170,Minimas!$C$3:$CD$12,3,FALSE)</f>
        <v>#N/A</v>
      </c>
      <c r="AD170" s="230" t="e">
        <f>T170-HLOOKUP(V170,Minimas!$C$3:$CD$12,4,FALSE)</f>
        <v>#N/A</v>
      </c>
      <c r="AE170" s="230" t="e">
        <f>T170-HLOOKUP(V170,Minimas!$C$3:$CD$12,5,FALSE)</f>
        <v>#N/A</v>
      </c>
      <c r="AF170" s="230" t="e">
        <f>T170-HLOOKUP(V170,Minimas!$C$3:$CD$12,6,FALSE)</f>
        <v>#N/A</v>
      </c>
      <c r="AG170" s="230" t="e">
        <f>T170-HLOOKUP(V170,Minimas!$C$3:$CD$12,7,FALSE)</f>
        <v>#N/A</v>
      </c>
      <c r="AH170" s="230" t="e">
        <f>T170-HLOOKUP(V170,Minimas!$C$3:$CD$12,8,FALSE)</f>
        <v>#N/A</v>
      </c>
      <c r="AI170" s="230" t="e">
        <f>T170-HLOOKUP(V170,Minimas!$C$3:$CD$12,9,FALSE)</f>
        <v>#N/A</v>
      </c>
      <c r="AJ170" s="230" t="e">
        <f>T170-HLOOKUP(V170,Minimas!$C$3:$CD$12,10,FALSE)</f>
        <v>#N/A</v>
      </c>
      <c r="AK170" s="231" t="str">
        <f t="shared" si="84"/>
        <v xml:space="preserve"> </v>
      </c>
      <c r="AL170" s="232"/>
      <c r="AM170" s="232" t="str">
        <f t="shared" si="85"/>
        <v xml:space="preserve"> </v>
      </c>
      <c r="AN170" s="232" t="str">
        <f t="shared" si="86"/>
        <v xml:space="preserve"> </v>
      </c>
    </row>
    <row r="171" spans="28:40" x14ac:dyDescent="0.25">
      <c r="AB171" s="230" t="e">
        <f>T171-HLOOKUP(V171,Minimas!$C$3:$CD$12,2,FALSE)</f>
        <v>#N/A</v>
      </c>
      <c r="AC171" s="230" t="e">
        <f>T171-HLOOKUP(V171,Minimas!$C$3:$CD$12,3,FALSE)</f>
        <v>#N/A</v>
      </c>
      <c r="AD171" s="230" t="e">
        <f>T171-HLOOKUP(V171,Minimas!$C$3:$CD$12,4,FALSE)</f>
        <v>#N/A</v>
      </c>
      <c r="AE171" s="230" t="e">
        <f>T171-HLOOKUP(V171,Minimas!$C$3:$CD$12,5,FALSE)</f>
        <v>#N/A</v>
      </c>
      <c r="AF171" s="230" t="e">
        <f>T171-HLOOKUP(V171,Minimas!$C$3:$CD$12,6,FALSE)</f>
        <v>#N/A</v>
      </c>
      <c r="AG171" s="230" t="e">
        <f>T171-HLOOKUP(V171,Minimas!$C$3:$CD$12,7,FALSE)</f>
        <v>#N/A</v>
      </c>
      <c r="AH171" s="230" t="e">
        <f>T171-HLOOKUP(V171,Minimas!$C$3:$CD$12,8,FALSE)</f>
        <v>#N/A</v>
      </c>
      <c r="AI171" s="230" t="e">
        <f>T171-HLOOKUP(V171,Minimas!$C$3:$CD$12,9,FALSE)</f>
        <v>#N/A</v>
      </c>
      <c r="AJ171" s="230" t="e">
        <f>T171-HLOOKUP(V171,Minimas!$C$3:$CD$12,10,FALSE)</f>
        <v>#N/A</v>
      </c>
      <c r="AK171" s="231" t="str">
        <f t="shared" si="84"/>
        <v xml:space="preserve"> </v>
      </c>
      <c r="AL171" s="232"/>
      <c r="AM171" s="232" t="str">
        <f t="shared" si="85"/>
        <v xml:space="preserve"> </v>
      </c>
      <c r="AN171" s="232" t="str">
        <f t="shared" si="86"/>
        <v xml:space="preserve"> </v>
      </c>
    </row>
    <row r="172" spans="28:40" x14ac:dyDescent="0.25">
      <c r="AB172" s="230" t="e">
        <f>T172-HLOOKUP(V172,Minimas!$C$3:$CD$12,2,FALSE)</f>
        <v>#N/A</v>
      </c>
      <c r="AC172" s="230" t="e">
        <f>T172-HLOOKUP(V172,Minimas!$C$3:$CD$12,3,FALSE)</f>
        <v>#N/A</v>
      </c>
      <c r="AD172" s="230" t="e">
        <f>T172-HLOOKUP(V172,Minimas!$C$3:$CD$12,4,FALSE)</f>
        <v>#N/A</v>
      </c>
      <c r="AE172" s="230" t="e">
        <f>T172-HLOOKUP(V172,Minimas!$C$3:$CD$12,5,FALSE)</f>
        <v>#N/A</v>
      </c>
      <c r="AF172" s="230" t="e">
        <f>T172-HLOOKUP(V172,Minimas!$C$3:$CD$12,6,FALSE)</f>
        <v>#N/A</v>
      </c>
      <c r="AG172" s="230" t="e">
        <f>T172-HLOOKUP(V172,Minimas!$C$3:$CD$12,7,FALSE)</f>
        <v>#N/A</v>
      </c>
      <c r="AH172" s="230" t="e">
        <f>T172-HLOOKUP(V172,Minimas!$C$3:$CD$12,8,FALSE)</f>
        <v>#N/A</v>
      </c>
      <c r="AI172" s="230" t="e">
        <f>T172-HLOOKUP(V172,Minimas!$C$3:$CD$12,9,FALSE)</f>
        <v>#N/A</v>
      </c>
      <c r="AJ172" s="230" t="e">
        <f>T172-HLOOKUP(V172,Minimas!$C$3:$CD$12,10,FALSE)</f>
        <v>#N/A</v>
      </c>
      <c r="AK172" s="231" t="str">
        <f t="shared" si="84"/>
        <v xml:space="preserve"> </v>
      </c>
      <c r="AL172" s="232"/>
      <c r="AM172" s="232" t="str">
        <f t="shared" si="85"/>
        <v xml:space="preserve"> </v>
      </c>
      <c r="AN172" s="232" t="str">
        <f t="shared" si="86"/>
        <v xml:space="preserve"> </v>
      </c>
    </row>
    <row r="173" spans="28:40" x14ac:dyDescent="0.25">
      <c r="AB173" s="230" t="e">
        <f>T173-HLOOKUP(V173,Minimas!$C$3:$CD$12,2,FALSE)</f>
        <v>#N/A</v>
      </c>
      <c r="AC173" s="230" t="e">
        <f>T173-HLOOKUP(V173,Minimas!$C$3:$CD$12,3,FALSE)</f>
        <v>#N/A</v>
      </c>
      <c r="AD173" s="230" t="e">
        <f>T173-HLOOKUP(V173,Minimas!$C$3:$CD$12,4,FALSE)</f>
        <v>#N/A</v>
      </c>
      <c r="AE173" s="230" t="e">
        <f>T173-HLOOKUP(V173,Minimas!$C$3:$CD$12,5,FALSE)</f>
        <v>#N/A</v>
      </c>
      <c r="AF173" s="230" t="e">
        <f>T173-HLOOKUP(V173,Minimas!$C$3:$CD$12,6,FALSE)</f>
        <v>#N/A</v>
      </c>
      <c r="AG173" s="230" t="e">
        <f>T173-HLOOKUP(V173,Minimas!$C$3:$CD$12,7,FALSE)</f>
        <v>#N/A</v>
      </c>
      <c r="AH173" s="230" t="e">
        <f>T173-HLOOKUP(V173,Minimas!$C$3:$CD$12,8,FALSE)</f>
        <v>#N/A</v>
      </c>
      <c r="AI173" s="230" t="e">
        <f>T173-HLOOKUP(V173,Minimas!$C$3:$CD$12,9,FALSE)</f>
        <v>#N/A</v>
      </c>
      <c r="AJ173" s="230" t="e">
        <f>T173-HLOOKUP(V173,Minimas!$C$3:$CD$12,10,FALSE)</f>
        <v>#N/A</v>
      </c>
      <c r="AK173" s="231" t="str">
        <f t="shared" si="84"/>
        <v xml:space="preserve"> </v>
      </c>
      <c r="AL173" s="232"/>
      <c r="AM173" s="232" t="str">
        <f t="shared" si="85"/>
        <v xml:space="preserve"> </v>
      </c>
      <c r="AN173" s="232" t="str">
        <f t="shared" si="86"/>
        <v xml:space="preserve"> </v>
      </c>
    </row>
    <row r="174" spans="28:40" x14ac:dyDescent="0.25">
      <c r="AB174" s="230" t="e">
        <f>T174-HLOOKUP(V174,Minimas!$C$3:$CD$12,2,FALSE)</f>
        <v>#N/A</v>
      </c>
      <c r="AC174" s="230" t="e">
        <f>T174-HLOOKUP(V174,Minimas!$C$3:$CD$12,3,FALSE)</f>
        <v>#N/A</v>
      </c>
      <c r="AD174" s="230" t="e">
        <f>T174-HLOOKUP(V174,Minimas!$C$3:$CD$12,4,FALSE)</f>
        <v>#N/A</v>
      </c>
      <c r="AE174" s="230" t="e">
        <f>T174-HLOOKUP(V174,Minimas!$C$3:$CD$12,5,FALSE)</f>
        <v>#N/A</v>
      </c>
      <c r="AF174" s="230" t="e">
        <f>T174-HLOOKUP(V174,Minimas!$C$3:$CD$12,6,FALSE)</f>
        <v>#N/A</v>
      </c>
      <c r="AG174" s="230" t="e">
        <f>T174-HLOOKUP(V174,Minimas!$C$3:$CD$12,7,FALSE)</f>
        <v>#N/A</v>
      </c>
      <c r="AH174" s="230" t="e">
        <f>T174-HLOOKUP(V174,Minimas!$C$3:$CD$12,8,FALSE)</f>
        <v>#N/A</v>
      </c>
      <c r="AI174" s="230" t="e">
        <f>T174-HLOOKUP(V174,Minimas!$C$3:$CD$12,9,FALSE)</f>
        <v>#N/A</v>
      </c>
      <c r="AJ174" s="230" t="e">
        <f>T174-HLOOKUP(V174,Minimas!$C$3:$CD$12,10,FALSE)</f>
        <v>#N/A</v>
      </c>
      <c r="AK174" s="231" t="str">
        <f t="shared" si="84"/>
        <v xml:space="preserve"> </v>
      </c>
      <c r="AL174" s="232"/>
      <c r="AM174" s="232" t="str">
        <f t="shared" si="85"/>
        <v xml:space="preserve"> </v>
      </c>
      <c r="AN174" s="232" t="str">
        <f t="shared" si="86"/>
        <v xml:space="preserve"> </v>
      </c>
    </row>
    <row r="175" spans="28:40" x14ac:dyDescent="0.25">
      <c r="AB175" s="230" t="e">
        <f>T175-HLOOKUP(V175,Minimas!$C$3:$CD$12,2,FALSE)</f>
        <v>#N/A</v>
      </c>
      <c r="AC175" s="230" t="e">
        <f>T175-HLOOKUP(V175,Minimas!$C$3:$CD$12,3,FALSE)</f>
        <v>#N/A</v>
      </c>
      <c r="AD175" s="230" t="e">
        <f>T175-HLOOKUP(V175,Minimas!$C$3:$CD$12,4,FALSE)</f>
        <v>#N/A</v>
      </c>
      <c r="AE175" s="230" t="e">
        <f>T175-HLOOKUP(V175,Minimas!$C$3:$CD$12,5,FALSE)</f>
        <v>#N/A</v>
      </c>
      <c r="AF175" s="230" t="e">
        <f>T175-HLOOKUP(V175,Minimas!$C$3:$CD$12,6,FALSE)</f>
        <v>#N/A</v>
      </c>
      <c r="AG175" s="230" t="e">
        <f>T175-HLOOKUP(V175,Minimas!$C$3:$CD$12,7,FALSE)</f>
        <v>#N/A</v>
      </c>
      <c r="AH175" s="230" t="e">
        <f>T175-HLOOKUP(V175,Minimas!$C$3:$CD$12,8,FALSE)</f>
        <v>#N/A</v>
      </c>
      <c r="AI175" s="230" t="e">
        <f>T175-HLOOKUP(V175,Minimas!$C$3:$CD$12,9,FALSE)</f>
        <v>#N/A</v>
      </c>
      <c r="AJ175" s="230" t="e">
        <f>T175-HLOOKUP(V175,Minimas!$C$3:$CD$12,10,FALSE)</f>
        <v>#N/A</v>
      </c>
      <c r="AK175" s="231" t="str">
        <f t="shared" si="84"/>
        <v xml:space="preserve"> </v>
      </c>
      <c r="AL175" s="232"/>
      <c r="AM175" s="232" t="str">
        <f t="shared" si="85"/>
        <v xml:space="preserve"> </v>
      </c>
      <c r="AN175" s="232" t="str">
        <f t="shared" si="86"/>
        <v xml:space="preserve"> </v>
      </c>
    </row>
    <row r="176" spans="28:40" x14ac:dyDescent="0.25">
      <c r="AB176" s="230" t="e">
        <f>T176-HLOOKUP(V176,Minimas!$C$3:$CD$12,2,FALSE)</f>
        <v>#N/A</v>
      </c>
      <c r="AC176" s="230" t="e">
        <f>T176-HLOOKUP(V176,Minimas!$C$3:$CD$12,3,FALSE)</f>
        <v>#N/A</v>
      </c>
      <c r="AD176" s="230" t="e">
        <f>T176-HLOOKUP(V176,Minimas!$C$3:$CD$12,4,FALSE)</f>
        <v>#N/A</v>
      </c>
      <c r="AE176" s="230" t="e">
        <f>T176-HLOOKUP(V176,Minimas!$C$3:$CD$12,5,FALSE)</f>
        <v>#N/A</v>
      </c>
      <c r="AF176" s="230" t="e">
        <f>T176-HLOOKUP(V176,Minimas!$C$3:$CD$12,6,FALSE)</f>
        <v>#N/A</v>
      </c>
      <c r="AG176" s="230" t="e">
        <f>T176-HLOOKUP(V176,Minimas!$C$3:$CD$12,7,FALSE)</f>
        <v>#N/A</v>
      </c>
      <c r="AH176" s="230" t="e">
        <f>T176-HLOOKUP(V176,Minimas!$C$3:$CD$12,8,FALSE)</f>
        <v>#N/A</v>
      </c>
      <c r="AI176" s="230" t="e">
        <f>T176-HLOOKUP(V176,Minimas!$C$3:$CD$12,9,FALSE)</f>
        <v>#N/A</v>
      </c>
      <c r="AJ176" s="230" t="e">
        <f>T176-HLOOKUP(V176,Minimas!$C$3:$CD$12,10,FALSE)</f>
        <v>#N/A</v>
      </c>
      <c r="AK176" s="231" t="str">
        <f t="shared" si="84"/>
        <v xml:space="preserve"> </v>
      </c>
      <c r="AL176" s="232"/>
      <c r="AM176" s="232" t="str">
        <f t="shared" si="85"/>
        <v xml:space="preserve"> </v>
      </c>
      <c r="AN176" s="232" t="str">
        <f t="shared" si="86"/>
        <v xml:space="preserve"> </v>
      </c>
    </row>
    <row r="177" spans="28:40" x14ac:dyDescent="0.25">
      <c r="AB177" s="230" t="e">
        <f>T177-HLOOKUP(V177,Minimas!$C$3:$CD$12,2,FALSE)</f>
        <v>#N/A</v>
      </c>
      <c r="AC177" s="230" t="e">
        <f>T177-HLOOKUP(V177,Minimas!$C$3:$CD$12,3,FALSE)</f>
        <v>#N/A</v>
      </c>
      <c r="AD177" s="230" t="e">
        <f>T177-HLOOKUP(V177,Minimas!$C$3:$CD$12,4,FALSE)</f>
        <v>#N/A</v>
      </c>
      <c r="AE177" s="230" t="e">
        <f>T177-HLOOKUP(V177,Minimas!$C$3:$CD$12,5,FALSE)</f>
        <v>#N/A</v>
      </c>
      <c r="AF177" s="230" t="e">
        <f>T177-HLOOKUP(V177,Minimas!$C$3:$CD$12,6,FALSE)</f>
        <v>#N/A</v>
      </c>
      <c r="AG177" s="230" t="e">
        <f>T177-HLOOKUP(V177,Minimas!$C$3:$CD$12,7,FALSE)</f>
        <v>#N/A</v>
      </c>
      <c r="AH177" s="230" t="e">
        <f>T177-HLOOKUP(V177,Minimas!$C$3:$CD$12,8,FALSE)</f>
        <v>#N/A</v>
      </c>
      <c r="AI177" s="230" t="e">
        <f>T177-HLOOKUP(V177,Minimas!$C$3:$CD$12,9,FALSE)</f>
        <v>#N/A</v>
      </c>
      <c r="AJ177" s="230" t="e">
        <f>T177-HLOOKUP(V177,Minimas!$C$3:$CD$12,10,FALSE)</f>
        <v>#N/A</v>
      </c>
      <c r="AK177" s="231" t="str">
        <f t="shared" si="84"/>
        <v xml:space="preserve"> </v>
      </c>
      <c r="AL177" s="232"/>
      <c r="AM177" s="232" t="str">
        <f t="shared" si="85"/>
        <v xml:space="preserve"> </v>
      </c>
      <c r="AN177" s="232" t="str">
        <f t="shared" si="86"/>
        <v xml:space="preserve"> </v>
      </c>
    </row>
    <row r="178" spans="28:40" x14ac:dyDescent="0.25">
      <c r="AB178" s="230" t="e">
        <f>T178-HLOOKUP(V178,Minimas!$C$3:$CD$12,2,FALSE)</f>
        <v>#N/A</v>
      </c>
      <c r="AC178" s="230" t="e">
        <f>T178-HLOOKUP(V178,Minimas!$C$3:$CD$12,3,FALSE)</f>
        <v>#N/A</v>
      </c>
      <c r="AD178" s="230" t="e">
        <f>T178-HLOOKUP(V178,Minimas!$C$3:$CD$12,4,FALSE)</f>
        <v>#N/A</v>
      </c>
      <c r="AE178" s="230" t="e">
        <f>T178-HLOOKUP(V178,Minimas!$C$3:$CD$12,5,FALSE)</f>
        <v>#N/A</v>
      </c>
      <c r="AF178" s="230" t="e">
        <f>T178-HLOOKUP(V178,Minimas!$C$3:$CD$12,6,FALSE)</f>
        <v>#N/A</v>
      </c>
      <c r="AG178" s="230" t="e">
        <f>T178-HLOOKUP(V178,Minimas!$C$3:$CD$12,7,FALSE)</f>
        <v>#N/A</v>
      </c>
      <c r="AH178" s="230" t="e">
        <f>T178-HLOOKUP(V178,Minimas!$C$3:$CD$12,8,FALSE)</f>
        <v>#N/A</v>
      </c>
      <c r="AI178" s="230" t="e">
        <f>T178-HLOOKUP(V178,Minimas!$C$3:$CD$12,9,FALSE)</f>
        <v>#N/A</v>
      </c>
      <c r="AJ178" s="230" t="e">
        <f>T178-HLOOKUP(V178,Minimas!$C$3:$CD$12,10,FALSE)</f>
        <v>#N/A</v>
      </c>
      <c r="AK178" s="231" t="str">
        <f t="shared" si="84"/>
        <v xml:space="preserve"> </v>
      </c>
      <c r="AL178" s="232"/>
      <c r="AM178" s="232" t="str">
        <f t="shared" si="85"/>
        <v xml:space="preserve"> </v>
      </c>
      <c r="AN178" s="232" t="str">
        <f t="shared" si="86"/>
        <v xml:space="preserve"> </v>
      </c>
    </row>
    <row r="179" spans="28:40" x14ac:dyDescent="0.25">
      <c r="AB179" s="230" t="e">
        <f>T179-HLOOKUP(V179,Minimas!$C$3:$CD$12,2,FALSE)</f>
        <v>#N/A</v>
      </c>
      <c r="AC179" s="230" t="e">
        <f>T179-HLOOKUP(V179,Minimas!$C$3:$CD$12,3,FALSE)</f>
        <v>#N/A</v>
      </c>
      <c r="AD179" s="230" t="e">
        <f>T179-HLOOKUP(V179,Minimas!$C$3:$CD$12,4,FALSE)</f>
        <v>#N/A</v>
      </c>
      <c r="AE179" s="230" t="e">
        <f>T179-HLOOKUP(V179,Minimas!$C$3:$CD$12,5,FALSE)</f>
        <v>#N/A</v>
      </c>
      <c r="AF179" s="230" t="e">
        <f>T179-HLOOKUP(V179,Minimas!$C$3:$CD$12,6,FALSE)</f>
        <v>#N/A</v>
      </c>
      <c r="AG179" s="230" t="e">
        <f>T179-HLOOKUP(V179,Minimas!$C$3:$CD$12,7,FALSE)</f>
        <v>#N/A</v>
      </c>
      <c r="AH179" s="230" t="e">
        <f>T179-HLOOKUP(V179,Minimas!$C$3:$CD$12,8,FALSE)</f>
        <v>#N/A</v>
      </c>
      <c r="AI179" s="230" t="e">
        <f>T179-HLOOKUP(V179,Minimas!$C$3:$CD$12,9,FALSE)</f>
        <v>#N/A</v>
      </c>
      <c r="AJ179" s="230" t="e">
        <f>T179-HLOOKUP(V179,Minimas!$C$3:$CD$12,10,FALSE)</f>
        <v>#N/A</v>
      </c>
      <c r="AK179" s="231" t="str">
        <f t="shared" si="84"/>
        <v xml:space="preserve"> </v>
      </c>
      <c r="AL179" s="232"/>
      <c r="AM179" s="232" t="str">
        <f t="shared" si="85"/>
        <v xml:space="preserve"> </v>
      </c>
      <c r="AN179" s="232" t="str">
        <f t="shared" si="86"/>
        <v xml:space="preserve"> </v>
      </c>
    </row>
    <row r="180" spans="28:40" x14ac:dyDescent="0.25">
      <c r="AB180" s="230" t="e">
        <f>T180-HLOOKUP(V180,Minimas!$C$3:$CD$12,2,FALSE)</f>
        <v>#N/A</v>
      </c>
      <c r="AC180" s="230" t="e">
        <f>T180-HLOOKUP(V180,Minimas!$C$3:$CD$12,3,FALSE)</f>
        <v>#N/A</v>
      </c>
      <c r="AD180" s="230" t="e">
        <f>T180-HLOOKUP(V180,Minimas!$C$3:$CD$12,4,FALSE)</f>
        <v>#N/A</v>
      </c>
      <c r="AE180" s="230" t="e">
        <f>T180-HLOOKUP(V180,Minimas!$C$3:$CD$12,5,FALSE)</f>
        <v>#N/A</v>
      </c>
      <c r="AF180" s="230" t="e">
        <f>T180-HLOOKUP(V180,Minimas!$C$3:$CD$12,6,FALSE)</f>
        <v>#N/A</v>
      </c>
      <c r="AG180" s="230" t="e">
        <f>T180-HLOOKUP(V180,Minimas!$C$3:$CD$12,7,FALSE)</f>
        <v>#N/A</v>
      </c>
      <c r="AH180" s="230" t="e">
        <f>T180-HLOOKUP(V180,Minimas!$C$3:$CD$12,8,FALSE)</f>
        <v>#N/A</v>
      </c>
      <c r="AI180" s="230" t="e">
        <f>T180-HLOOKUP(V180,Minimas!$C$3:$CD$12,9,FALSE)</f>
        <v>#N/A</v>
      </c>
      <c r="AJ180" s="230" t="e">
        <f>T180-HLOOKUP(V180,Minimas!$C$3:$CD$12,10,FALSE)</f>
        <v>#N/A</v>
      </c>
      <c r="AK180" s="231" t="str">
        <f t="shared" si="84"/>
        <v xml:space="preserve"> </v>
      </c>
      <c r="AL180" s="232"/>
      <c r="AM180" s="232" t="str">
        <f t="shared" si="85"/>
        <v xml:space="preserve"> </v>
      </c>
      <c r="AN180" s="232" t="str">
        <f t="shared" si="86"/>
        <v xml:space="preserve"> </v>
      </c>
    </row>
    <row r="181" spans="28:40" x14ac:dyDescent="0.25">
      <c r="AB181" s="230" t="e">
        <f>T181-HLOOKUP(V181,Minimas!$C$3:$CD$12,2,FALSE)</f>
        <v>#N/A</v>
      </c>
      <c r="AC181" s="230" t="e">
        <f>T181-HLOOKUP(V181,Minimas!$C$3:$CD$12,3,FALSE)</f>
        <v>#N/A</v>
      </c>
      <c r="AD181" s="230" t="e">
        <f>T181-HLOOKUP(V181,Minimas!$C$3:$CD$12,4,FALSE)</f>
        <v>#N/A</v>
      </c>
      <c r="AE181" s="230" t="e">
        <f>T181-HLOOKUP(V181,Minimas!$C$3:$CD$12,5,FALSE)</f>
        <v>#N/A</v>
      </c>
      <c r="AF181" s="230" t="e">
        <f>T181-HLOOKUP(V181,Minimas!$C$3:$CD$12,6,FALSE)</f>
        <v>#N/A</v>
      </c>
      <c r="AG181" s="230" t="e">
        <f>T181-HLOOKUP(V181,Minimas!$C$3:$CD$12,7,FALSE)</f>
        <v>#N/A</v>
      </c>
      <c r="AH181" s="230" t="e">
        <f>T181-HLOOKUP(V181,Minimas!$C$3:$CD$12,8,FALSE)</f>
        <v>#N/A</v>
      </c>
      <c r="AI181" s="230" t="e">
        <f>T181-HLOOKUP(V181,Minimas!$C$3:$CD$12,9,FALSE)</f>
        <v>#N/A</v>
      </c>
      <c r="AJ181" s="230" t="e">
        <f>T181-HLOOKUP(V181,Minimas!$C$3:$CD$12,10,FALSE)</f>
        <v>#N/A</v>
      </c>
      <c r="AK181" s="231" t="str">
        <f t="shared" si="84"/>
        <v xml:space="preserve"> </v>
      </c>
      <c r="AL181" s="232"/>
      <c r="AM181" s="232" t="str">
        <f t="shared" si="85"/>
        <v xml:space="preserve"> </v>
      </c>
      <c r="AN181" s="232" t="str">
        <f t="shared" si="86"/>
        <v xml:space="preserve"> </v>
      </c>
    </row>
    <row r="182" spans="28:40" x14ac:dyDescent="0.25">
      <c r="AB182" s="230" t="e">
        <f>T182-HLOOKUP(V182,Minimas!$C$3:$CD$12,2,FALSE)</f>
        <v>#N/A</v>
      </c>
      <c r="AC182" s="230" t="e">
        <f>T182-HLOOKUP(V182,Minimas!$C$3:$CD$12,3,FALSE)</f>
        <v>#N/A</v>
      </c>
      <c r="AD182" s="230" t="e">
        <f>T182-HLOOKUP(V182,Minimas!$C$3:$CD$12,4,FALSE)</f>
        <v>#N/A</v>
      </c>
      <c r="AE182" s="230" t="e">
        <f>T182-HLOOKUP(V182,Minimas!$C$3:$CD$12,5,FALSE)</f>
        <v>#N/A</v>
      </c>
      <c r="AF182" s="230" t="e">
        <f>T182-HLOOKUP(V182,Minimas!$C$3:$CD$12,6,FALSE)</f>
        <v>#N/A</v>
      </c>
      <c r="AG182" s="230" t="e">
        <f>T182-HLOOKUP(V182,Minimas!$C$3:$CD$12,7,FALSE)</f>
        <v>#N/A</v>
      </c>
      <c r="AH182" s="230" t="e">
        <f>T182-HLOOKUP(V182,Minimas!$C$3:$CD$12,8,FALSE)</f>
        <v>#N/A</v>
      </c>
      <c r="AI182" s="230" t="e">
        <f>T182-HLOOKUP(V182,Minimas!$C$3:$CD$12,9,FALSE)</f>
        <v>#N/A</v>
      </c>
      <c r="AJ182" s="230" t="e">
        <f>T182-HLOOKUP(V182,Minimas!$C$3:$CD$12,10,FALSE)</f>
        <v>#N/A</v>
      </c>
      <c r="AK182" s="231" t="str">
        <f t="shared" si="84"/>
        <v xml:space="preserve"> </v>
      </c>
      <c r="AL182" s="232"/>
      <c r="AM182" s="232" t="str">
        <f t="shared" si="85"/>
        <v xml:space="preserve"> </v>
      </c>
      <c r="AN182" s="232" t="str">
        <f t="shared" si="86"/>
        <v xml:space="preserve"> </v>
      </c>
    </row>
    <row r="183" spans="28:40" x14ac:dyDescent="0.25">
      <c r="AB183" s="230" t="e">
        <f>T183-HLOOKUP(V183,Minimas!$C$3:$CD$12,2,FALSE)</f>
        <v>#N/A</v>
      </c>
      <c r="AC183" s="230" t="e">
        <f>T183-HLOOKUP(V183,Minimas!$C$3:$CD$12,3,FALSE)</f>
        <v>#N/A</v>
      </c>
      <c r="AD183" s="230" t="e">
        <f>T183-HLOOKUP(V183,Minimas!$C$3:$CD$12,4,FALSE)</f>
        <v>#N/A</v>
      </c>
      <c r="AE183" s="230" t="e">
        <f>T183-HLOOKUP(V183,Minimas!$C$3:$CD$12,5,FALSE)</f>
        <v>#N/A</v>
      </c>
      <c r="AF183" s="230" t="e">
        <f>T183-HLOOKUP(V183,Minimas!$C$3:$CD$12,6,FALSE)</f>
        <v>#N/A</v>
      </c>
      <c r="AG183" s="230" t="e">
        <f>T183-HLOOKUP(V183,Minimas!$C$3:$CD$12,7,FALSE)</f>
        <v>#N/A</v>
      </c>
      <c r="AH183" s="230" t="e">
        <f>T183-HLOOKUP(V183,Minimas!$C$3:$CD$12,8,FALSE)</f>
        <v>#N/A</v>
      </c>
      <c r="AI183" s="230" t="e">
        <f>T183-HLOOKUP(V183,Minimas!$C$3:$CD$12,9,FALSE)</f>
        <v>#N/A</v>
      </c>
      <c r="AJ183" s="230" t="e">
        <f>T183-HLOOKUP(V183,Minimas!$C$3:$CD$12,10,FALSE)</f>
        <v>#N/A</v>
      </c>
      <c r="AK183" s="231" t="str">
        <f t="shared" si="84"/>
        <v xml:space="preserve"> </v>
      </c>
      <c r="AL183" s="232"/>
      <c r="AM183" s="232" t="str">
        <f t="shared" si="85"/>
        <v xml:space="preserve"> </v>
      </c>
      <c r="AN183" s="232" t="str">
        <f t="shared" si="86"/>
        <v xml:space="preserve"> </v>
      </c>
    </row>
    <row r="184" spans="28:40" x14ac:dyDescent="0.25">
      <c r="AB184" s="230" t="e">
        <f>T184-HLOOKUP(V184,Minimas!$C$3:$CD$12,2,FALSE)</f>
        <v>#N/A</v>
      </c>
      <c r="AC184" s="230" t="e">
        <f>T184-HLOOKUP(V184,Minimas!$C$3:$CD$12,3,FALSE)</f>
        <v>#N/A</v>
      </c>
      <c r="AD184" s="230" t="e">
        <f>T184-HLOOKUP(V184,Minimas!$C$3:$CD$12,4,FALSE)</f>
        <v>#N/A</v>
      </c>
      <c r="AE184" s="230" t="e">
        <f>T184-HLOOKUP(V184,Minimas!$C$3:$CD$12,5,FALSE)</f>
        <v>#N/A</v>
      </c>
      <c r="AF184" s="230" t="e">
        <f>T184-HLOOKUP(V184,Minimas!$C$3:$CD$12,6,FALSE)</f>
        <v>#N/A</v>
      </c>
      <c r="AG184" s="230" t="e">
        <f>T184-HLOOKUP(V184,Minimas!$C$3:$CD$12,7,FALSE)</f>
        <v>#N/A</v>
      </c>
      <c r="AH184" s="230" t="e">
        <f>T184-HLOOKUP(V184,Minimas!$C$3:$CD$12,8,FALSE)</f>
        <v>#N/A</v>
      </c>
      <c r="AI184" s="230" t="e">
        <f>T184-HLOOKUP(V184,Minimas!$C$3:$CD$12,9,FALSE)</f>
        <v>#N/A</v>
      </c>
      <c r="AJ184" s="230" t="e">
        <f>T184-HLOOKUP(V184,Minimas!$C$3:$CD$12,10,FALSE)</f>
        <v>#N/A</v>
      </c>
      <c r="AK184" s="231" t="str">
        <f t="shared" si="84"/>
        <v xml:space="preserve"> </v>
      </c>
      <c r="AL184" s="232"/>
      <c r="AM184" s="232" t="str">
        <f t="shared" si="85"/>
        <v xml:space="preserve"> </v>
      </c>
      <c r="AN184" s="232" t="str">
        <f t="shared" si="86"/>
        <v xml:space="preserve"> </v>
      </c>
    </row>
    <row r="185" spans="28:40" x14ac:dyDescent="0.25">
      <c r="AB185" s="230" t="e">
        <f>T185-HLOOKUP(V185,Minimas!$C$3:$CD$12,2,FALSE)</f>
        <v>#N/A</v>
      </c>
      <c r="AC185" s="230" t="e">
        <f>T185-HLOOKUP(V185,Minimas!$C$3:$CD$12,3,FALSE)</f>
        <v>#N/A</v>
      </c>
      <c r="AD185" s="230" t="e">
        <f>T185-HLOOKUP(V185,Minimas!$C$3:$CD$12,4,FALSE)</f>
        <v>#N/A</v>
      </c>
      <c r="AE185" s="230" t="e">
        <f>T185-HLOOKUP(V185,Minimas!$C$3:$CD$12,5,FALSE)</f>
        <v>#N/A</v>
      </c>
      <c r="AF185" s="230" t="e">
        <f>T185-HLOOKUP(V185,Minimas!$C$3:$CD$12,6,FALSE)</f>
        <v>#N/A</v>
      </c>
      <c r="AG185" s="230" t="e">
        <f>T185-HLOOKUP(V185,Minimas!$C$3:$CD$12,7,FALSE)</f>
        <v>#N/A</v>
      </c>
      <c r="AH185" s="230" t="e">
        <f>T185-HLOOKUP(V185,Minimas!$C$3:$CD$12,8,FALSE)</f>
        <v>#N/A</v>
      </c>
      <c r="AI185" s="230" t="e">
        <f>T185-HLOOKUP(V185,Minimas!$C$3:$CD$12,9,FALSE)</f>
        <v>#N/A</v>
      </c>
      <c r="AJ185" s="230" t="e">
        <f>T185-HLOOKUP(V185,Minimas!$C$3:$CD$12,10,FALSE)</f>
        <v>#N/A</v>
      </c>
      <c r="AK185" s="231" t="str">
        <f t="shared" si="84"/>
        <v xml:space="preserve"> </v>
      </c>
      <c r="AL185" s="232"/>
      <c r="AM185" s="232" t="str">
        <f t="shared" si="85"/>
        <v xml:space="preserve"> </v>
      </c>
      <c r="AN185" s="232" t="str">
        <f t="shared" si="86"/>
        <v xml:space="preserve"> </v>
      </c>
    </row>
    <row r="186" spans="28:40" x14ac:dyDescent="0.25">
      <c r="AB186" s="230" t="e">
        <f>T186-HLOOKUP(V186,Minimas!$C$3:$CD$12,2,FALSE)</f>
        <v>#N/A</v>
      </c>
      <c r="AC186" s="230" t="e">
        <f>T186-HLOOKUP(V186,Minimas!$C$3:$CD$12,3,FALSE)</f>
        <v>#N/A</v>
      </c>
      <c r="AD186" s="230" t="e">
        <f>T186-HLOOKUP(V186,Minimas!$C$3:$CD$12,4,FALSE)</f>
        <v>#N/A</v>
      </c>
      <c r="AE186" s="230" t="e">
        <f>T186-HLOOKUP(V186,Minimas!$C$3:$CD$12,5,FALSE)</f>
        <v>#N/A</v>
      </c>
      <c r="AF186" s="230" t="e">
        <f>T186-HLOOKUP(V186,Minimas!$C$3:$CD$12,6,FALSE)</f>
        <v>#N/A</v>
      </c>
      <c r="AG186" s="230" t="e">
        <f>T186-HLOOKUP(V186,Minimas!$C$3:$CD$12,7,FALSE)</f>
        <v>#N/A</v>
      </c>
      <c r="AH186" s="230" t="e">
        <f>T186-HLOOKUP(V186,Minimas!$C$3:$CD$12,8,FALSE)</f>
        <v>#N/A</v>
      </c>
      <c r="AI186" s="230" t="e">
        <f>T186-HLOOKUP(V186,Minimas!$C$3:$CD$12,9,FALSE)</f>
        <v>#N/A</v>
      </c>
      <c r="AJ186" s="230" t="e">
        <f>T186-HLOOKUP(V186,Minimas!$C$3:$CD$12,10,FALSE)</f>
        <v>#N/A</v>
      </c>
      <c r="AK186" s="231" t="str">
        <f t="shared" si="84"/>
        <v xml:space="preserve"> </v>
      </c>
      <c r="AL186" s="232"/>
      <c r="AM186" s="232" t="str">
        <f t="shared" si="85"/>
        <v xml:space="preserve"> </v>
      </c>
      <c r="AN186" s="232" t="str">
        <f t="shared" si="86"/>
        <v xml:space="preserve"> </v>
      </c>
    </row>
    <row r="187" spans="28:40" x14ac:dyDescent="0.25">
      <c r="AB187" s="230" t="e">
        <f>T187-HLOOKUP(V187,Minimas!$C$3:$CD$12,2,FALSE)</f>
        <v>#N/A</v>
      </c>
      <c r="AC187" s="230" t="e">
        <f>T187-HLOOKUP(V187,Minimas!$C$3:$CD$12,3,FALSE)</f>
        <v>#N/A</v>
      </c>
      <c r="AD187" s="230" t="e">
        <f>T187-HLOOKUP(V187,Minimas!$C$3:$CD$12,4,FALSE)</f>
        <v>#N/A</v>
      </c>
      <c r="AE187" s="230" t="e">
        <f>T187-HLOOKUP(V187,Minimas!$C$3:$CD$12,5,FALSE)</f>
        <v>#N/A</v>
      </c>
      <c r="AF187" s="230" t="e">
        <f>T187-HLOOKUP(V187,Minimas!$C$3:$CD$12,6,FALSE)</f>
        <v>#N/A</v>
      </c>
      <c r="AG187" s="230" t="e">
        <f>T187-HLOOKUP(V187,Minimas!$C$3:$CD$12,7,FALSE)</f>
        <v>#N/A</v>
      </c>
      <c r="AH187" s="230" t="e">
        <f>T187-HLOOKUP(V187,Minimas!$C$3:$CD$12,8,FALSE)</f>
        <v>#N/A</v>
      </c>
      <c r="AI187" s="230" t="e">
        <f>T187-HLOOKUP(V187,Minimas!$C$3:$CD$12,9,FALSE)</f>
        <v>#N/A</v>
      </c>
      <c r="AJ187" s="230" t="e">
        <f>T187-HLOOKUP(V187,Minimas!$C$3:$CD$12,10,FALSE)</f>
        <v>#N/A</v>
      </c>
      <c r="AK187" s="231" t="str">
        <f t="shared" si="84"/>
        <v xml:space="preserve"> </v>
      </c>
      <c r="AL187" s="232"/>
      <c r="AM187" s="232" t="str">
        <f t="shared" si="85"/>
        <v xml:space="preserve"> </v>
      </c>
      <c r="AN187" s="232" t="str">
        <f t="shared" si="86"/>
        <v xml:space="preserve"> </v>
      </c>
    </row>
    <row r="188" spans="28:40" x14ac:dyDescent="0.25">
      <c r="AB188" s="230" t="e">
        <f>T188-HLOOKUP(V188,Minimas!$C$3:$CD$12,2,FALSE)</f>
        <v>#N/A</v>
      </c>
      <c r="AC188" s="230" t="e">
        <f>T188-HLOOKUP(V188,Minimas!$C$3:$CD$12,3,FALSE)</f>
        <v>#N/A</v>
      </c>
      <c r="AD188" s="230" t="e">
        <f>T188-HLOOKUP(V188,Minimas!$C$3:$CD$12,4,FALSE)</f>
        <v>#N/A</v>
      </c>
      <c r="AE188" s="230" t="e">
        <f>T188-HLOOKUP(V188,Minimas!$C$3:$CD$12,5,FALSE)</f>
        <v>#N/A</v>
      </c>
      <c r="AF188" s="230" t="e">
        <f>T188-HLOOKUP(V188,Minimas!$C$3:$CD$12,6,FALSE)</f>
        <v>#N/A</v>
      </c>
      <c r="AG188" s="230" t="e">
        <f>T188-HLOOKUP(V188,Minimas!$C$3:$CD$12,7,FALSE)</f>
        <v>#N/A</v>
      </c>
      <c r="AH188" s="230" t="e">
        <f>T188-HLOOKUP(V188,Minimas!$C$3:$CD$12,8,FALSE)</f>
        <v>#N/A</v>
      </c>
      <c r="AI188" s="230" t="e">
        <f>T188-HLOOKUP(V188,Minimas!$C$3:$CD$12,9,FALSE)</f>
        <v>#N/A</v>
      </c>
      <c r="AJ188" s="230" t="e">
        <f>T188-HLOOKUP(V188,Minimas!$C$3:$CD$12,10,FALSE)</f>
        <v>#N/A</v>
      </c>
      <c r="AK188" s="231" t="str">
        <f t="shared" si="84"/>
        <v xml:space="preserve"> </v>
      </c>
      <c r="AL188" s="232"/>
      <c r="AM188" s="232" t="str">
        <f t="shared" si="85"/>
        <v xml:space="preserve"> </v>
      </c>
      <c r="AN188" s="232" t="str">
        <f t="shared" si="86"/>
        <v xml:space="preserve"> </v>
      </c>
    </row>
    <row r="189" spans="28:40" x14ac:dyDescent="0.25">
      <c r="AB189" s="230" t="e">
        <f>T189-HLOOKUP(V189,Minimas!$C$3:$CD$12,2,FALSE)</f>
        <v>#N/A</v>
      </c>
      <c r="AC189" s="230" t="e">
        <f>T189-HLOOKUP(V189,Minimas!$C$3:$CD$12,3,FALSE)</f>
        <v>#N/A</v>
      </c>
      <c r="AD189" s="230" t="e">
        <f>T189-HLOOKUP(V189,Minimas!$C$3:$CD$12,4,FALSE)</f>
        <v>#N/A</v>
      </c>
      <c r="AE189" s="230" t="e">
        <f>T189-HLOOKUP(V189,Minimas!$C$3:$CD$12,5,FALSE)</f>
        <v>#N/A</v>
      </c>
      <c r="AF189" s="230" t="e">
        <f>T189-HLOOKUP(V189,Minimas!$C$3:$CD$12,6,FALSE)</f>
        <v>#N/A</v>
      </c>
      <c r="AG189" s="230" t="e">
        <f>T189-HLOOKUP(V189,Minimas!$C$3:$CD$12,7,FALSE)</f>
        <v>#N/A</v>
      </c>
      <c r="AH189" s="230" t="e">
        <f>T189-HLOOKUP(V189,Minimas!$C$3:$CD$12,8,FALSE)</f>
        <v>#N/A</v>
      </c>
      <c r="AI189" s="230" t="e">
        <f>T189-HLOOKUP(V189,Minimas!$C$3:$CD$12,9,FALSE)</f>
        <v>#N/A</v>
      </c>
      <c r="AJ189" s="230" t="e">
        <f>T189-HLOOKUP(V189,Minimas!$C$3:$CD$12,10,FALSE)</f>
        <v>#N/A</v>
      </c>
      <c r="AK189" s="231" t="str">
        <f t="shared" si="84"/>
        <v xml:space="preserve"> </v>
      </c>
      <c r="AL189" s="232"/>
      <c r="AM189" s="232" t="str">
        <f t="shared" si="85"/>
        <v xml:space="preserve"> </v>
      </c>
      <c r="AN189" s="232" t="str">
        <f t="shared" si="86"/>
        <v xml:space="preserve"> </v>
      </c>
    </row>
    <row r="190" spans="28:40" x14ac:dyDescent="0.25">
      <c r="AB190" s="230" t="e">
        <f>T190-HLOOKUP(V190,Minimas!$C$3:$CD$12,2,FALSE)</f>
        <v>#N/A</v>
      </c>
      <c r="AC190" s="230" t="e">
        <f>T190-HLOOKUP(V190,Minimas!$C$3:$CD$12,3,FALSE)</f>
        <v>#N/A</v>
      </c>
      <c r="AD190" s="230" t="e">
        <f>T190-HLOOKUP(V190,Minimas!$C$3:$CD$12,4,FALSE)</f>
        <v>#N/A</v>
      </c>
      <c r="AE190" s="230" t="e">
        <f>T190-HLOOKUP(V190,Minimas!$C$3:$CD$12,5,FALSE)</f>
        <v>#N/A</v>
      </c>
      <c r="AF190" s="230" t="e">
        <f>T190-HLOOKUP(V190,Minimas!$C$3:$CD$12,6,FALSE)</f>
        <v>#N/A</v>
      </c>
      <c r="AG190" s="230" t="e">
        <f>T190-HLOOKUP(V190,Minimas!$C$3:$CD$12,7,FALSE)</f>
        <v>#N/A</v>
      </c>
      <c r="AH190" s="230" t="e">
        <f>T190-HLOOKUP(V190,Minimas!$C$3:$CD$12,8,FALSE)</f>
        <v>#N/A</v>
      </c>
      <c r="AI190" s="230" t="e">
        <f>T190-HLOOKUP(V190,Minimas!$C$3:$CD$12,9,FALSE)</f>
        <v>#N/A</v>
      </c>
      <c r="AJ190" s="230" t="e">
        <f>T190-HLOOKUP(V190,Minimas!$C$3:$CD$12,10,FALSE)</f>
        <v>#N/A</v>
      </c>
      <c r="AK190" s="231" t="str">
        <f t="shared" si="84"/>
        <v xml:space="preserve"> </v>
      </c>
      <c r="AL190" s="232"/>
      <c r="AM190" s="232" t="str">
        <f t="shared" si="85"/>
        <v xml:space="preserve"> </v>
      </c>
      <c r="AN190" s="232" t="str">
        <f t="shared" si="86"/>
        <v xml:space="preserve"> </v>
      </c>
    </row>
    <row r="191" spans="28:40" x14ac:dyDescent="0.25">
      <c r="AB191" s="230" t="e">
        <f>T191-HLOOKUP(V191,Minimas!$C$3:$CD$12,2,FALSE)</f>
        <v>#N/A</v>
      </c>
      <c r="AC191" s="230" t="e">
        <f>T191-HLOOKUP(V191,Minimas!$C$3:$CD$12,3,FALSE)</f>
        <v>#N/A</v>
      </c>
      <c r="AD191" s="230" t="e">
        <f>T191-HLOOKUP(V191,Minimas!$C$3:$CD$12,4,FALSE)</f>
        <v>#N/A</v>
      </c>
      <c r="AE191" s="230" t="e">
        <f>T191-HLOOKUP(V191,Minimas!$C$3:$CD$12,5,FALSE)</f>
        <v>#N/A</v>
      </c>
      <c r="AF191" s="230" t="e">
        <f>T191-HLOOKUP(V191,Minimas!$C$3:$CD$12,6,FALSE)</f>
        <v>#N/A</v>
      </c>
      <c r="AG191" s="230" t="e">
        <f>T191-HLOOKUP(V191,Minimas!$C$3:$CD$12,7,FALSE)</f>
        <v>#N/A</v>
      </c>
      <c r="AH191" s="230" t="e">
        <f>T191-HLOOKUP(V191,Minimas!$C$3:$CD$12,8,FALSE)</f>
        <v>#N/A</v>
      </c>
      <c r="AI191" s="230" t="e">
        <f>T191-HLOOKUP(V191,Minimas!$C$3:$CD$12,9,FALSE)</f>
        <v>#N/A</v>
      </c>
      <c r="AJ191" s="230" t="e">
        <f>T191-HLOOKUP(V191,Minimas!$C$3:$CD$12,10,FALSE)</f>
        <v>#N/A</v>
      </c>
      <c r="AK191" s="231" t="str">
        <f t="shared" si="84"/>
        <v xml:space="preserve"> </v>
      </c>
      <c r="AL191" s="232"/>
      <c r="AM191" s="232" t="str">
        <f t="shared" si="85"/>
        <v xml:space="preserve"> </v>
      </c>
      <c r="AN191" s="232" t="str">
        <f t="shared" si="86"/>
        <v xml:space="preserve"> </v>
      </c>
    </row>
    <row r="192" spans="28:40" x14ac:dyDescent="0.25">
      <c r="AB192" s="230" t="e">
        <f>T192-HLOOKUP(V192,Minimas!$C$3:$CD$12,2,FALSE)</f>
        <v>#N/A</v>
      </c>
      <c r="AC192" s="230" t="e">
        <f>T192-HLOOKUP(V192,Minimas!$C$3:$CD$12,3,FALSE)</f>
        <v>#N/A</v>
      </c>
      <c r="AD192" s="230" t="e">
        <f>T192-HLOOKUP(V192,Minimas!$C$3:$CD$12,4,FALSE)</f>
        <v>#N/A</v>
      </c>
      <c r="AE192" s="230" t="e">
        <f>T192-HLOOKUP(V192,Minimas!$C$3:$CD$12,5,FALSE)</f>
        <v>#N/A</v>
      </c>
      <c r="AF192" s="230" t="e">
        <f>T192-HLOOKUP(V192,Minimas!$C$3:$CD$12,6,FALSE)</f>
        <v>#N/A</v>
      </c>
      <c r="AG192" s="230" t="e">
        <f>T192-HLOOKUP(V192,Minimas!$C$3:$CD$12,7,FALSE)</f>
        <v>#N/A</v>
      </c>
      <c r="AH192" s="230" t="e">
        <f>T192-HLOOKUP(V192,Minimas!$C$3:$CD$12,8,FALSE)</f>
        <v>#N/A</v>
      </c>
      <c r="AI192" s="230" t="e">
        <f>T192-HLOOKUP(V192,Minimas!$C$3:$CD$12,9,FALSE)</f>
        <v>#N/A</v>
      </c>
      <c r="AJ192" s="230" t="e">
        <f>T192-HLOOKUP(V192,Minimas!$C$3:$CD$12,10,FALSE)</f>
        <v>#N/A</v>
      </c>
      <c r="AK192" s="231" t="str">
        <f t="shared" si="84"/>
        <v xml:space="preserve"> </v>
      </c>
      <c r="AL192" s="232"/>
      <c r="AM192" s="232" t="str">
        <f t="shared" si="85"/>
        <v xml:space="preserve"> </v>
      </c>
      <c r="AN192" s="232" t="str">
        <f t="shared" si="86"/>
        <v xml:space="preserve"> </v>
      </c>
    </row>
    <row r="193" spans="28:40" x14ac:dyDescent="0.25">
      <c r="AB193" s="230" t="e">
        <f>T193-HLOOKUP(V193,Minimas!$C$3:$CD$12,2,FALSE)</f>
        <v>#N/A</v>
      </c>
      <c r="AC193" s="230" t="e">
        <f>T193-HLOOKUP(V193,Minimas!$C$3:$CD$12,3,FALSE)</f>
        <v>#N/A</v>
      </c>
      <c r="AD193" s="230" t="e">
        <f>T193-HLOOKUP(V193,Minimas!$C$3:$CD$12,4,FALSE)</f>
        <v>#N/A</v>
      </c>
      <c r="AE193" s="230" t="e">
        <f>T193-HLOOKUP(V193,Minimas!$C$3:$CD$12,5,FALSE)</f>
        <v>#N/A</v>
      </c>
      <c r="AF193" s="230" t="e">
        <f>T193-HLOOKUP(V193,Minimas!$C$3:$CD$12,6,FALSE)</f>
        <v>#N/A</v>
      </c>
      <c r="AG193" s="230" t="e">
        <f>T193-HLOOKUP(V193,Minimas!$C$3:$CD$12,7,FALSE)</f>
        <v>#N/A</v>
      </c>
      <c r="AH193" s="230" t="e">
        <f>T193-HLOOKUP(V193,Minimas!$C$3:$CD$12,8,FALSE)</f>
        <v>#N/A</v>
      </c>
      <c r="AI193" s="230" t="e">
        <f>T193-HLOOKUP(V193,Minimas!$C$3:$CD$12,9,FALSE)</f>
        <v>#N/A</v>
      </c>
      <c r="AJ193" s="230" t="e">
        <f>T193-HLOOKUP(V193,Minimas!$C$3:$CD$12,10,FALSE)</f>
        <v>#N/A</v>
      </c>
      <c r="AK193" s="231" t="str">
        <f t="shared" si="84"/>
        <v xml:space="preserve"> </v>
      </c>
      <c r="AL193" s="232"/>
      <c r="AM193" s="232" t="str">
        <f t="shared" si="85"/>
        <v xml:space="preserve"> </v>
      </c>
      <c r="AN193" s="232" t="str">
        <f t="shared" si="86"/>
        <v xml:space="preserve"> </v>
      </c>
    </row>
    <row r="194" spans="28:40" x14ac:dyDescent="0.25">
      <c r="AB194" s="230" t="e">
        <f>T194-HLOOKUP(V194,Minimas!$C$3:$CD$12,2,FALSE)</f>
        <v>#N/A</v>
      </c>
      <c r="AC194" s="230" t="e">
        <f>T194-HLOOKUP(V194,Minimas!$C$3:$CD$12,3,FALSE)</f>
        <v>#N/A</v>
      </c>
      <c r="AD194" s="230" t="e">
        <f>T194-HLOOKUP(V194,Minimas!$C$3:$CD$12,4,FALSE)</f>
        <v>#N/A</v>
      </c>
      <c r="AE194" s="230" t="e">
        <f>T194-HLOOKUP(V194,Minimas!$C$3:$CD$12,5,FALSE)</f>
        <v>#N/A</v>
      </c>
      <c r="AF194" s="230" t="e">
        <f>T194-HLOOKUP(V194,Minimas!$C$3:$CD$12,6,FALSE)</f>
        <v>#N/A</v>
      </c>
      <c r="AG194" s="230" t="e">
        <f>T194-HLOOKUP(V194,Minimas!$C$3:$CD$12,7,FALSE)</f>
        <v>#N/A</v>
      </c>
      <c r="AH194" s="230" t="e">
        <f>T194-HLOOKUP(V194,Minimas!$C$3:$CD$12,8,FALSE)</f>
        <v>#N/A</v>
      </c>
      <c r="AI194" s="230" t="e">
        <f>T194-HLOOKUP(V194,Minimas!$C$3:$CD$12,9,FALSE)</f>
        <v>#N/A</v>
      </c>
      <c r="AJ194" s="230" t="e">
        <f>T194-HLOOKUP(V194,Minimas!$C$3:$CD$12,10,FALSE)</f>
        <v>#N/A</v>
      </c>
      <c r="AK194" s="231" t="str">
        <f t="shared" si="84"/>
        <v xml:space="preserve"> </v>
      </c>
      <c r="AL194" s="232"/>
      <c r="AM194" s="232" t="str">
        <f t="shared" si="85"/>
        <v xml:space="preserve"> </v>
      </c>
      <c r="AN194" s="232" t="str">
        <f t="shared" si="86"/>
        <v xml:space="preserve"> </v>
      </c>
    </row>
    <row r="195" spans="28:40" x14ac:dyDescent="0.25">
      <c r="AB195" s="230" t="e">
        <f>T195-HLOOKUP(V195,Minimas!$C$3:$CD$12,2,FALSE)</f>
        <v>#N/A</v>
      </c>
      <c r="AC195" s="230" t="e">
        <f>T195-HLOOKUP(V195,Minimas!$C$3:$CD$12,3,FALSE)</f>
        <v>#N/A</v>
      </c>
      <c r="AD195" s="230" t="e">
        <f>T195-HLOOKUP(V195,Minimas!$C$3:$CD$12,4,FALSE)</f>
        <v>#N/A</v>
      </c>
      <c r="AE195" s="230" t="e">
        <f>T195-HLOOKUP(V195,Minimas!$C$3:$CD$12,5,FALSE)</f>
        <v>#N/A</v>
      </c>
      <c r="AF195" s="230" t="e">
        <f>T195-HLOOKUP(V195,Minimas!$C$3:$CD$12,6,FALSE)</f>
        <v>#N/A</v>
      </c>
      <c r="AG195" s="230" t="e">
        <f>T195-HLOOKUP(V195,Minimas!$C$3:$CD$12,7,FALSE)</f>
        <v>#N/A</v>
      </c>
      <c r="AH195" s="230" t="e">
        <f>T195-HLOOKUP(V195,Minimas!$C$3:$CD$12,8,FALSE)</f>
        <v>#N/A</v>
      </c>
      <c r="AI195" s="230" t="e">
        <f>T195-HLOOKUP(V195,Minimas!$C$3:$CD$12,9,FALSE)</f>
        <v>#N/A</v>
      </c>
      <c r="AJ195" s="230" t="e">
        <f>T195-HLOOKUP(V195,Minimas!$C$3:$CD$12,10,FALSE)</f>
        <v>#N/A</v>
      </c>
      <c r="AK195" s="231" t="str">
        <f t="shared" si="84"/>
        <v xml:space="preserve"> </v>
      </c>
      <c r="AL195" s="232"/>
      <c r="AM195" s="232" t="str">
        <f t="shared" si="85"/>
        <v xml:space="preserve"> </v>
      </c>
      <c r="AN195" s="232" t="str">
        <f t="shared" si="86"/>
        <v xml:space="preserve"> </v>
      </c>
    </row>
    <row r="196" spans="28:40" x14ac:dyDescent="0.25">
      <c r="AB196" s="230" t="e">
        <f>T196-HLOOKUP(V196,Minimas!$C$3:$CD$12,2,FALSE)</f>
        <v>#N/A</v>
      </c>
      <c r="AC196" s="230" t="e">
        <f>T196-HLOOKUP(V196,Minimas!$C$3:$CD$12,3,FALSE)</f>
        <v>#N/A</v>
      </c>
      <c r="AD196" s="230" t="e">
        <f>T196-HLOOKUP(V196,Minimas!$C$3:$CD$12,4,FALSE)</f>
        <v>#N/A</v>
      </c>
      <c r="AE196" s="230" t="e">
        <f>T196-HLOOKUP(V196,Minimas!$C$3:$CD$12,5,FALSE)</f>
        <v>#N/A</v>
      </c>
      <c r="AF196" s="230" t="e">
        <f>T196-HLOOKUP(V196,Minimas!$C$3:$CD$12,6,FALSE)</f>
        <v>#N/A</v>
      </c>
      <c r="AG196" s="230" t="e">
        <f>T196-HLOOKUP(V196,Minimas!$C$3:$CD$12,7,FALSE)</f>
        <v>#N/A</v>
      </c>
      <c r="AH196" s="230" t="e">
        <f>T196-HLOOKUP(V196,Minimas!$C$3:$CD$12,8,FALSE)</f>
        <v>#N/A</v>
      </c>
      <c r="AI196" s="230" t="e">
        <f>T196-HLOOKUP(V196,Minimas!$C$3:$CD$12,9,FALSE)</f>
        <v>#N/A</v>
      </c>
      <c r="AJ196" s="230" t="e">
        <f>T196-HLOOKUP(V196,Minimas!$C$3:$CD$12,10,FALSE)</f>
        <v>#N/A</v>
      </c>
      <c r="AK196" s="231" t="str">
        <f t="shared" ref="AK196:AK259" si="87">IF(E196=0," ",IF(AJ196&gt;=0,$AJ$5,IF(AI196&gt;=0,$AI$5,IF(AH196&gt;=0,$AH$5,IF(AG196&gt;=0,$AG$5,IF(AF196&gt;=0,$AF$5,IF(AE196&gt;=0,$AE$5,IF(AD196&gt;=0,$AD$5,IF(AC196&gt;=0,$AC$5,$AB$5)))))))))</f>
        <v xml:space="preserve"> </v>
      </c>
      <c r="AL196" s="232"/>
      <c r="AM196" s="232" t="str">
        <f t="shared" ref="AM196:AM259" si="88">IF(AK196="","",AK196)</f>
        <v xml:space="preserve"> </v>
      </c>
      <c r="AN196" s="232" t="str">
        <f t="shared" ref="AN196:AN259" si="89">IF(E196=0," ",IF(AJ196&gt;=0,AJ196,IF(AI196&gt;=0,AI196,IF(AH196&gt;=0,AH196,IF(AG196&gt;=0,AG196,IF(AF196&gt;=0,AF196,IF(AE196&gt;=0,AE196,IF(AD196&gt;=0,AD196,IF(AC196&gt;=0,AC196,AB196)))))))))</f>
        <v xml:space="preserve"> </v>
      </c>
    </row>
    <row r="197" spans="28:40" x14ac:dyDescent="0.25">
      <c r="AB197" s="230" t="e">
        <f>T197-HLOOKUP(V197,Minimas!$C$3:$CD$12,2,FALSE)</f>
        <v>#N/A</v>
      </c>
      <c r="AC197" s="230" t="e">
        <f>T197-HLOOKUP(V197,Minimas!$C$3:$CD$12,3,FALSE)</f>
        <v>#N/A</v>
      </c>
      <c r="AD197" s="230" t="e">
        <f>T197-HLOOKUP(V197,Minimas!$C$3:$CD$12,4,FALSE)</f>
        <v>#N/A</v>
      </c>
      <c r="AE197" s="230" t="e">
        <f>T197-HLOOKUP(V197,Minimas!$C$3:$CD$12,5,FALSE)</f>
        <v>#N/A</v>
      </c>
      <c r="AF197" s="230" t="e">
        <f>T197-HLOOKUP(V197,Minimas!$C$3:$CD$12,6,FALSE)</f>
        <v>#N/A</v>
      </c>
      <c r="AG197" s="230" t="e">
        <f>T197-HLOOKUP(V197,Minimas!$C$3:$CD$12,7,FALSE)</f>
        <v>#N/A</v>
      </c>
      <c r="AH197" s="230" t="e">
        <f>T197-HLOOKUP(V197,Minimas!$C$3:$CD$12,8,FALSE)</f>
        <v>#N/A</v>
      </c>
      <c r="AI197" s="230" t="e">
        <f>T197-HLOOKUP(V197,Minimas!$C$3:$CD$12,9,FALSE)</f>
        <v>#N/A</v>
      </c>
      <c r="AJ197" s="230" t="e">
        <f>T197-HLOOKUP(V197,Minimas!$C$3:$CD$12,10,FALSE)</f>
        <v>#N/A</v>
      </c>
      <c r="AK197" s="231" t="str">
        <f t="shared" si="87"/>
        <v xml:space="preserve"> </v>
      </c>
      <c r="AL197" s="232"/>
      <c r="AM197" s="232" t="str">
        <f t="shared" si="88"/>
        <v xml:space="preserve"> </v>
      </c>
      <c r="AN197" s="232" t="str">
        <f t="shared" si="89"/>
        <v xml:space="preserve"> </v>
      </c>
    </row>
    <row r="198" spans="28:40" x14ac:dyDescent="0.25">
      <c r="AB198" s="230" t="e">
        <f>T198-HLOOKUP(V198,Minimas!$C$3:$CD$12,2,FALSE)</f>
        <v>#N/A</v>
      </c>
      <c r="AC198" s="230" t="e">
        <f>T198-HLOOKUP(V198,Minimas!$C$3:$CD$12,3,FALSE)</f>
        <v>#N/A</v>
      </c>
      <c r="AD198" s="230" t="e">
        <f>T198-HLOOKUP(V198,Minimas!$C$3:$CD$12,4,FALSE)</f>
        <v>#N/A</v>
      </c>
      <c r="AE198" s="230" t="e">
        <f>T198-HLOOKUP(V198,Minimas!$C$3:$CD$12,5,FALSE)</f>
        <v>#N/A</v>
      </c>
      <c r="AF198" s="230" t="e">
        <f>T198-HLOOKUP(V198,Minimas!$C$3:$CD$12,6,FALSE)</f>
        <v>#N/A</v>
      </c>
      <c r="AG198" s="230" t="e">
        <f>T198-HLOOKUP(V198,Minimas!$C$3:$CD$12,7,FALSE)</f>
        <v>#N/A</v>
      </c>
      <c r="AH198" s="230" t="e">
        <f>T198-HLOOKUP(V198,Minimas!$C$3:$CD$12,8,FALSE)</f>
        <v>#N/A</v>
      </c>
      <c r="AI198" s="230" t="e">
        <f>T198-HLOOKUP(V198,Minimas!$C$3:$CD$12,9,FALSE)</f>
        <v>#N/A</v>
      </c>
      <c r="AJ198" s="230" t="e">
        <f>T198-HLOOKUP(V198,Minimas!$C$3:$CD$12,10,FALSE)</f>
        <v>#N/A</v>
      </c>
      <c r="AK198" s="231" t="str">
        <f t="shared" si="87"/>
        <v xml:space="preserve"> </v>
      </c>
      <c r="AL198" s="232"/>
      <c r="AM198" s="232" t="str">
        <f t="shared" si="88"/>
        <v xml:space="preserve"> </v>
      </c>
      <c r="AN198" s="232" t="str">
        <f t="shared" si="89"/>
        <v xml:space="preserve"> </v>
      </c>
    </row>
    <row r="199" spans="28:40" x14ac:dyDescent="0.25">
      <c r="AB199" s="230" t="e">
        <f>T199-HLOOKUP(V199,Minimas!$C$3:$CD$12,2,FALSE)</f>
        <v>#N/A</v>
      </c>
      <c r="AC199" s="230" t="e">
        <f>T199-HLOOKUP(V199,Minimas!$C$3:$CD$12,3,FALSE)</f>
        <v>#N/A</v>
      </c>
      <c r="AD199" s="230" t="e">
        <f>T199-HLOOKUP(V199,Minimas!$C$3:$CD$12,4,FALSE)</f>
        <v>#N/A</v>
      </c>
      <c r="AE199" s="230" t="e">
        <f>T199-HLOOKUP(V199,Minimas!$C$3:$CD$12,5,FALSE)</f>
        <v>#N/A</v>
      </c>
      <c r="AF199" s="230" t="e">
        <f>T199-HLOOKUP(V199,Minimas!$C$3:$CD$12,6,FALSE)</f>
        <v>#N/A</v>
      </c>
      <c r="AG199" s="230" t="e">
        <f>T199-HLOOKUP(V199,Minimas!$C$3:$CD$12,7,FALSE)</f>
        <v>#N/A</v>
      </c>
      <c r="AH199" s="230" t="e">
        <f>T199-HLOOKUP(V199,Minimas!$C$3:$CD$12,8,FALSE)</f>
        <v>#N/A</v>
      </c>
      <c r="AI199" s="230" t="e">
        <f>T199-HLOOKUP(V199,Minimas!$C$3:$CD$12,9,FALSE)</f>
        <v>#N/A</v>
      </c>
      <c r="AJ199" s="230" t="e">
        <f>T199-HLOOKUP(V199,Minimas!$C$3:$CD$12,10,FALSE)</f>
        <v>#N/A</v>
      </c>
      <c r="AK199" s="231" t="str">
        <f t="shared" si="87"/>
        <v xml:space="preserve"> </v>
      </c>
      <c r="AL199" s="232"/>
      <c r="AM199" s="232" t="str">
        <f t="shared" si="88"/>
        <v xml:space="preserve"> </v>
      </c>
      <c r="AN199" s="232" t="str">
        <f t="shared" si="89"/>
        <v xml:space="preserve"> </v>
      </c>
    </row>
    <row r="200" spans="28:40" x14ac:dyDescent="0.25">
      <c r="AB200" s="230" t="e">
        <f>T200-HLOOKUP(V200,Minimas!$C$3:$CD$12,2,FALSE)</f>
        <v>#N/A</v>
      </c>
      <c r="AC200" s="230" t="e">
        <f>T200-HLOOKUP(V200,Minimas!$C$3:$CD$12,3,FALSE)</f>
        <v>#N/A</v>
      </c>
      <c r="AD200" s="230" t="e">
        <f>T200-HLOOKUP(V200,Minimas!$C$3:$CD$12,4,FALSE)</f>
        <v>#N/A</v>
      </c>
      <c r="AE200" s="230" t="e">
        <f>T200-HLOOKUP(V200,Minimas!$C$3:$CD$12,5,FALSE)</f>
        <v>#N/A</v>
      </c>
      <c r="AF200" s="230" t="e">
        <f>T200-HLOOKUP(V200,Minimas!$C$3:$CD$12,6,FALSE)</f>
        <v>#N/A</v>
      </c>
      <c r="AG200" s="230" t="e">
        <f>T200-HLOOKUP(V200,Minimas!$C$3:$CD$12,7,FALSE)</f>
        <v>#N/A</v>
      </c>
      <c r="AH200" s="230" t="e">
        <f>T200-HLOOKUP(V200,Minimas!$C$3:$CD$12,8,FALSE)</f>
        <v>#N/A</v>
      </c>
      <c r="AI200" s="230" t="e">
        <f>T200-HLOOKUP(V200,Minimas!$C$3:$CD$12,9,FALSE)</f>
        <v>#N/A</v>
      </c>
      <c r="AJ200" s="230" t="e">
        <f>T200-HLOOKUP(V200,Minimas!$C$3:$CD$12,10,FALSE)</f>
        <v>#N/A</v>
      </c>
      <c r="AK200" s="231" t="str">
        <f t="shared" si="87"/>
        <v xml:space="preserve"> </v>
      </c>
      <c r="AL200" s="232"/>
      <c r="AM200" s="232" t="str">
        <f t="shared" si="88"/>
        <v xml:space="preserve"> </v>
      </c>
      <c r="AN200" s="232" t="str">
        <f t="shared" si="89"/>
        <v xml:space="preserve"> </v>
      </c>
    </row>
    <row r="201" spans="28:40" x14ac:dyDescent="0.25">
      <c r="AB201" s="230" t="e">
        <f>T201-HLOOKUP(V201,Minimas!$C$3:$CD$12,2,FALSE)</f>
        <v>#N/A</v>
      </c>
      <c r="AC201" s="230" t="e">
        <f>T201-HLOOKUP(V201,Minimas!$C$3:$CD$12,3,FALSE)</f>
        <v>#N/A</v>
      </c>
      <c r="AD201" s="230" t="e">
        <f>T201-HLOOKUP(V201,Minimas!$C$3:$CD$12,4,FALSE)</f>
        <v>#N/A</v>
      </c>
      <c r="AE201" s="230" t="e">
        <f>T201-HLOOKUP(V201,Minimas!$C$3:$CD$12,5,FALSE)</f>
        <v>#N/A</v>
      </c>
      <c r="AF201" s="230" t="e">
        <f>T201-HLOOKUP(V201,Minimas!$C$3:$CD$12,6,FALSE)</f>
        <v>#N/A</v>
      </c>
      <c r="AG201" s="230" t="e">
        <f>T201-HLOOKUP(V201,Minimas!$C$3:$CD$12,7,FALSE)</f>
        <v>#N/A</v>
      </c>
      <c r="AH201" s="230" t="e">
        <f>T201-HLOOKUP(V201,Minimas!$C$3:$CD$12,8,FALSE)</f>
        <v>#N/A</v>
      </c>
      <c r="AI201" s="230" t="e">
        <f>T201-HLOOKUP(V201,Minimas!$C$3:$CD$12,9,FALSE)</f>
        <v>#N/A</v>
      </c>
      <c r="AJ201" s="230" t="e">
        <f>T201-HLOOKUP(V201,Minimas!$C$3:$CD$12,10,FALSE)</f>
        <v>#N/A</v>
      </c>
      <c r="AK201" s="231" t="str">
        <f t="shared" si="87"/>
        <v xml:space="preserve"> </v>
      </c>
      <c r="AL201" s="232"/>
      <c r="AM201" s="232" t="str">
        <f t="shared" si="88"/>
        <v xml:space="preserve"> </v>
      </c>
      <c r="AN201" s="232" t="str">
        <f t="shared" si="89"/>
        <v xml:space="preserve"> </v>
      </c>
    </row>
    <row r="202" spans="28:40" x14ac:dyDescent="0.25">
      <c r="AB202" s="230" t="e">
        <f>T202-HLOOKUP(V202,Minimas!$C$3:$CD$12,2,FALSE)</f>
        <v>#N/A</v>
      </c>
      <c r="AC202" s="230" t="e">
        <f>T202-HLOOKUP(V202,Minimas!$C$3:$CD$12,3,FALSE)</f>
        <v>#N/A</v>
      </c>
      <c r="AD202" s="230" t="e">
        <f>T202-HLOOKUP(V202,Minimas!$C$3:$CD$12,4,FALSE)</f>
        <v>#N/A</v>
      </c>
      <c r="AE202" s="230" t="e">
        <f>T202-HLOOKUP(V202,Minimas!$C$3:$CD$12,5,FALSE)</f>
        <v>#N/A</v>
      </c>
      <c r="AF202" s="230" t="e">
        <f>T202-HLOOKUP(V202,Minimas!$C$3:$CD$12,6,FALSE)</f>
        <v>#N/A</v>
      </c>
      <c r="AG202" s="230" t="e">
        <f>T202-HLOOKUP(V202,Minimas!$C$3:$CD$12,7,FALSE)</f>
        <v>#N/A</v>
      </c>
      <c r="AH202" s="230" t="e">
        <f>T202-HLOOKUP(V202,Minimas!$C$3:$CD$12,8,FALSE)</f>
        <v>#N/A</v>
      </c>
      <c r="AI202" s="230" t="e">
        <f>T202-HLOOKUP(V202,Minimas!$C$3:$CD$12,9,FALSE)</f>
        <v>#N/A</v>
      </c>
      <c r="AJ202" s="230" t="e">
        <f>T202-HLOOKUP(V202,Minimas!$C$3:$CD$12,10,FALSE)</f>
        <v>#N/A</v>
      </c>
      <c r="AK202" s="231" t="str">
        <f t="shared" si="87"/>
        <v xml:space="preserve"> </v>
      </c>
      <c r="AL202" s="232"/>
      <c r="AM202" s="232" t="str">
        <f t="shared" si="88"/>
        <v xml:space="preserve"> </v>
      </c>
      <c r="AN202" s="232" t="str">
        <f t="shared" si="89"/>
        <v xml:space="preserve"> </v>
      </c>
    </row>
    <row r="203" spans="28:40" x14ac:dyDescent="0.25">
      <c r="AB203" s="230" t="e">
        <f>T203-HLOOKUP(V203,Minimas!$C$3:$CD$12,2,FALSE)</f>
        <v>#N/A</v>
      </c>
      <c r="AC203" s="230" t="e">
        <f>T203-HLOOKUP(V203,Minimas!$C$3:$CD$12,3,FALSE)</f>
        <v>#N/A</v>
      </c>
      <c r="AD203" s="230" t="e">
        <f>T203-HLOOKUP(V203,Minimas!$C$3:$CD$12,4,FALSE)</f>
        <v>#N/A</v>
      </c>
      <c r="AE203" s="230" t="e">
        <f>T203-HLOOKUP(V203,Minimas!$C$3:$CD$12,5,FALSE)</f>
        <v>#N/A</v>
      </c>
      <c r="AF203" s="230" t="e">
        <f>T203-HLOOKUP(V203,Minimas!$C$3:$CD$12,6,FALSE)</f>
        <v>#N/A</v>
      </c>
      <c r="AG203" s="230" t="e">
        <f>T203-HLOOKUP(V203,Minimas!$C$3:$CD$12,7,FALSE)</f>
        <v>#N/A</v>
      </c>
      <c r="AH203" s="230" t="e">
        <f>T203-HLOOKUP(V203,Minimas!$C$3:$CD$12,8,FALSE)</f>
        <v>#N/A</v>
      </c>
      <c r="AI203" s="230" t="e">
        <f>T203-HLOOKUP(V203,Minimas!$C$3:$CD$12,9,FALSE)</f>
        <v>#N/A</v>
      </c>
      <c r="AJ203" s="230" t="e">
        <f>T203-HLOOKUP(V203,Minimas!$C$3:$CD$12,10,FALSE)</f>
        <v>#N/A</v>
      </c>
      <c r="AK203" s="231" t="str">
        <f t="shared" si="87"/>
        <v xml:space="preserve"> </v>
      </c>
      <c r="AL203" s="232"/>
      <c r="AM203" s="232" t="str">
        <f t="shared" si="88"/>
        <v xml:space="preserve"> </v>
      </c>
      <c r="AN203" s="232" t="str">
        <f t="shared" si="89"/>
        <v xml:space="preserve"> </v>
      </c>
    </row>
    <row r="204" spans="28:40" x14ac:dyDescent="0.25">
      <c r="AB204" s="230" t="e">
        <f>T204-HLOOKUP(V204,Minimas!$C$3:$CD$12,2,FALSE)</f>
        <v>#N/A</v>
      </c>
      <c r="AC204" s="230" t="e">
        <f>T204-HLOOKUP(V204,Minimas!$C$3:$CD$12,3,FALSE)</f>
        <v>#N/A</v>
      </c>
      <c r="AD204" s="230" t="e">
        <f>T204-HLOOKUP(V204,Minimas!$C$3:$CD$12,4,FALSE)</f>
        <v>#N/A</v>
      </c>
      <c r="AE204" s="230" t="e">
        <f>T204-HLOOKUP(V204,Minimas!$C$3:$CD$12,5,FALSE)</f>
        <v>#N/A</v>
      </c>
      <c r="AF204" s="230" t="e">
        <f>T204-HLOOKUP(V204,Minimas!$C$3:$CD$12,6,FALSE)</f>
        <v>#N/A</v>
      </c>
      <c r="AG204" s="230" t="e">
        <f>T204-HLOOKUP(V204,Minimas!$C$3:$CD$12,7,FALSE)</f>
        <v>#N/A</v>
      </c>
      <c r="AH204" s="230" t="e">
        <f>T204-HLOOKUP(V204,Minimas!$C$3:$CD$12,8,FALSE)</f>
        <v>#N/A</v>
      </c>
      <c r="AI204" s="230" t="e">
        <f>T204-HLOOKUP(V204,Minimas!$C$3:$CD$12,9,FALSE)</f>
        <v>#N/A</v>
      </c>
      <c r="AJ204" s="230" t="e">
        <f>T204-HLOOKUP(V204,Minimas!$C$3:$CD$12,10,FALSE)</f>
        <v>#N/A</v>
      </c>
      <c r="AK204" s="231" t="str">
        <f t="shared" si="87"/>
        <v xml:space="preserve"> </v>
      </c>
      <c r="AL204" s="232"/>
      <c r="AM204" s="232" t="str">
        <f t="shared" si="88"/>
        <v xml:space="preserve"> </v>
      </c>
      <c r="AN204" s="232" t="str">
        <f t="shared" si="89"/>
        <v xml:space="preserve"> </v>
      </c>
    </row>
    <row r="205" spans="28:40" x14ac:dyDescent="0.25">
      <c r="AB205" s="230" t="e">
        <f>T205-HLOOKUP(V205,Minimas!$C$3:$CD$12,2,FALSE)</f>
        <v>#N/A</v>
      </c>
      <c r="AC205" s="230" t="e">
        <f>T205-HLOOKUP(V205,Minimas!$C$3:$CD$12,3,FALSE)</f>
        <v>#N/A</v>
      </c>
      <c r="AD205" s="230" t="e">
        <f>T205-HLOOKUP(V205,Minimas!$C$3:$CD$12,4,FALSE)</f>
        <v>#N/A</v>
      </c>
      <c r="AE205" s="230" t="e">
        <f>T205-HLOOKUP(V205,Minimas!$C$3:$CD$12,5,FALSE)</f>
        <v>#N/A</v>
      </c>
      <c r="AF205" s="230" t="e">
        <f>T205-HLOOKUP(V205,Minimas!$C$3:$CD$12,6,FALSE)</f>
        <v>#N/A</v>
      </c>
      <c r="AG205" s="230" t="e">
        <f>T205-HLOOKUP(V205,Minimas!$C$3:$CD$12,7,FALSE)</f>
        <v>#N/A</v>
      </c>
      <c r="AH205" s="230" t="e">
        <f>T205-HLOOKUP(V205,Minimas!$C$3:$CD$12,8,FALSE)</f>
        <v>#N/A</v>
      </c>
      <c r="AI205" s="230" t="e">
        <f>T205-HLOOKUP(V205,Minimas!$C$3:$CD$12,9,FALSE)</f>
        <v>#N/A</v>
      </c>
      <c r="AJ205" s="230" t="e">
        <f>T205-HLOOKUP(V205,Minimas!$C$3:$CD$12,10,FALSE)</f>
        <v>#N/A</v>
      </c>
      <c r="AK205" s="231" t="str">
        <f t="shared" si="87"/>
        <v xml:space="preserve"> </v>
      </c>
      <c r="AL205" s="232"/>
      <c r="AM205" s="232" t="str">
        <f t="shared" si="88"/>
        <v xml:space="preserve"> </v>
      </c>
      <c r="AN205" s="232" t="str">
        <f t="shared" si="89"/>
        <v xml:space="preserve"> </v>
      </c>
    </row>
    <row r="206" spans="28:40" x14ac:dyDescent="0.25">
      <c r="AB206" s="230" t="e">
        <f>T206-HLOOKUP(V206,Minimas!$C$3:$CD$12,2,FALSE)</f>
        <v>#N/A</v>
      </c>
      <c r="AC206" s="230" t="e">
        <f>T206-HLOOKUP(V206,Minimas!$C$3:$CD$12,3,FALSE)</f>
        <v>#N/A</v>
      </c>
      <c r="AD206" s="230" t="e">
        <f>T206-HLOOKUP(V206,Minimas!$C$3:$CD$12,4,FALSE)</f>
        <v>#N/A</v>
      </c>
      <c r="AE206" s="230" t="e">
        <f>T206-HLOOKUP(V206,Minimas!$C$3:$CD$12,5,FALSE)</f>
        <v>#N/A</v>
      </c>
      <c r="AF206" s="230" t="e">
        <f>T206-HLOOKUP(V206,Minimas!$C$3:$CD$12,6,FALSE)</f>
        <v>#N/A</v>
      </c>
      <c r="AG206" s="230" t="e">
        <f>T206-HLOOKUP(V206,Minimas!$C$3:$CD$12,7,FALSE)</f>
        <v>#N/A</v>
      </c>
      <c r="AH206" s="230" t="e">
        <f>T206-HLOOKUP(V206,Minimas!$C$3:$CD$12,8,FALSE)</f>
        <v>#N/A</v>
      </c>
      <c r="AI206" s="230" t="e">
        <f>T206-HLOOKUP(V206,Minimas!$C$3:$CD$12,9,FALSE)</f>
        <v>#N/A</v>
      </c>
      <c r="AJ206" s="230" t="e">
        <f>T206-HLOOKUP(V206,Minimas!$C$3:$CD$12,10,FALSE)</f>
        <v>#N/A</v>
      </c>
      <c r="AK206" s="231" t="str">
        <f t="shared" si="87"/>
        <v xml:space="preserve"> </v>
      </c>
      <c r="AL206" s="232"/>
      <c r="AM206" s="232" t="str">
        <f t="shared" si="88"/>
        <v xml:space="preserve"> </v>
      </c>
      <c r="AN206" s="232" t="str">
        <f t="shared" si="89"/>
        <v xml:space="preserve"> </v>
      </c>
    </row>
    <row r="207" spans="28:40" x14ac:dyDescent="0.25">
      <c r="AB207" s="230" t="e">
        <f>T207-HLOOKUP(V207,Minimas!$C$3:$CD$12,2,FALSE)</f>
        <v>#N/A</v>
      </c>
      <c r="AC207" s="230" t="e">
        <f>T207-HLOOKUP(V207,Minimas!$C$3:$CD$12,3,FALSE)</f>
        <v>#N/A</v>
      </c>
      <c r="AD207" s="230" t="e">
        <f>T207-HLOOKUP(V207,Minimas!$C$3:$CD$12,4,FALSE)</f>
        <v>#N/A</v>
      </c>
      <c r="AE207" s="230" t="e">
        <f>T207-HLOOKUP(V207,Minimas!$C$3:$CD$12,5,FALSE)</f>
        <v>#N/A</v>
      </c>
      <c r="AF207" s="230" t="e">
        <f>T207-HLOOKUP(V207,Minimas!$C$3:$CD$12,6,FALSE)</f>
        <v>#N/A</v>
      </c>
      <c r="AG207" s="230" t="e">
        <f>T207-HLOOKUP(V207,Minimas!$C$3:$CD$12,7,FALSE)</f>
        <v>#N/A</v>
      </c>
      <c r="AH207" s="230" t="e">
        <f>T207-HLOOKUP(V207,Minimas!$C$3:$CD$12,8,FALSE)</f>
        <v>#N/A</v>
      </c>
      <c r="AI207" s="230" t="e">
        <f>T207-HLOOKUP(V207,Minimas!$C$3:$CD$12,9,FALSE)</f>
        <v>#N/A</v>
      </c>
      <c r="AJ207" s="230" t="e">
        <f>T207-HLOOKUP(V207,Minimas!$C$3:$CD$12,10,FALSE)</f>
        <v>#N/A</v>
      </c>
      <c r="AK207" s="231" t="str">
        <f t="shared" si="87"/>
        <v xml:space="preserve"> </v>
      </c>
      <c r="AL207" s="232"/>
      <c r="AM207" s="232" t="str">
        <f t="shared" si="88"/>
        <v xml:space="preserve"> </v>
      </c>
      <c r="AN207" s="232" t="str">
        <f t="shared" si="89"/>
        <v xml:space="preserve"> </v>
      </c>
    </row>
    <row r="208" spans="28:40" x14ac:dyDescent="0.25">
      <c r="AB208" s="230" t="e">
        <f>T208-HLOOKUP(V208,Minimas!$C$3:$CD$12,2,FALSE)</f>
        <v>#N/A</v>
      </c>
      <c r="AC208" s="230" t="e">
        <f>T208-HLOOKUP(V208,Minimas!$C$3:$CD$12,3,FALSE)</f>
        <v>#N/A</v>
      </c>
      <c r="AD208" s="230" t="e">
        <f>T208-HLOOKUP(V208,Minimas!$C$3:$CD$12,4,FALSE)</f>
        <v>#N/A</v>
      </c>
      <c r="AE208" s="230" t="e">
        <f>T208-HLOOKUP(V208,Minimas!$C$3:$CD$12,5,FALSE)</f>
        <v>#N/A</v>
      </c>
      <c r="AF208" s="230" t="e">
        <f>T208-HLOOKUP(V208,Minimas!$C$3:$CD$12,6,FALSE)</f>
        <v>#N/A</v>
      </c>
      <c r="AG208" s="230" t="e">
        <f>T208-HLOOKUP(V208,Minimas!$C$3:$CD$12,7,FALSE)</f>
        <v>#N/A</v>
      </c>
      <c r="AH208" s="230" t="e">
        <f>T208-HLOOKUP(V208,Minimas!$C$3:$CD$12,8,FALSE)</f>
        <v>#N/A</v>
      </c>
      <c r="AI208" s="230" t="e">
        <f>T208-HLOOKUP(V208,Minimas!$C$3:$CD$12,9,FALSE)</f>
        <v>#N/A</v>
      </c>
      <c r="AJ208" s="230" t="e">
        <f>T208-HLOOKUP(V208,Minimas!$C$3:$CD$12,10,FALSE)</f>
        <v>#N/A</v>
      </c>
      <c r="AK208" s="231" t="str">
        <f t="shared" si="87"/>
        <v xml:space="preserve"> </v>
      </c>
      <c r="AL208" s="232"/>
      <c r="AM208" s="232" t="str">
        <f t="shared" si="88"/>
        <v xml:space="preserve"> </v>
      </c>
      <c r="AN208" s="232" t="str">
        <f t="shared" si="89"/>
        <v xml:space="preserve"> </v>
      </c>
    </row>
    <row r="209" spans="28:40" x14ac:dyDescent="0.25">
      <c r="AB209" s="230" t="e">
        <f>T209-HLOOKUP(V209,Minimas!$C$3:$CD$12,2,FALSE)</f>
        <v>#N/A</v>
      </c>
      <c r="AC209" s="230" t="e">
        <f>T209-HLOOKUP(V209,Minimas!$C$3:$CD$12,3,FALSE)</f>
        <v>#N/A</v>
      </c>
      <c r="AD209" s="230" t="e">
        <f>T209-HLOOKUP(V209,Minimas!$C$3:$CD$12,4,FALSE)</f>
        <v>#N/A</v>
      </c>
      <c r="AE209" s="230" t="e">
        <f>T209-HLOOKUP(V209,Minimas!$C$3:$CD$12,5,FALSE)</f>
        <v>#N/A</v>
      </c>
      <c r="AF209" s="230" t="e">
        <f>T209-HLOOKUP(V209,Minimas!$C$3:$CD$12,6,FALSE)</f>
        <v>#N/A</v>
      </c>
      <c r="AG209" s="230" t="e">
        <f>T209-HLOOKUP(V209,Minimas!$C$3:$CD$12,7,FALSE)</f>
        <v>#N/A</v>
      </c>
      <c r="AH209" s="230" t="e">
        <f>T209-HLOOKUP(V209,Minimas!$C$3:$CD$12,8,FALSE)</f>
        <v>#N/A</v>
      </c>
      <c r="AI209" s="230" t="e">
        <f>T209-HLOOKUP(V209,Minimas!$C$3:$CD$12,9,FALSE)</f>
        <v>#N/A</v>
      </c>
      <c r="AJ209" s="230" t="e">
        <f>T209-HLOOKUP(V209,Minimas!$C$3:$CD$12,10,FALSE)</f>
        <v>#N/A</v>
      </c>
      <c r="AK209" s="231" t="str">
        <f t="shared" si="87"/>
        <v xml:space="preserve"> </v>
      </c>
      <c r="AL209" s="232"/>
      <c r="AM209" s="232" t="str">
        <f t="shared" si="88"/>
        <v xml:space="preserve"> </v>
      </c>
      <c r="AN209" s="232" t="str">
        <f t="shared" si="89"/>
        <v xml:space="preserve"> </v>
      </c>
    </row>
    <row r="210" spans="28:40" x14ac:dyDescent="0.25">
      <c r="AB210" s="230" t="e">
        <f>T210-HLOOKUP(V210,Minimas!$C$3:$CD$12,2,FALSE)</f>
        <v>#N/A</v>
      </c>
      <c r="AC210" s="230" t="e">
        <f>T210-HLOOKUP(V210,Minimas!$C$3:$CD$12,3,FALSE)</f>
        <v>#N/A</v>
      </c>
      <c r="AD210" s="230" t="e">
        <f>T210-HLOOKUP(V210,Minimas!$C$3:$CD$12,4,FALSE)</f>
        <v>#N/A</v>
      </c>
      <c r="AE210" s="230" t="e">
        <f>T210-HLOOKUP(V210,Minimas!$C$3:$CD$12,5,FALSE)</f>
        <v>#N/A</v>
      </c>
      <c r="AF210" s="230" t="e">
        <f>T210-HLOOKUP(V210,Minimas!$C$3:$CD$12,6,FALSE)</f>
        <v>#N/A</v>
      </c>
      <c r="AG210" s="230" t="e">
        <f>T210-HLOOKUP(V210,Minimas!$C$3:$CD$12,7,FALSE)</f>
        <v>#N/A</v>
      </c>
      <c r="AH210" s="230" t="e">
        <f>T210-HLOOKUP(V210,Minimas!$C$3:$CD$12,8,FALSE)</f>
        <v>#N/A</v>
      </c>
      <c r="AI210" s="230" t="e">
        <f>T210-HLOOKUP(V210,Minimas!$C$3:$CD$12,9,FALSE)</f>
        <v>#N/A</v>
      </c>
      <c r="AJ210" s="230" t="e">
        <f>T210-HLOOKUP(V210,Minimas!$C$3:$CD$12,10,FALSE)</f>
        <v>#N/A</v>
      </c>
      <c r="AK210" s="231" t="str">
        <f t="shared" si="87"/>
        <v xml:space="preserve"> </v>
      </c>
      <c r="AL210" s="232"/>
      <c r="AM210" s="232" t="str">
        <f t="shared" si="88"/>
        <v xml:space="preserve"> </v>
      </c>
      <c r="AN210" s="232" t="str">
        <f t="shared" si="89"/>
        <v xml:space="preserve"> </v>
      </c>
    </row>
    <row r="211" spans="28:40" x14ac:dyDescent="0.25">
      <c r="AB211" s="230" t="e">
        <f>T211-HLOOKUP(V211,Minimas!$C$3:$CD$12,2,FALSE)</f>
        <v>#N/A</v>
      </c>
      <c r="AC211" s="230" t="e">
        <f>T211-HLOOKUP(V211,Minimas!$C$3:$CD$12,3,FALSE)</f>
        <v>#N/A</v>
      </c>
      <c r="AD211" s="230" t="e">
        <f>T211-HLOOKUP(V211,Minimas!$C$3:$CD$12,4,FALSE)</f>
        <v>#N/A</v>
      </c>
      <c r="AE211" s="230" t="e">
        <f>T211-HLOOKUP(V211,Minimas!$C$3:$CD$12,5,FALSE)</f>
        <v>#N/A</v>
      </c>
      <c r="AF211" s="230" t="e">
        <f>T211-HLOOKUP(V211,Minimas!$C$3:$CD$12,6,FALSE)</f>
        <v>#N/A</v>
      </c>
      <c r="AG211" s="230" t="e">
        <f>T211-HLOOKUP(V211,Minimas!$C$3:$CD$12,7,FALSE)</f>
        <v>#N/A</v>
      </c>
      <c r="AH211" s="230" t="e">
        <f>T211-HLOOKUP(V211,Minimas!$C$3:$CD$12,8,FALSE)</f>
        <v>#N/A</v>
      </c>
      <c r="AI211" s="230" t="e">
        <f>T211-HLOOKUP(V211,Minimas!$C$3:$CD$12,9,FALSE)</f>
        <v>#N/A</v>
      </c>
      <c r="AJ211" s="230" t="e">
        <f>T211-HLOOKUP(V211,Minimas!$C$3:$CD$12,10,FALSE)</f>
        <v>#N/A</v>
      </c>
      <c r="AK211" s="231" t="str">
        <f t="shared" si="87"/>
        <v xml:space="preserve"> </v>
      </c>
      <c r="AL211" s="232"/>
      <c r="AM211" s="232" t="str">
        <f t="shared" si="88"/>
        <v xml:space="preserve"> </v>
      </c>
      <c r="AN211" s="232" t="str">
        <f t="shared" si="89"/>
        <v xml:space="preserve"> </v>
      </c>
    </row>
    <row r="212" spans="28:40" x14ac:dyDescent="0.25">
      <c r="AB212" s="230" t="e">
        <f>T212-HLOOKUP(V212,Minimas!$C$3:$CD$12,2,FALSE)</f>
        <v>#N/A</v>
      </c>
      <c r="AC212" s="230" t="e">
        <f>T212-HLOOKUP(V212,Minimas!$C$3:$CD$12,3,FALSE)</f>
        <v>#N/A</v>
      </c>
      <c r="AD212" s="230" t="e">
        <f>T212-HLOOKUP(V212,Minimas!$C$3:$CD$12,4,FALSE)</f>
        <v>#N/A</v>
      </c>
      <c r="AE212" s="230" t="e">
        <f>T212-HLOOKUP(V212,Minimas!$C$3:$CD$12,5,FALSE)</f>
        <v>#N/A</v>
      </c>
      <c r="AF212" s="230" t="e">
        <f>T212-HLOOKUP(V212,Minimas!$C$3:$CD$12,6,FALSE)</f>
        <v>#N/A</v>
      </c>
      <c r="AG212" s="230" t="e">
        <f>T212-HLOOKUP(V212,Minimas!$C$3:$CD$12,7,FALSE)</f>
        <v>#N/A</v>
      </c>
      <c r="AH212" s="230" t="e">
        <f>T212-HLOOKUP(V212,Minimas!$C$3:$CD$12,8,FALSE)</f>
        <v>#N/A</v>
      </c>
      <c r="AI212" s="230" t="e">
        <f>T212-HLOOKUP(V212,Minimas!$C$3:$CD$12,9,FALSE)</f>
        <v>#N/A</v>
      </c>
      <c r="AJ212" s="230" t="e">
        <f>T212-HLOOKUP(V212,Minimas!$C$3:$CD$12,10,FALSE)</f>
        <v>#N/A</v>
      </c>
      <c r="AK212" s="231" t="str">
        <f t="shared" si="87"/>
        <v xml:space="preserve"> </v>
      </c>
      <c r="AL212" s="232"/>
      <c r="AM212" s="232" t="str">
        <f t="shared" si="88"/>
        <v xml:space="preserve"> </v>
      </c>
      <c r="AN212" s="232" t="str">
        <f t="shared" si="89"/>
        <v xml:space="preserve"> </v>
      </c>
    </row>
    <row r="213" spans="28:40" x14ac:dyDescent="0.25">
      <c r="AB213" s="230" t="e">
        <f>T213-HLOOKUP(V213,Minimas!$C$3:$CD$12,2,FALSE)</f>
        <v>#N/A</v>
      </c>
      <c r="AC213" s="230" t="e">
        <f>T213-HLOOKUP(V213,Minimas!$C$3:$CD$12,3,FALSE)</f>
        <v>#N/A</v>
      </c>
      <c r="AD213" s="230" t="e">
        <f>T213-HLOOKUP(V213,Minimas!$C$3:$CD$12,4,FALSE)</f>
        <v>#N/A</v>
      </c>
      <c r="AE213" s="230" t="e">
        <f>T213-HLOOKUP(V213,Minimas!$C$3:$CD$12,5,FALSE)</f>
        <v>#N/A</v>
      </c>
      <c r="AF213" s="230" t="e">
        <f>T213-HLOOKUP(V213,Minimas!$C$3:$CD$12,6,FALSE)</f>
        <v>#N/A</v>
      </c>
      <c r="AG213" s="230" t="e">
        <f>T213-HLOOKUP(V213,Minimas!$C$3:$CD$12,7,FALSE)</f>
        <v>#N/A</v>
      </c>
      <c r="AH213" s="230" t="e">
        <f>T213-HLOOKUP(V213,Minimas!$C$3:$CD$12,8,FALSE)</f>
        <v>#N/A</v>
      </c>
      <c r="AI213" s="230" t="e">
        <f>T213-HLOOKUP(V213,Minimas!$C$3:$CD$12,9,FALSE)</f>
        <v>#N/A</v>
      </c>
      <c r="AJ213" s="230" t="e">
        <f>T213-HLOOKUP(V213,Minimas!$C$3:$CD$12,10,FALSE)</f>
        <v>#N/A</v>
      </c>
      <c r="AK213" s="231" t="str">
        <f t="shared" si="87"/>
        <v xml:space="preserve"> </v>
      </c>
      <c r="AL213" s="232"/>
      <c r="AM213" s="232" t="str">
        <f t="shared" si="88"/>
        <v xml:space="preserve"> </v>
      </c>
      <c r="AN213" s="232" t="str">
        <f t="shared" si="89"/>
        <v xml:space="preserve"> </v>
      </c>
    </row>
    <row r="214" spans="28:40" x14ac:dyDescent="0.25">
      <c r="AB214" s="230" t="e">
        <f>T214-HLOOKUP(V214,Minimas!$C$3:$CD$12,2,FALSE)</f>
        <v>#N/A</v>
      </c>
      <c r="AC214" s="230" t="e">
        <f>T214-HLOOKUP(V214,Minimas!$C$3:$CD$12,3,FALSE)</f>
        <v>#N/A</v>
      </c>
      <c r="AD214" s="230" t="e">
        <f>T214-HLOOKUP(V214,Minimas!$C$3:$CD$12,4,FALSE)</f>
        <v>#N/A</v>
      </c>
      <c r="AE214" s="230" t="e">
        <f>T214-HLOOKUP(V214,Minimas!$C$3:$CD$12,5,FALSE)</f>
        <v>#N/A</v>
      </c>
      <c r="AF214" s="230" t="e">
        <f>T214-HLOOKUP(V214,Minimas!$C$3:$CD$12,6,FALSE)</f>
        <v>#N/A</v>
      </c>
      <c r="AG214" s="230" t="e">
        <f>T214-HLOOKUP(V214,Minimas!$C$3:$CD$12,7,FALSE)</f>
        <v>#N/A</v>
      </c>
      <c r="AH214" s="230" t="e">
        <f>T214-HLOOKUP(V214,Minimas!$C$3:$CD$12,8,FALSE)</f>
        <v>#N/A</v>
      </c>
      <c r="AI214" s="230" t="e">
        <f>T214-HLOOKUP(V214,Minimas!$C$3:$CD$12,9,FALSE)</f>
        <v>#N/A</v>
      </c>
      <c r="AJ214" s="230" t="e">
        <f>T214-HLOOKUP(V214,Minimas!$C$3:$CD$12,10,FALSE)</f>
        <v>#N/A</v>
      </c>
      <c r="AK214" s="231" t="str">
        <f t="shared" si="87"/>
        <v xml:space="preserve"> </v>
      </c>
      <c r="AL214" s="232"/>
      <c r="AM214" s="232" t="str">
        <f t="shared" si="88"/>
        <v xml:space="preserve"> </v>
      </c>
      <c r="AN214" s="232" t="str">
        <f t="shared" si="89"/>
        <v xml:space="preserve"> </v>
      </c>
    </row>
    <row r="215" spans="28:40" x14ac:dyDescent="0.25">
      <c r="AB215" s="230" t="e">
        <f>T215-HLOOKUP(V215,Minimas!$C$3:$CD$12,2,FALSE)</f>
        <v>#N/A</v>
      </c>
      <c r="AC215" s="230" t="e">
        <f>T215-HLOOKUP(V215,Minimas!$C$3:$CD$12,3,FALSE)</f>
        <v>#N/A</v>
      </c>
      <c r="AD215" s="230" t="e">
        <f>T215-HLOOKUP(V215,Minimas!$C$3:$CD$12,4,FALSE)</f>
        <v>#N/A</v>
      </c>
      <c r="AE215" s="230" t="e">
        <f>T215-HLOOKUP(V215,Minimas!$C$3:$CD$12,5,FALSE)</f>
        <v>#N/A</v>
      </c>
      <c r="AF215" s="230" t="e">
        <f>T215-HLOOKUP(V215,Minimas!$C$3:$CD$12,6,FALSE)</f>
        <v>#N/A</v>
      </c>
      <c r="AG215" s="230" t="e">
        <f>T215-HLOOKUP(V215,Minimas!$C$3:$CD$12,7,FALSE)</f>
        <v>#N/A</v>
      </c>
      <c r="AH215" s="230" t="e">
        <f>T215-HLOOKUP(V215,Minimas!$C$3:$CD$12,8,FALSE)</f>
        <v>#N/A</v>
      </c>
      <c r="AI215" s="230" t="e">
        <f>T215-HLOOKUP(V215,Minimas!$C$3:$CD$12,9,FALSE)</f>
        <v>#N/A</v>
      </c>
      <c r="AJ215" s="230" t="e">
        <f>T215-HLOOKUP(V215,Minimas!$C$3:$CD$12,10,FALSE)</f>
        <v>#N/A</v>
      </c>
      <c r="AK215" s="231" t="str">
        <f t="shared" si="87"/>
        <v xml:space="preserve"> </v>
      </c>
      <c r="AL215" s="232"/>
      <c r="AM215" s="232" t="str">
        <f t="shared" si="88"/>
        <v xml:space="preserve"> </v>
      </c>
      <c r="AN215" s="232" t="str">
        <f t="shared" si="89"/>
        <v xml:space="preserve"> </v>
      </c>
    </row>
    <row r="216" spans="28:40" x14ac:dyDescent="0.25">
      <c r="AB216" s="230" t="e">
        <f>T216-HLOOKUP(V216,Minimas!$C$3:$CD$12,2,FALSE)</f>
        <v>#N/A</v>
      </c>
      <c r="AC216" s="230" t="e">
        <f>T216-HLOOKUP(V216,Minimas!$C$3:$CD$12,3,FALSE)</f>
        <v>#N/A</v>
      </c>
      <c r="AD216" s="230" t="e">
        <f>T216-HLOOKUP(V216,Minimas!$C$3:$CD$12,4,FALSE)</f>
        <v>#N/A</v>
      </c>
      <c r="AE216" s="230" t="e">
        <f>T216-HLOOKUP(V216,Minimas!$C$3:$CD$12,5,FALSE)</f>
        <v>#N/A</v>
      </c>
      <c r="AF216" s="230" t="e">
        <f>T216-HLOOKUP(V216,Minimas!$C$3:$CD$12,6,FALSE)</f>
        <v>#N/A</v>
      </c>
      <c r="AG216" s="230" t="e">
        <f>T216-HLOOKUP(V216,Minimas!$C$3:$CD$12,7,FALSE)</f>
        <v>#N/A</v>
      </c>
      <c r="AH216" s="230" t="e">
        <f>T216-HLOOKUP(V216,Minimas!$C$3:$CD$12,8,FALSE)</f>
        <v>#N/A</v>
      </c>
      <c r="AI216" s="230" t="e">
        <f>T216-HLOOKUP(V216,Minimas!$C$3:$CD$12,9,FALSE)</f>
        <v>#N/A</v>
      </c>
      <c r="AJ216" s="230" t="e">
        <f>T216-HLOOKUP(V216,Minimas!$C$3:$CD$12,10,FALSE)</f>
        <v>#N/A</v>
      </c>
      <c r="AK216" s="231" t="str">
        <f t="shared" si="87"/>
        <v xml:space="preserve"> </v>
      </c>
      <c r="AL216" s="232"/>
      <c r="AM216" s="232" t="str">
        <f t="shared" si="88"/>
        <v xml:space="preserve"> </v>
      </c>
      <c r="AN216" s="232" t="str">
        <f t="shared" si="89"/>
        <v xml:space="preserve"> </v>
      </c>
    </row>
    <row r="217" spans="28:40" x14ac:dyDescent="0.25">
      <c r="AB217" s="230" t="e">
        <f>T217-HLOOKUP(V217,Minimas!$C$3:$CD$12,2,FALSE)</f>
        <v>#N/A</v>
      </c>
      <c r="AC217" s="230" t="e">
        <f>T217-HLOOKUP(V217,Minimas!$C$3:$CD$12,3,FALSE)</f>
        <v>#N/A</v>
      </c>
      <c r="AD217" s="230" t="e">
        <f>T217-HLOOKUP(V217,Minimas!$C$3:$CD$12,4,FALSE)</f>
        <v>#N/A</v>
      </c>
      <c r="AE217" s="230" t="e">
        <f>T217-HLOOKUP(V217,Minimas!$C$3:$CD$12,5,FALSE)</f>
        <v>#N/A</v>
      </c>
      <c r="AF217" s="230" t="e">
        <f>T217-HLOOKUP(V217,Minimas!$C$3:$CD$12,6,FALSE)</f>
        <v>#N/A</v>
      </c>
      <c r="AG217" s="230" t="e">
        <f>T217-HLOOKUP(V217,Minimas!$C$3:$CD$12,7,FALSE)</f>
        <v>#N/A</v>
      </c>
      <c r="AH217" s="230" t="e">
        <f>T217-HLOOKUP(V217,Minimas!$C$3:$CD$12,8,FALSE)</f>
        <v>#N/A</v>
      </c>
      <c r="AI217" s="230" t="e">
        <f>T217-HLOOKUP(V217,Minimas!$C$3:$CD$12,9,FALSE)</f>
        <v>#N/A</v>
      </c>
      <c r="AJ217" s="230" t="e">
        <f>T217-HLOOKUP(V217,Minimas!$C$3:$CD$12,10,FALSE)</f>
        <v>#N/A</v>
      </c>
      <c r="AK217" s="231" t="str">
        <f t="shared" si="87"/>
        <v xml:space="preserve"> </v>
      </c>
      <c r="AL217" s="232"/>
      <c r="AM217" s="232" t="str">
        <f t="shared" si="88"/>
        <v xml:space="preserve"> </v>
      </c>
      <c r="AN217" s="232" t="str">
        <f t="shared" si="89"/>
        <v xml:space="preserve"> </v>
      </c>
    </row>
    <row r="218" spans="28:40" x14ac:dyDescent="0.25">
      <c r="AB218" s="230" t="e">
        <f>T218-HLOOKUP(V218,Minimas!$C$3:$CD$12,2,FALSE)</f>
        <v>#N/A</v>
      </c>
      <c r="AC218" s="230" t="e">
        <f>T218-HLOOKUP(V218,Minimas!$C$3:$CD$12,3,FALSE)</f>
        <v>#N/A</v>
      </c>
      <c r="AD218" s="230" t="e">
        <f>T218-HLOOKUP(V218,Minimas!$C$3:$CD$12,4,FALSE)</f>
        <v>#N/A</v>
      </c>
      <c r="AE218" s="230" t="e">
        <f>T218-HLOOKUP(V218,Minimas!$C$3:$CD$12,5,FALSE)</f>
        <v>#N/A</v>
      </c>
      <c r="AF218" s="230" t="e">
        <f>T218-HLOOKUP(V218,Minimas!$C$3:$CD$12,6,FALSE)</f>
        <v>#N/A</v>
      </c>
      <c r="AG218" s="230" t="e">
        <f>T218-HLOOKUP(V218,Minimas!$C$3:$CD$12,7,FALSE)</f>
        <v>#N/A</v>
      </c>
      <c r="AH218" s="230" t="e">
        <f>T218-HLOOKUP(V218,Minimas!$C$3:$CD$12,8,FALSE)</f>
        <v>#N/A</v>
      </c>
      <c r="AI218" s="230" t="e">
        <f>T218-HLOOKUP(V218,Minimas!$C$3:$CD$12,9,FALSE)</f>
        <v>#N/A</v>
      </c>
      <c r="AJ218" s="230" t="e">
        <f>T218-HLOOKUP(V218,Minimas!$C$3:$CD$12,10,FALSE)</f>
        <v>#N/A</v>
      </c>
      <c r="AK218" s="231" t="str">
        <f t="shared" si="87"/>
        <v xml:space="preserve"> </v>
      </c>
      <c r="AL218" s="232"/>
      <c r="AM218" s="232" t="str">
        <f t="shared" si="88"/>
        <v xml:space="preserve"> </v>
      </c>
      <c r="AN218" s="232" t="str">
        <f t="shared" si="89"/>
        <v xml:space="preserve"> </v>
      </c>
    </row>
    <row r="219" spans="28:40" x14ac:dyDescent="0.25">
      <c r="AB219" s="230" t="e">
        <f>T219-HLOOKUP(V219,Minimas!$C$3:$CD$12,2,FALSE)</f>
        <v>#N/A</v>
      </c>
      <c r="AC219" s="230" t="e">
        <f>T219-HLOOKUP(V219,Minimas!$C$3:$CD$12,3,FALSE)</f>
        <v>#N/A</v>
      </c>
      <c r="AD219" s="230" t="e">
        <f>T219-HLOOKUP(V219,Minimas!$C$3:$CD$12,4,FALSE)</f>
        <v>#N/A</v>
      </c>
      <c r="AE219" s="230" t="e">
        <f>T219-HLOOKUP(V219,Minimas!$C$3:$CD$12,5,FALSE)</f>
        <v>#N/A</v>
      </c>
      <c r="AF219" s="230" t="e">
        <f>T219-HLOOKUP(V219,Minimas!$C$3:$CD$12,6,FALSE)</f>
        <v>#N/A</v>
      </c>
      <c r="AG219" s="230" t="e">
        <f>T219-HLOOKUP(V219,Minimas!$C$3:$CD$12,7,FALSE)</f>
        <v>#N/A</v>
      </c>
      <c r="AH219" s="230" t="e">
        <f>T219-HLOOKUP(V219,Minimas!$C$3:$CD$12,8,FALSE)</f>
        <v>#N/A</v>
      </c>
      <c r="AI219" s="230" t="e">
        <f>T219-HLOOKUP(V219,Minimas!$C$3:$CD$12,9,FALSE)</f>
        <v>#N/A</v>
      </c>
      <c r="AJ219" s="230" t="e">
        <f>T219-HLOOKUP(V219,Minimas!$C$3:$CD$12,10,FALSE)</f>
        <v>#N/A</v>
      </c>
      <c r="AK219" s="231" t="str">
        <f t="shared" si="87"/>
        <v xml:space="preserve"> </v>
      </c>
      <c r="AL219" s="232"/>
      <c r="AM219" s="232" t="str">
        <f t="shared" si="88"/>
        <v xml:space="preserve"> </v>
      </c>
      <c r="AN219" s="232" t="str">
        <f t="shared" si="89"/>
        <v xml:space="preserve"> </v>
      </c>
    </row>
    <row r="220" spans="28:40" x14ac:dyDescent="0.25">
      <c r="AB220" s="230" t="e">
        <f>T220-HLOOKUP(V220,Minimas!$C$3:$CD$12,2,FALSE)</f>
        <v>#N/A</v>
      </c>
      <c r="AC220" s="230" t="e">
        <f>T220-HLOOKUP(V220,Minimas!$C$3:$CD$12,3,FALSE)</f>
        <v>#N/A</v>
      </c>
      <c r="AD220" s="230" t="e">
        <f>T220-HLOOKUP(V220,Minimas!$C$3:$CD$12,4,FALSE)</f>
        <v>#N/A</v>
      </c>
      <c r="AE220" s="230" t="e">
        <f>T220-HLOOKUP(V220,Minimas!$C$3:$CD$12,5,FALSE)</f>
        <v>#N/A</v>
      </c>
      <c r="AF220" s="230" t="e">
        <f>T220-HLOOKUP(V220,Minimas!$C$3:$CD$12,6,FALSE)</f>
        <v>#N/A</v>
      </c>
      <c r="AG220" s="230" t="e">
        <f>T220-HLOOKUP(V220,Minimas!$C$3:$CD$12,7,FALSE)</f>
        <v>#N/A</v>
      </c>
      <c r="AH220" s="230" t="e">
        <f>T220-HLOOKUP(V220,Minimas!$C$3:$CD$12,8,FALSE)</f>
        <v>#N/A</v>
      </c>
      <c r="AI220" s="230" t="e">
        <f>T220-HLOOKUP(V220,Minimas!$C$3:$CD$12,9,FALSE)</f>
        <v>#N/A</v>
      </c>
      <c r="AJ220" s="230" t="e">
        <f>T220-HLOOKUP(V220,Minimas!$C$3:$CD$12,10,FALSE)</f>
        <v>#N/A</v>
      </c>
      <c r="AK220" s="231" t="str">
        <f t="shared" si="87"/>
        <v xml:space="preserve"> </v>
      </c>
      <c r="AL220" s="232"/>
      <c r="AM220" s="232" t="str">
        <f t="shared" si="88"/>
        <v xml:space="preserve"> </v>
      </c>
      <c r="AN220" s="232" t="str">
        <f t="shared" si="89"/>
        <v xml:space="preserve"> </v>
      </c>
    </row>
    <row r="221" spans="28:40" x14ac:dyDescent="0.25">
      <c r="AB221" s="230" t="e">
        <f>T221-HLOOKUP(V221,Minimas!$C$3:$CD$12,2,FALSE)</f>
        <v>#N/A</v>
      </c>
      <c r="AC221" s="230" t="e">
        <f>T221-HLOOKUP(V221,Minimas!$C$3:$CD$12,3,FALSE)</f>
        <v>#N/A</v>
      </c>
      <c r="AD221" s="230" t="e">
        <f>T221-HLOOKUP(V221,Minimas!$C$3:$CD$12,4,FALSE)</f>
        <v>#N/A</v>
      </c>
      <c r="AE221" s="230" t="e">
        <f>T221-HLOOKUP(V221,Minimas!$C$3:$CD$12,5,FALSE)</f>
        <v>#N/A</v>
      </c>
      <c r="AF221" s="230" t="e">
        <f>T221-HLOOKUP(V221,Minimas!$C$3:$CD$12,6,FALSE)</f>
        <v>#N/A</v>
      </c>
      <c r="AG221" s="230" t="e">
        <f>T221-HLOOKUP(V221,Minimas!$C$3:$CD$12,7,FALSE)</f>
        <v>#N/A</v>
      </c>
      <c r="AH221" s="230" t="e">
        <f>T221-HLOOKUP(V221,Minimas!$C$3:$CD$12,8,FALSE)</f>
        <v>#N/A</v>
      </c>
      <c r="AI221" s="230" t="e">
        <f>T221-HLOOKUP(V221,Minimas!$C$3:$CD$12,9,FALSE)</f>
        <v>#N/A</v>
      </c>
      <c r="AJ221" s="230" t="e">
        <f>T221-HLOOKUP(V221,Minimas!$C$3:$CD$12,10,FALSE)</f>
        <v>#N/A</v>
      </c>
      <c r="AK221" s="231" t="str">
        <f t="shared" si="87"/>
        <v xml:space="preserve"> </v>
      </c>
      <c r="AL221" s="232"/>
      <c r="AM221" s="232" t="str">
        <f t="shared" si="88"/>
        <v xml:space="preserve"> </v>
      </c>
      <c r="AN221" s="232" t="str">
        <f t="shared" si="89"/>
        <v xml:space="preserve"> </v>
      </c>
    </row>
    <row r="222" spans="28:40" x14ac:dyDescent="0.25">
      <c r="AB222" s="230" t="e">
        <f>T222-HLOOKUP(V222,Minimas!$C$3:$CD$12,2,FALSE)</f>
        <v>#N/A</v>
      </c>
      <c r="AC222" s="230" t="e">
        <f>T222-HLOOKUP(V222,Minimas!$C$3:$CD$12,3,FALSE)</f>
        <v>#N/A</v>
      </c>
      <c r="AD222" s="230" t="e">
        <f>T222-HLOOKUP(V222,Minimas!$C$3:$CD$12,4,FALSE)</f>
        <v>#N/A</v>
      </c>
      <c r="AE222" s="230" t="e">
        <f>T222-HLOOKUP(V222,Minimas!$C$3:$CD$12,5,FALSE)</f>
        <v>#N/A</v>
      </c>
      <c r="AF222" s="230" t="e">
        <f>T222-HLOOKUP(V222,Minimas!$C$3:$CD$12,6,FALSE)</f>
        <v>#N/A</v>
      </c>
      <c r="AG222" s="230" t="e">
        <f>T222-HLOOKUP(V222,Minimas!$C$3:$CD$12,7,FALSE)</f>
        <v>#N/A</v>
      </c>
      <c r="AH222" s="230" t="e">
        <f>T222-HLOOKUP(V222,Minimas!$C$3:$CD$12,8,FALSE)</f>
        <v>#N/A</v>
      </c>
      <c r="AI222" s="230" t="e">
        <f>T222-HLOOKUP(V222,Minimas!$C$3:$CD$12,9,FALSE)</f>
        <v>#N/A</v>
      </c>
      <c r="AJ222" s="230" t="e">
        <f>T222-HLOOKUP(V222,Minimas!$C$3:$CD$12,10,FALSE)</f>
        <v>#N/A</v>
      </c>
      <c r="AK222" s="231" t="str">
        <f t="shared" si="87"/>
        <v xml:space="preserve"> </v>
      </c>
      <c r="AL222" s="232"/>
      <c r="AM222" s="232" t="str">
        <f t="shared" si="88"/>
        <v xml:space="preserve"> </v>
      </c>
      <c r="AN222" s="232" t="str">
        <f t="shared" si="89"/>
        <v xml:space="preserve"> </v>
      </c>
    </row>
    <row r="223" spans="28:40" x14ac:dyDescent="0.25">
      <c r="AB223" s="230" t="e">
        <f>T223-HLOOKUP(V223,Minimas!$C$3:$CD$12,2,FALSE)</f>
        <v>#N/A</v>
      </c>
      <c r="AC223" s="230" t="e">
        <f>T223-HLOOKUP(V223,Minimas!$C$3:$CD$12,3,FALSE)</f>
        <v>#N/A</v>
      </c>
      <c r="AD223" s="230" t="e">
        <f>T223-HLOOKUP(V223,Minimas!$C$3:$CD$12,4,FALSE)</f>
        <v>#N/A</v>
      </c>
      <c r="AE223" s="230" t="e">
        <f>T223-HLOOKUP(V223,Minimas!$C$3:$CD$12,5,FALSE)</f>
        <v>#N/A</v>
      </c>
      <c r="AF223" s="230" t="e">
        <f>T223-HLOOKUP(V223,Minimas!$C$3:$CD$12,6,FALSE)</f>
        <v>#N/A</v>
      </c>
      <c r="AG223" s="230" t="e">
        <f>T223-HLOOKUP(V223,Minimas!$C$3:$CD$12,7,FALSE)</f>
        <v>#N/A</v>
      </c>
      <c r="AH223" s="230" t="e">
        <f>T223-HLOOKUP(V223,Minimas!$C$3:$CD$12,8,FALSE)</f>
        <v>#N/A</v>
      </c>
      <c r="AI223" s="230" t="e">
        <f>T223-HLOOKUP(V223,Minimas!$C$3:$CD$12,9,FALSE)</f>
        <v>#N/A</v>
      </c>
      <c r="AJ223" s="230" t="e">
        <f>T223-HLOOKUP(V223,Minimas!$C$3:$CD$12,10,FALSE)</f>
        <v>#N/A</v>
      </c>
      <c r="AK223" s="231" t="str">
        <f t="shared" si="87"/>
        <v xml:space="preserve"> </v>
      </c>
      <c r="AL223" s="232"/>
      <c r="AM223" s="232" t="str">
        <f t="shared" si="88"/>
        <v xml:space="preserve"> </v>
      </c>
      <c r="AN223" s="232" t="str">
        <f t="shared" si="89"/>
        <v xml:space="preserve"> </v>
      </c>
    </row>
    <row r="224" spans="28:40" x14ac:dyDescent="0.25">
      <c r="AB224" s="230" t="e">
        <f>T224-HLOOKUP(V224,Minimas!$C$3:$CD$12,2,FALSE)</f>
        <v>#N/A</v>
      </c>
      <c r="AC224" s="230" t="e">
        <f>T224-HLOOKUP(V224,Minimas!$C$3:$CD$12,3,FALSE)</f>
        <v>#N/A</v>
      </c>
      <c r="AD224" s="230" t="e">
        <f>T224-HLOOKUP(V224,Minimas!$C$3:$CD$12,4,FALSE)</f>
        <v>#N/A</v>
      </c>
      <c r="AE224" s="230" t="e">
        <f>T224-HLOOKUP(V224,Minimas!$C$3:$CD$12,5,FALSE)</f>
        <v>#N/A</v>
      </c>
      <c r="AF224" s="230" t="e">
        <f>T224-HLOOKUP(V224,Minimas!$C$3:$CD$12,6,FALSE)</f>
        <v>#N/A</v>
      </c>
      <c r="AG224" s="230" t="e">
        <f>T224-HLOOKUP(V224,Minimas!$C$3:$CD$12,7,FALSE)</f>
        <v>#N/A</v>
      </c>
      <c r="AH224" s="230" t="e">
        <f>T224-HLOOKUP(V224,Minimas!$C$3:$CD$12,8,FALSE)</f>
        <v>#N/A</v>
      </c>
      <c r="AI224" s="230" t="e">
        <f>T224-HLOOKUP(V224,Minimas!$C$3:$CD$12,9,FALSE)</f>
        <v>#N/A</v>
      </c>
      <c r="AJ224" s="230" t="e">
        <f>T224-HLOOKUP(V224,Minimas!$C$3:$CD$12,10,FALSE)</f>
        <v>#N/A</v>
      </c>
      <c r="AK224" s="231" t="str">
        <f t="shared" si="87"/>
        <v xml:space="preserve"> </v>
      </c>
      <c r="AL224" s="232"/>
      <c r="AM224" s="232" t="str">
        <f t="shared" si="88"/>
        <v xml:space="preserve"> </v>
      </c>
      <c r="AN224" s="232" t="str">
        <f t="shared" si="89"/>
        <v xml:space="preserve"> </v>
      </c>
    </row>
    <row r="225" spans="28:40" x14ac:dyDescent="0.25">
      <c r="AB225" s="230" t="e">
        <f>T225-HLOOKUP(V225,Minimas!$C$3:$CD$12,2,FALSE)</f>
        <v>#N/A</v>
      </c>
      <c r="AC225" s="230" t="e">
        <f>T225-HLOOKUP(V225,Minimas!$C$3:$CD$12,3,FALSE)</f>
        <v>#N/A</v>
      </c>
      <c r="AD225" s="230" t="e">
        <f>T225-HLOOKUP(V225,Minimas!$C$3:$CD$12,4,FALSE)</f>
        <v>#N/A</v>
      </c>
      <c r="AE225" s="230" t="e">
        <f>T225-HLOOKUP(V225,Minimas!$C$3:$CD$12,5,FALSE)</f>
        <v>#N/A</v>
      </c>
      <c r="AF225" s="230" t="e">
        <f>T225-HLOOKUP(V225,Minimas!$C$3:$CD$12,6,FALSE)</f>
        <v>#N/A</v>
      </c>
      <c r="AG225" s="230" t="e">
        <f>T225-HLOOKUP(V225,Minimas!$C$3:$CD$12,7,FALSE)</f>
        <v>#N/A</v>
      </c>
      <c r="AH225" s="230" t="e">
        <f>T225-HLOOKUP(V225,Minimas!$C$3:$CD$12,8,FALSE)</f>
        <v>#N/A</v>
      </c>
      <c r="AI225" s="230" t="e">
        <f>T225-HLOOKUP(V225,Minimas!$C$3:$CD$12,9,FALSE)</f>
        <v>#N/A</v>
      </c>
      <c r="AJ225" s="230" t="e">
        <f>T225-HLOOKUP(V225,Minimas!$C$3:$CD$12,10,FALSE)</f>
        <v>#N/A</v>
      </c>
      <c r="AK225" s="231" t="str">
        <f t="shared" si="87"/>
        <v xml:space="preserve"> </v>
      </c>
      <c r="AL225" s="232"/>
      <c r="AM225" s="232" t="str">
        <f t="shared" si="88"/>
        <v xml:space="preserve"> </v>
      </c>
      <c r="AN225" s="232" t="str">
        <f t="shared" si="89"/>
        <v xml:space="preserve"> </v>
      </c>
    </row>
    <row r="226" spans="28:40" x14ac:dyDescent="0.25">
      <c r="AB226" s="230" t="e">
        <f>T226-HLOOKUP(V226,Minimas!$C$3:$CD$12,2,FALSE)</f>
        <v>#N/A</v>
      </c>
      <c r="AC226" s="230" t="e">
        <f>T226-HLOOKUP(V226,Minimas!$C$3:$CD$12,3,FALSE)</f>
        <v>#N/A</v>
      </c>
      <c r="AD226" s="230" t="e">
        <f>T226-HLOOKUP(V226,Minimas!$C$3:$CD$12,4,FALSE)</f>
        <v>#N/A</v>
      </c>
      <c r="AE226" s="230" t="e">
        <f>T226-HLOOKUP(V226,Minimas!$C$3:$CD$12,5,FALSE)</f>
        <v>#N/A</v>
      </c>
      <c r="AF226" s="230" t="e">
        <f>T226-HLOOKUP(V226,Minimas!$C$3:$CD$12,6,FALSE)</f>
        <v>#N/A</v>
      </c>
      <c r="AG226" s="230" t="e">
        <f>T226-HLOOKUP(V226,Minimas!$C$3:$CD$12,7,FALSE)</f>
        <v>#N/A</v>
      </c>
      <c r="AH226" s="230" t="e">
        <f>T226-HLOOKUP(V226,Minimas!$C$3:$CD$12,8,FALSE)</f>
        <v>#N/A</v>
      </c>
      <c r="AI226" s="230" t="e">
        <f>T226-HLOOKUP(V226,Minimas!$C$3:$CD$12,9,FALSE)</f>
        <v>#N/A</v>
      </c>
      <c r="AJ226" s="230" t="e">
        <f>T226-HLOOKUP(V226,Minimas!$C$3:$CD$12,10,FALSE)</f>
        <v>#N/A</v>
      </c>
      <c r="AK226" s="231" t="str">
        <f t="shared" si="87"/>
        <v xml:space="preserve"> </v>
      </c>
      <c r="AL226" s="232"/>
      <c r="AM226" s="232" t="str">
        <f t="shared" si="88"/>
        <v xml:space="preserve"> </v>
      </c>
      <c r="AN226" s="232" t="str">
        <f t="shared" si="89"/>
        <v xml:space="preserve"> </v>
      </c>
    </row>
    <row r="227" spans="28:40" x14ac:dyDescent="0.25">
      <c r="AB227" s="230" t="e">
        <f>T227-HLOOKUP(V227,Minimas!$C$3:$CD$12,2,FALSE)</f>
        <v>#N/A</v>
      </c>
      <c r="AC227" s="230" t="e">
        <f>T227-HLOOKUP(V227,Minimas!$C$3:$CD$12,3,FALSE)</f>
        <v>#N/A</v>
      </c>
      <c r="AD227" s="230" t="e">
        <f>T227-HLOOKUP(V227,Minimas!$C$3:$CD$12,4,FALSE)</f>
        <v>#N/A</v>
      </c>
      <c r="AE227" s="230" t="e">
        <f>T227-HLOOKUP(V227,Minimas!$C$3:$CD$12,5,FALSE)</f>
        <v>#N/A</v>
      </c>
      <c r="AF227" s="230" t="e">
        <f>T227-HLOOKUP(V227,Minimas!$C$3:$CD$12,6,FALSE)</f>
        <v>#N/A</v>
      </c>
      <c r="AG227" s="230" t="e">
        <f>T227-HLOOKUP(V227,Minimas!$C$3:$CD$12,7,FALSE)</f>
        <v>#N/A</v>
      </c>
      <c r="AH227" s="230" t="e">
        <f>T227-HLOOKUP(V227,Minimas!$C$3:$CD$12,8,FALSE)</f>
        <v>#N/A</v>
      </c>
      <c r="AI227" s="230" t="e">
        <f>T227-HLOOKUP(V227,Minimas!$C$3:$CD$12,9,FALSE)</f>
        <v>#N/A</v>
      </c>
      <c r="AJ227" s="230" t="e">
        <f>T227-HLOOKUP(V227,Minimas!$C$3:$CD$12,10,FALSE)</f>
        <v>#N/A</v>
      </c>
      <c r="AK227" s="231" t="str">
        <f t="shared" si="87"/>
        <v xml:space="preserve"> </v>
      </c>
      <c r="AL227" s="232"/>
      <c r="AM227" s="232" t="str">
        <f t="shared" si="88"/>
        <v xml:space="preserve"> </v>
      </c>
      <c r="AN227" s="232" t="str">
        <f t="shared" si="89"/>
        <v xml:space="preserve"> </v>
      </c>
    </row>
    <row r="228" spans="28:40" x14ac:dyDescent="0.25">
      <c r="AB228" s="230" t="e">
        <f>T228-HLOOKUP(V228,Minimas!$C$3:$CD$12,2,FALSE)</f>
        <v>#N/A</v>
      </c>
      <c r="AC228" s="230" t="e">
        <f>T228-HLOOKUP(V228,Minimas!$C$3:$CD$12,3,FALSE)</f>
        <v>#N/A</v>
      </c>
      <c r="AD228" s="230" t="e">
        <f>T228-HLOOKUP(V228,Minimas!$C$3:$CD$12,4,FALSE)</f>
        <v>#N/A</v>
      </c>
      <c r="AE228" s="230" t="e">
        <f>T228-HLOOKUP(V228,Minimas!$C$3:$CD$12,5,FALSE)</f>
        <v>#N/A</v>
      </c>
      <c r="AF228" s="230" t="e">
        <f>T228-HLOOKUP(V228,Minimas!$C$3:$CD$12,6,FALSE)</f>
        <v>#N/A</v>
      </c>
      <c r="AG228" s="230" t="e">
        <f>T228-HLOOKUP(V228,Minimas!$C$3:$CD$12,7,FALSE)</f>
        <v>#N/A</v>
      </c>
      <c r="AH228" s="230" t="e">
        <f>T228-HLOOKUP(V228,Minimas!$C$3:$CD$12,8,FALSE)</f>
        <v>#N/A</v>
      </c>
      <c r="AI228" s="230" t="e">
        <f>T228-HLOOKUP(V228,Minimas!$C$3:$CD$12,9,FALSE)</f>
        <v>#N/A</v>
      </c>
      <c r="AJ228" s="230" t="e">
        <f>T228-HLOOKUP(V228,Minimas!$C$3:$CD$12,10,FALSE)</f>
        <v>#N/A</v>
      </c>
      <c r="AK228" s="231" t="str">
        <f t="shared" si="87"/>
        <v xml:space="preserve"> </v>
      </c>
      <c r="AL228" s="232"/>
      <c r="AM228" s="232" t="str">
        <f t="shared" si="88"/>
        <v xml:space="preserve"> </v>
      </c>
      <c r="AN228" s="232" t="str">
        <f t="shared" si="89"/>
        <v xml:space="preserve"> </v>
      </c>
    </row>
    <row r="229" spans="28:40" x14ac:dyDescent="0.25">
      <c r="AB229" s="230" t="e">
        <f>T229-HLOOKUP(V229,Minimas!$C$3:$CD$12,2,FALSE)</f>
        <v>#N/A</v>
      </c>
      <c r="AC229" s="230" t="e">
        <f>T229-HLOOKUP(V229,Minimas!$C$3:$CD$12,3,FALSE)</f>
        <v>#N/A</v>
      </c>
      <c r="AD229" s="230" t="e">
        <f>T229-HLOOKUP(V229,Minimas!$C$3:$CD$12,4,FALSE)</f>
        <v>#N/A</v>
      </c>
      <c r="AE229" s="230" t="e">
        <f>T229-HLOOKUP(V229,Minimas!$C$3:$CD$12,5,FALSE)</f>
        <v>#N/A</v>
      </c>
      <c r="AF229" s="230" t="e">
        <f>T229-HLOOKUP(V229,Minimas!$C$3:$CD$12,6,FALSE)</f>
        <v>#N/A</v>
      </c>
      <c r="AG229" s="230" t="e">
        <f>T229-HLOOKUP(V229,Minimas!$C$3:$CD$12,7,FALSE)</f>
        <v>#N/A</v>
      </c>
      <c r="AH229" s="230" t="e">
        <f>T229-HLOOKUP(V229,Minimas!$C$3:$CD$12,8,FALSE)</f>
        <v>#N/A</v>
      </c>
      <c r="AI229" s="230" t="e">
        <f>T229-HLOOKUP(V229,Minimas!$C$3:$CD$12,9,FALSE)</f>
        <v>#N/A</v>
      </c>
      <c r="AJ229" s="230" t="e">
        <f>T229-HLOOKUP(V229,Minimas!$C$3:$CD$12,10,FALSE)</f>
        <v>#N/A</v>
      </c>
      <c r="AK229" s="231" t="str">
        <f t="shared" si="87"/>
        <v xml:space="preserve"> </v>
      </c>
      <c r="AL229" s="232"/>
      <c r="AM229" s="232" t="str">
        <f t="shared" si="88"/>
        <v xml:space="preserve"> </v>
      </c>
      <c r="AN229" s="232" t="str">
        <f t="shared" si="89"/>
        <v xml:space="preserve"> </v>
      </c>
    </row>
    <row r="230" spans="28:40" x14ac:dyDescent="0.25">
      <c r="AB230" s="230" t="e">
        <f>T230-HLOOKUP(V230,Minimas!$C$3:$CD$12,2,FALSE)</f>
        <v>#N/A</v>
      </c>
      <c r="AC230" s="230" t="e">
        <f>T230-HLOOKUP(V230,Minimas!$C$3:$CD$12,3,FALSE)</f>
        <v>#N/A</v>
      </c>
      <c r="AD230" s="230" t="e">
        <f>T230-HLOOKUP(V230,Minimas!$C$3:$CD$12,4,FALSE)</f>
        <v>#N/A</v>
      </c>
      <c r="AE230" s="230" t="e">
        <f>T230-HLOOKUP(V230,Minimas!$C$3:$CD$12,5,FALSE)</f>
        <v>#N/A</v>
      </c>
      <c r="AF230" s="230" t="e">
        <f>T230-HLOOKUP(V230,Minimas!$C$3:$CD$12,6,FALSE)</f>
        <v>#N/A</v>
      </c>
      <c r="AG230" s="230" t="e">
        <f>T230-HLOOKUP(V230,Minimas!$C$3:$CD$12,7,FALSE)</f>
        <v>#N/A</v>
      </c>
      <c r="AH230" s="230" t="e">
        <f>T230-HLOOKUP(V230,Minimas!$C$3:$CD$12,8,FALSE)</f>
        <v>#N/A</v>
      </c>
      <c r="AI230" s="230" t="e">
        <f>T230-HLOOKUP(V230,Minimas!$C$3:$CD$12,9,FALSE)</f>
        <v>#N/A</v>
      </c>
      <c r="AJ230" s="230" t="e">
        <f>T230-HLOOKUP(V230,Minimas!$C$3:$CD$12,10,FALSE)</f>
        <v>#N/A</v>
      </c>
      <c r="AK230" s="231" t="str">
        <f t="shared" si="87"/>
        <v xml:space="preserve"> </v>
      </c>
      <c r="AL230" s="232"/>
      <c r="AM230" s="232" t="str">
        <f t="shared" si="88"/>
        <v xml:space="preserve"> </v>
      </c>
      <c r="AN230" s="232" t="str">
        <f t="shared" si="89"/>
        <v xml:space="preserve"> </v>
      </c>
    </row>
    <row r="231" spans="28:40" x14ac:dyDescent="0.25">
      <c r="AB231" s="230" t="e">
        <f>T231-HLOOKUP(V231,Minimas!$C$3:$CD$12,2,FALSE)</f>
        <v>#N/A</v>
      </c>
      <c r="AC231" s="230" t="e">
        <f>T231-HLOOKUP(V231,Minimas!$C$3:$CD$12,3,FALSE)</f>
        <v>#N/A</v>
      </c>
      <c r="AD231" s="230" t="e">
        <f>T231-HLOOKUP(V231,Minimas!$C$3:$CD$12,4,FALSE)</f>
        <v>#N/A</v>
      </c>
      <c r="AE231" s="230" t="e">
        <f>T231-HLOOKUP(V231,Minimas!$C$3:$CD$12,5,FALSE)</f>
        <v>#N/A</v>
      </c>
      <c r="AF231" s="230" t="e">
        <f>T231-HLOOKUP(V231,Minimas!$C$3:$CD$12,6,FALSE)</f>
        <v>#N/A</v>
      </c>
      <c r="AG231" s="230" t="e">
        <f>T231-HLOOKUP(V231,Minimas!$C$3:$CD$12,7,FALSE)</f>
        <v>#N/A</v>
      </c>
      <c r="AH231" s="230" t="e">
        <f>T231-HLOOKUP(V231,Minimas!$C$3:$CD$12,8,FALSE)</f>
        <v>#N/A</v>
      </c>
      <c r="AI231" s="230" t="e">
        <f>T231-HLOOKUP(V231,Minimas!$C$3:$CD$12,9,FALSE)</f>
        <v>#N/A</v>
      </c>
      <c r="AJ231" s="230" t="e">
        <f>T231-HLOOKUP(V231,Minimas!$C$3:$CD$12,10,FALSE)</f>
        <v>#N/A</v>
      </c>
      <c r="AK231" s="231" t="str">
        <f t="shared" si="87"/>
        <v xml:space="preserve"> </v>
      </c>
      <c r="AL231" s="232"/>
      <c r="AM231" s="232" t="str">
        <f t="shared" si="88"/>
        <v xml:space="preserve"> </v>
      </c>
      <c r="AN231" s="232" t="str">
        <f t="shared" si="89"/>
        <v xml:space="preserve"> </v>
      </c>
    </row>
    <row r="232" spans="28:40" x14ac:dyDescent="0.25">
      <c r="AB232" s="230" t="e">
        <f>T232-HLOOKUP(V232,Minimas!$C$3:$CD$12,2,FALSE)</f>
        <v>#N/A</v>
      </c>
      <c r="AC232" s="230" t="e">
        <f>T232-HLOOKUP(V232,Minimas!$C$3:$CD$12,3,FALSE)</f>
        <v>#N/A</v>
      </c>
      <c r="AD232" s="230" t="e">
        <f>T232-HLOOKUP(V232,Minimas!$C$3:$CD$12,4,FALSE)</f>
        <v>#N/A</v>
      </c>
      <c r="AE232" s="230" t="e">
        <f>T232-HLOOKUP(V232,Minimas!$C$3:$CD$12,5,FALSE)</f>
        <v>#N/A</v>
      </c>
      <c r="AF232" s="230" t="e">
        <f>T232-HLOOKUP(V232,Minimas!$C$3:$CD$12,6,FALSE)</f>
        <v>#N/A</v>
      </c>
      <c r="AG232" s="230" t="e">
        <f>T232-HLOOKUP(V232,Minimas!$C$3:$CD$12,7,FALSE)</f>
        <v>#N/A</v>
      </c>
      <c r="AH232" s="230" t="e">
        <f>T232-HLOOKUP(V232,Minimas!$C$3:$CD$12,8,FALSE)</f>
        <v>#N/A</v>
      </c>
      <c r="AI232" s="230" t="e">
        <f>T232-HLOOKUP(V232,Minimas!$C$3:$CD$12,9,FALSE)</f>
        <v>#N/A</v>
      </c>
      <c r="AJ232" s="230" t="e">
        <f>T232-HLOOKUP(V232,Minimas!$C$3:$CD$12,10,FALSE)</f>
        <v>#N/A</v>
      </c>
      <c r="AK232" s="231" t="str">
        <f t="shared" si="87"/>
        <v xml:space="preserve"> </v>
      </c>
      <c r="AL232" s="232"/>
      <c r="AM232" s="232" t="str">
        <f t="shared" si="88"/>
        <v xml:space="preserve"> </v>
      </c>
      <c r="AN232" s="232" t="str">
        <f t="shared" si="89"/>
        <v xml:space="preserve"> </v>
      </c>
    </row>
    <row r="233" spans="28:40" x14ac:dyDescent="0.25">
      <c r="AB233" s="230" t="e">
        <f>T233-HLOOKUP(V233,Minimas!$C$3:$CD$12,2,FALSE)</f>
        <v>#N/A</v>
      </c>
      <c r="AC233" s="230" t="e">
        <f>T233-HLOOKUP(V233,Minimas!$C$3:$CD$12,3,FALSE)</f>
        <v>#N/A</v>
      </c>
      <c r="AD233" s="230" t="e">
        <f>T233-HLOOKUP(V233,Minimas!$C$3:$CD$12,4,FALSE)</f>
        <v>#N/A</v>
      </c>
      <c r="AE233" s="230" t="e">
        <f>T233-HLOOKUP(V233,Minimas!$C$3:$CD$12,5,FALSE)</f>
        <v>#N/A</v>
      </c>
      <c r="AF233" s="230" t="e">
        <f>T233-HLOOKUP(V233,Minimas!$C$3:$CD$12,6,FALSE)</f>
        <v>#N/A</v>
      </c>
      <c r="AG233" s="230" t="e">
        <f>T233-HLOOKUP(V233,Minimas!$C$3:$CD$12,7,FALSE)</f>
        <v>#N/A</v>
      </c>
      <c r="AH233" s="230" t="e">
        <f>T233-HLOOKUP(V233,Minimas!$C$3:$CD$12,8,FALSE)</f>
        <v>#N/A</v>
      </c>
      <c r="AI233" s="230" t="e">
        <f>T233-HLOOKUP(V233,Minimas!$C$3:$CD$12,9,FALSE)</f>
        <v>#N/A</v>
      </c>
      <c r="AJ233" s="230" t="e">
        <f>T233-HLOOKUP(V233,Minimas!$C$3:$CD$12,10,FALSE)</f>
        <v>#N/A</v>
      </c>
      <c r="AK233" s="231" t="str">
        <f t="shared" si="87"/>
        <v xml:space="preserve"> </v>
      </c>
      <c r="AL233" s="232"/>
      <c r="AM233" s="232" t="str">
        <f t="shared" si="88"/>
        <v xml:space="preserve"> </v>
      </c>
      <c r="AN233" s="232" t="str">
        <f t="shared" si="89"/>
        <v xml:space="preserve"> </v>
      </c>
    </row>
    <row r="234" spans="28:40" x14ac:dyDescent="0.25">
      <c r="AB234" s="230" t="e">
        <f>T234-HLOOKUP(V234,Minimas!$C$3:$CD$12,2,FALSE)</f>
        <v>#N/A</v>
      </c>
      <c r="AC234" s="230" t="e">
        <f>T234-HLOOKUP(V234,Minimas!$C$3:$CD$12,3,FALSE)</f>
        <v>#N/A</v>
      </c>
      <c r="AD234" s="230" t="e">
        <f>T234-HLOOKUP(V234,Minimas!$C$3:$CD$12,4,FALSE)</f>
        <v>#N/A</v>
      </c>
      <c r="AE234" s="230" t="e">
        <f>T234-HLOOKUP(V234,Minimas!$C$3:$CD$12,5,FALSE)</f>
        <v>#N/A</v>
      </c>
      <c r="AF234" s="230" t="e">
        <f>T234-HLOOKUP(V234,Minimas!$C$3:$CD$12,6,FALSE)</f>
        <v>#N/A</v>
      </c>
      <c r="AG234" s="230" t="e">
        <f>T234-HLOOKUP(V234,Minimas!$C$3:$CD$12,7,FALSE)</f>
        <v>#N/A</v>
      </c>
      <c r="AH234" s="230" t="e">
        <f>T234-HLOOKUP(V234,Minimas!$C$3:$CD$12,8,FALSE)</f>
        <v>#N/A</v>
      </c>
      <c r="AI234" s="230" t="e">
        <f>T234-HLOOKUP(V234,Minimas!$C$3:$CD$12,9,FALSE)</f>
        <v>#N/A</v>
      </c>
      <c r="AJ234" s="230" t="e">
        <f>T234-HLOOKUP(V234,Minimas!$C$3:$CD$12,10,FALSE)</f>
        <v>#N/A</v>
      </c>
      <c r="AK234" s="231" t="str">
        <f t="shared" si="87"/>
        <v xml:space="preserve"> </v>
      </c>
      <c r="AL234" s="232"/>
      <c r="AM234" s="232" t="str">
        <f t="shared" si="88"/>
        <v xml:space="preserve"> </v>
      </c>
      <c r="AN234" s="232" t="str">
        <f t="shared" si="89"/>
        <v xml:space="preserve"> </v>
      </c>
    </row>
    <row r="235" spans="28:40" x14ac:dyDescent="0.25">
      <c r="AB235" s="230" t="e">
        <f>T235-HLOOKUP(V235,Minimas!$C$3:$CD$12,2,FALSE)</f>
        <v>#N/A</v>
      </c>
      <c r="AC235" s="230" t="e">
        <f>T235-HLOOKUP(V235,Minimas!$C$3:$CD$12,3,FALSE)</f>
        <v>#N/A</v>
      </c>
      <c r="AD235" s="230" t="e">
        <f>T235-HLOOKUP(V235,Minimas!$C$3:$CD$12,4,FALSE)</f>
        <v>#N/A</v>
      </c>
      <c r="AE235" s="230" t="e">
        <f>T235-HLOOKUP(V235,Minimas!$C$3:$CD$12,5,FALSE)</f>
        <v>#N/A</v>
      </c>
      <c r="AF235" s="230" t="e">
        <f>T235-HLOOKUP(V235,Minimas!$C$3:$CD$12,6,FALSE)</f>
        <v>#N/A</v>
      </c>
      <c r="AG235" s="230" t="e">
        <f>T235-HLOOKUP(V235,Minimas!$C$3:$CD$12,7,FALSE)</f>
        <v>#N/A</v>
      </c>
      <c r="AH235" s="230" t="e">
        <f>T235-HLOOKUP(V235,Minimas!$C$3:$CD$12,8,FALSE)</f>
        <v>#N/A</v>
      </c>
      <c r="AI235" s="230" t="e">
        <f>T235-HLOOKUP(V235,Minimas!$C$3:$CD$12,9,FALSE)</f>
        <v>#N/A</v>
      </c>
      <c r="AJ235" s="230" t="e">
        <f>T235-HLOOKUP(V235,Minimas!$C$3:$CD$12,10,FALSE)</f>
        <v>#N/A</v>
      </c>
      <c r="AK235" s="231" t="str">
        <f t="shared" si="87"/>
        <v xml:space="preserve"> </v>
      </c>
      <c r="AL235" s="232"/>
      <c r="AM235" s="232" t="str">
        <f t="shared" si="88"/>
        <v xml:space="preserve"> </v>
      </c>
      <c r="AN235" s="232" t="str">
        <f t="shared" si="89"/>
        <v xml:space="preserve"> </v>
      </c>
    </row>
    <row r="236" spans="28:40" x14ac:dyDescent="0.25">
      <c r="AB236" s="230" t="e">
        <f>T236-HLOOKUP(V236,Minimas!$C$3:$CD$12,2,FALSE)</f>
        <v>#N/A</v>
      </c>
      <c r="AC236" s="230" t="e">
        <f>T236-HLOOKUP(V236,Minimas!$C$3:$CD$12,3,FALSE)</f>
        <v>#N/A</v>
      </c>
      <c r="AD236" s="230" t="e">
        <f>T236-HLOOKUP(V236,Minimas!$C$3:$CD$12,4,FALSE)</f>
        <v>#N/A</v>
      </c>
      <c r="AE236" s="230" t="e">
        <f>T236-HLOOKUP(V236,Minimas!$C$3:$CD$12,5,FALSE)</f>
        <v>#N/A</v>
      </c>
      <c r="AF236" s="230" t="e">
        <f>T236-HLOOKUP(V236,Minimas!$C$3:$CD$12,6,FALSE)</f>
        <v>#N/A</v>
      </c>
      <c r="AG236" s="230" t="e">
        <f>T236-HLOOKUP(V236,Minimas!$C$3:$CD$12,7,FALSE)</f>
        <v>#N/A</v>
      </c>
      <c r="AH236" s="230" t="e">
        <f>T236-HLOOKUP(V236,Minimas!$C$3:$CD$12,8,FALSE)</f>
        <v>#N/A</v>
      </c>
      <c r="AI236" s="230" t="e">
        <f>T236-HLOOKUP(V236,Minimas!$C$3:$CD$12,9,FALSE)</f>
        <v>#N/A</v>
      </c>
      <c r="AJ236" s="230" t="e">
        <f>T236-HLOOKUP(V236,Minimas!$C$3:$CD$12,10,FALSE)</f>
        <v>#N/A</v>
      </c>
      <c r="AK236" s="231" t="str">
        <f t="shared" si="87"/>
        <v xml:space="preserve"> </v>
      </c>
      <c r="AL236" s="232"/>
      <c r="AM236" s="232" t="str">
        <f t="shared" si="88"/>
        <v xml:space="preserve"> </v>
      </c>
      <c r="AN236" s="232" t="str">
        <f t="shared" si="89"/>
        <v xml:space="preserve"> </v>
      </c>
    </row>
    <row r="237" spans="28:40" x14ac:dyDescent="0.25">
      <c r="AB237" s="230" t="e">
        <f>T237-HLOOKUP(V237,Minimas!$C$3:$CD$12,2,FALSE)</f>
        <v>#N/A</v>
      </c>
      <c r="AC237" s="230" t="e">
        <f>T237-HLOOKUP(V237,Minimas!$C$3:$CD$12,3,FALSE)</f>
        <v>#N/A</v>
      </c>
      <c r="AD237" s="230" t="e">
        <f>T237-HLOOKUP(V237,Minimas!$C$3:$CD$12,4,FALSE)</f>
        <v>#N/A</v>
      </c>
      <c r="AE237" s="230" t="e">
        <f>T237-HLOOKUP(V237,Minimas!$C$3:$CD$12,5,FALSE)</f>
        <v>#N/A</v>
      </c>
      <c r="AF237" s="230" t="e">
        <f>T237-HLOOKUP(V237,Minimas!$C$3:$CD$12,6,FALSE)</f>
        <v>#N/A</v>
      </c>
      <c r="AG237" s="230" t="e">
        <f>T237-HLOOKUP(V237,Minimas!$C$3:$CD$12,7,FALSE)</f>
        <v>#N/A</v>
      </c>
      <c r="AH237" s="230" t="e">
        <f>T237-HLOOKUP(V237,Minimas!$C$3:$CD$12,8,FALSE)</f>
        <v>#N/A</v>
      </c>
      <c r="AI237" s="230" t="e">
        <f>T237-HLOOKUP(V237,Minimas!$C$3:$CD$12,9,FALSE)</f>
        <v>#N/A</v>
      </c>
      <c r="AJ237" s="230" t="e">
        <f>T237-HLOOKUP(V237,Minimas!$C$3:$CD$12,10,FALSE)</f>
        <v>#N/A</v>
      </c>
      <c r="AK237" s="231" t="str">
        <f t="shared" si="87"/>
        <v xml:space="preserve"> </v>
      </c>
      <c r="AL237" s="232"/>
      <c r="AM237" s="232" t="str">
        <f t="shared" si="88"/>
        <v xml:space="preserve"> </v>
      </c>
      <c r="AN237" s="232" t="str">
        <f t="shared" si="89"/>
        <v xml:space="preserve"> </v>
      </c>
    </row>
    <row r="238" spans="28:40" x14ac:dyDescent="0.25">
      <c r="AB238" s="230" t="e">
        <f>T238-HLOOKUP(V238,Minimas!$C$3:$CD$12,2,FALSE)</f>
        <v>#N/A</v>
      </c>
      <c r="AC238" s="230" t="e">
        <f>T238-HLOOKUP(V238,Minimas!$C$3:$CD$12,3,FALSE)</f>
        <v>#N/A</v>
      </c>
      <c r="AD238" s="230" t="e">
        <f>T238-HLOOKUP(V238,Minimas!$C$3:$CD$12,4,FALSE)</f>
        <v>#N/A</v>
      </c>
      <c r="AE238" s="230" t="e">
        <f>T238-HLOOKUP(V238,Minimas!$C$3:$CD$12,5,FALSE)</f>
        <v>#N/A</v>
      </c>
      <c r="AF238" s="230" t="e">
        <f>T238-HLOOKUP(V238,Minimas!$C$3:$CD$12,6,FALSE)</f>
        <v>#N/A</v>
      </c>
      <c r="AG238" s="230" t="e">
        <f>T238-HLOOKUP(V238,Minimas!$C$3:$CD$12,7,FALSE)</f>
        <v>#N/A</v>
      </c>
      <c r="AH238" s="230" t="e">
        <f>T238-HLOOKUP(V238,Minimas!$C$3:$CD$12,8,FALSE)</f>
        <v>#N/A</v>
      </c>
      <c r="AI238" s="230" t="e">
        <f>T238-HLOOKUP(V238,Minimas!$C$3:$CD$12,9,FALSE)</f>
        <v>#N/A</v>
      </c>
      <c r="AJ238" s="230" t="e">
        <f>T238-HLOOKUP(V238,Minimas!$C$3:$CD$12,10,FALSE)</f>
        <v>#N/A</v>
      </c>
      <c r="AK238" s="231" t="str">
        <f t="shared" si="87"/>
        <v xml:space="preserve"> </v>
      </c>
      <c r="AL238" s="232"/>
      <c r="AM238" s="232" t="str">
        <f t="shared" si="88"/>
        <v xml:space="preserve"> </v>
      </c>
      <c r="AN238" s="232" t="str">
        <f t="shared" si="89"/>
        <v xml:space="preserve"> </v>
      </c>
    </row>
    <row r="239" spans="28:40" x14ac:dyDescent="0.25">
      <c r="AB239" s="230" t="e">
        <f>T239-HLOOKUP(V239,Minimas!$C$3:$CD$12,2,FALSE)</f>
        <v>#N/A</v>
      </c>
      <c r="AC239" s="230" t="e">
        <f>T239-HLOOKUP(V239,Minimas!$C$3:$CD$12,3,FALSE)</f>
        <v>#N/A</v>
      </c>
      <c r="AD239" s="230" t="e">
        <f>T239-HLOOKUP(V239,Minimas!$C$3:$CD$12,4,FALSE)</f>
        <v>#N/A</v>
      </c>
      <c r="AE239" s="230" t="e">
        <f>T239-HLOOKUP(V239,Minimas!$C$3:$CD$12,5,FALSE)</f>
        <v>#N/A</v>
      </c>
      <c r="AF239" s="230" t="e">
        <f>T239-HLOOKUP(V239,Minimas!$C$3:$CD$12,6,FALSE)</f>
        <v>#N/A</v>
      </c>
      <c r="AG239" s="230" t="e">
        <f>T239-HLOOKUP(V239,Minimas!$C$3:$CD$12,7,FALSE)</f>
        <v>#N/A</v>
      </c>
      <c r="AH239" s="230" t="e">
        <f>T239-HLOOKUP(V239,Minimas!$C$3:$CD$12,8,FALSE)</f>
        <v>#N/A</v>
      </c>
      <c r="AI239" s="230" t="e">
        <f>T239-HLOOKUP(V239,Minimas!$C$3:$CD$12,9,FALSE)</f>
        <v>#N/A</v>
      </c>
      <c r="AJ239" s="230" t="e">
        <f>T239-HLOOKUP(V239,Minimas!$C$3:$CD$12,10,FALSE)</f>
        <v>#N/A</v>
      </c>
      <c r="AK239" s="231" t="str">
        <f t="shared" si="87"/>
        <v xml:space="preserve"> </v>
      </c>
      <c r="AL239" s="232"/>
      <c r="AM239" s="232" t="str">
        <f t="shared" si="88"/>
        <v xml:space="preserve"> </v>
      </c>
      <c r="AN239" s="232" t="str">
        <f t="shared" si="89"/>
        <v xml:space="preserve"> </v>
      </c>
    </row>
    <row r="240" spans="28:40" x14ac:dyDescent="0.25">
      <c r="AB240" s="230" t="e">
        <f>T240-HLOOKUP(V240,Minimas!$C$3:$CD$12,2,FALSE)</f>
        <v>#N/A</v>
      </c>
      <c r="AC240" s="230" t="e">
        <f>T240-HLOOKUP(V240,Minimas!$C$3:$CD$12,3,FALSE)</f>
        <v>#N/A</v>
      </c>
      <c r="AD240" s="230" t="e">
        <f>T240-HLOOKUP(V240,Minimas!$C$3:$CD$12,4,FALSE)</f>
        <v>#N/A</v>
      </c>
      <c r="AE240" s="230" t="e">
        <f>T240-HLOOKUP(V240,Minimas!$C$3:$CD$12,5,FALSE)</f>
        <v>#N/A</v>
      </c>
      <c r="AF240" s="230" t="e">
        <f>T240-HLOOKUP(V240,Minimas!$C$3:$CD$12,6,FALSE)</f>
        <v>#N/A</v>
      </c>
      <c r="AG240" s="230" t="e">
        <f>T240-HLOOKUP(V240,Minimas!$C$3:$CD$12,7,FALSE)</f>
        <v>#N/A</v>
      </c>
      <c r="AH240" s="230" t="e">
        <f>T240-HLOOKUP(V240,Minimas!$C$3:$CD$12,8,FALSE)</f>
        <v>#N/A</v>
      </c>
      <c r="AI240" s="230" t="e">
        <f>T240-HLOOKUP(V240,Minimas!$C$3:$CD$12,9,FALSE)</f>
        <v>#N/A</v>
      </c>
      <c r="AJ240" s="230" t="e">
        <f>T240-HLOOKUP(V240,Minimas!$C$3:$CD$12,10,FALSE)</f>
        <v>#N/A</v>
      </c>
      <c r="AK240" s="231" t="str">
        <f t="shared" si="87"/>
        <v xml:space="preserve"> </v>
      </c>
      <c r="AL240" s="232"/>
      <c r="AM240" s="232" t="str">
        <f t="shared" si="88"/>
        <v xml:space="preserve"> </v>
      </c>
      <c r="AN240" s="232" t="str">
        <f t="shared" si="89"/>
        <v xml:space="preserve"> </v>
      </c>
    </row>
    <row r="241" spans="28:40" x14ac:dyDescent="0.25">
      <c r="AB241" s="230" t="e">
        <f>T241-HLOOKUP(V241,Minimas!$C$3:$CD$12,2,FALSE)</f>
        <v>#N/A</v>
      </c>
      <c r="AC241" s="230" t="e">
        <f>T241-HLOOKUP(V241,Minimas!$C$3:$CD$12,3,FALSE)</f>
        <v>#N/A</v>
      </c>
      <c r="AD241" s="230" t="e">
        <f>T241-HLOOKUP(V241,Minimas!$C$3:$CD$12,4,FALSE)</f>
        <v>#N/A</v>
      </c>
      <c r="AE241" s="230" t="e">
        <f>T241-HLOOKUP(V241,Minimas!$C$3:$CD$12,5,FALSE)</f>
        <v>#N/A</v>
      </c>
      <c r="AF241" s="230" t="e">
        <f>T241-HLOOKUP(V241,Minimas!$C$3:$CD$12,6,FALSE)</f>
        <v>#N/A</v>
      </c>
      <c r="AG241" s="230" t="e">
        <f>T241-HLOOKUP(V241,Minimas!$C$3:$CD$12,7,FALSE)</f>
        <v>#N/A</v>
      </c>
      <c r="AH241" s="230" t="e">
        <f>T241-HLOOKUP(V241,Minimas!$C$3:$CD$12,8,FALSE)</f>
        <v>#N/A</v>
      </c>
      <c r="AI241" s="230" t="e">
        <f>T241-HLOOKUP(V241,Minimas!$C$3:$CD$12,9,FALSE)</f>
        <v>#N/A</v>
      </c>
      <c r="AJ241" s="230" t="e">
        <f>T241-HLOOKUP(V241,Minimas!$C$3:$CD$12,10,FALSE)</f>
        <v>#N/A</v>
      </c>
      <c r="AK241" s="231" t="str">
        <f t="shared" si="87"/>
        <v xml:space="preserve"> </v>
      </c>
      <c r="AL241" s="232"/>
      <c r="AM241" s="232" t="str">
        <f t="shared" si="88"/>
        <v xml:space="preserve"> </v>
      </c>
      <c r="AN241" s="232" t="str">
        <f t="shared" si="89"/>
        <v xml:space="preserve"> </v>
      </c>
    </row>
    <row r="242" spans="28:40" x14ac:dyDescent="0.25">
      <c r="AB242" s="230" t="e">
        <f>T242-HLOOKUP(V242,Minimas!$C$3:$CD$12,2,FALSE)</f>
        <v>#N/A</v>
      </c>
      <c r="AC242" s="230" t="e">
        <f>T242-HLOOKUP(V242,Minimas!$C$3:$CD$12,3,FALSE)</f>
        <v>#N/A</v>
      </c>
      <c r="AD242" s="230" t="e">
        <f>T242-HLOOKUP(V242,Minimas!$C$3:$CD$12,4,FALSE)</f>
        <v>#N/A</v>
      </c>
      <c r="AE242" s="230" t="e">
        <f>T242-HLOOKUP(V242,Minimas!$C$3:$CD$12,5,FALSE)</f>
        <v>#N/A</v>
      </c>
      <c r="AF242" s="230" t="e">
        <f>T242-HLOOKUP(V242,Minimas!$C$3:$CD$12,6,FALSE)</f>
        <v>#N/A</v>
      </c>
      <c r="AG242" s="230" t="e">
        <f>T242-HLOOKUP(V242,Minimas!$C$3:$CD$12,7,FALSE)</f>
        <v>#N/A</v>
      </c>
      <c r="AH242" s="230" t="e">
        <f>T242-HLOOKUP(V242,Minimas!$C$3:$CD$12,8,FALSE)</f>
        <v>#N/A</v>
      </c>
      <c r="AI242" s="230" t="e">
        <f>T242-HLOOKUP(V242,Minimas!$C$3:$CD$12,9,FALSE)</f>
        <v>#N/A</v>
      </c>
      <c r="AJ242" s="230" t="e">
        <f>T242-HLOOKUP(V242,Minimas!$C$3:$CD$12,10,FALSE)</f>
        <v>#N/A</v>
      </c>
      <c r="AK242" s="231" t="str">
        <f t="shared" si="87"/>
        <v xml:space="preserve"> </v>
      </c>
      <c r="AL242" s="232"/>
      <c r="AM242" s="232" t="str">
        <f t="shared" si="88"/>
        <v xml:space="preserve"> </v>
      </c>
      <c r="AN242" s="232" t="str">
        <f t="shared" si="89"/>
        <v xml:space="preserve"> </v>
      </c>
    </row>
    <row r="243" spans="28:40" x14ac:dyDescent="0.25">
      <c r="AB243" s="230" t="e">
        <f>T243-HLOOKUP(V243,Minimas!$C$3:$CD$12,2,FALSE)</f>
        <v>#N/A</v>
      </c>
      <c r="AC243" s="230" t="e">
        <f>T243-HLOOKUP(V243,Minimas!$C$3:$CD$12,3,FALSE)</f>
        <v>#N/A</v>
      </c>
      <c r="AD243" s="230" t="e">
        <f>T243-HLOOKUP(V243,Minimas!$C$3:$CD$12,4,FALSE)</f>
        <v>#N/A</v>
      </c>
      <c r="AE243" s="230" t="e">
        <f>T243-HLOOKUP(V243,Minimas!$C$3:$CD$12,5,FALSE)</f>
        <v>#N/A</v>
      </c>
      <c r="AF243" s="230" t="e">
        <f>T243-HLOOKUP(V243,Minimas!$C$3:$CD$12,6,FALSE)</f>
        <v>#N/A</v>
      </c>
      <c r="AG243" s="230" t="e">
        <f>T243-HLOOKUP(V243,Minimas!$C$3:$CD$12,7,FALSE)</f>
        <v>#N/A</v>
      </c>
      <c r="AH243" s="230" t="e">
        <f>T243-HLOOKUP(V243,Minimas!$C$3:$CD$12,8,FALSE)</f>
        <v>#N/A</v>
      </c>
      <c r="AI243" s="230" t="e">
        <f>T243-HLOOKUP(V243,Minimas!$C$3:$CD$12,9,FALSE)</f>
        <v>#N/A</v>
      </c>
      <c r="AJ243" s="230" t="e">
        <f>T243-HLOOKUP(V243,Minimas!$C$3:$CD$12,10,FALSE)</f>
        <v>#N/A</v>
      </c>
      <c r="AK243" s="231" t="str">
        <f t="shared" si="87"/>
        <v xml:space="preserve"> </v>
      </c>
      <c r="AL243" s="232"/>
      <c r="AM243" s="232" t="str">
        <f t="shared" si="88"/>
        <v xml:space="preserve"> </v>
      </c>
      <c r="AN243" s="232" t="str">
        <f t="shared" si="89"/>
        <v xml:space="preserve"> </v>
      </c>
    </row>
    <row r="244" spans="28:40" x14ac:dyDescent="0.25">
      <c r="AB244" s="230" t="e">
        <f>T244-HLOOKUP(V244,Minimas!$C$3:$CD$12,2,FALSE)</f>
        <v>#N/A</v>
      </c>
      <c r="AC244" s="230" t="e">
        <f>T244-HLOOKUP(V244,Minimas!$C$3:$CD$12,3,FALSE)</f>
        <v>#N/A</v>
      </c>
      <c r="AD244" s="230" t="e">
        <f>T244-HLOOKUP(V244,Minimas!$C$3:$CD$12,4,FALSE)</f>
        <v>#N/A</v>
      </c>
      <c r="AE244" s="230" t="e">
        <f>T244-HLOOKUP(V244,Minimas!$C$3:$CD$12,5,FALSE)</f>
        <v>#N/A</v>
      </c>
      <c r="AF244" s="230" t="e">
        <f>T244-HLOOKUP(V244,Minimas!$C$3:$CD$12,6,FALSE)</f>
        <v>#N/A</v>
      </c>
      <c r="AG244" s="230" t="e">
        <f>T244-HLOOKUP(V244,Minimas!$C$3:$CD$12,7,FALSE)</f>
        <v>#N/A</v>
      </c>
      <c r="AH244" s="230" t="e">
        <f>T244-HLOOKUP(V244,Minimas!$C$3:$CD$12,8,FALSE)</f>
        <v>#N/A</v>
      </c>
      <c r="AI244" s="230" t="e">
        <f>T244-HLOOKUP(V244,Minimas!$C$3:$CD$12,9,FALSE)</f>
        <v>#N/A</v>
      </c>
      <c r="AJ244" s="230" t="e">
        <f>T244-HLOOKUP(V244,Minimas!$C$3:$CD$12,10,FALSE)</f>
        <v>#N/A</v>
      </c>
      <c r="AK244" s="231" t="str">
        <f t="shared" si="87"/>
        <v xml:space="preserve"> </v>
      </c>
      <c r="AL244" s="232"/>
      <c r="AM244" s="232" t="str">
        <f t="shared" si="88"/>
        <v xml:space="preserve"> </v>
      </c>
      <c r="AN244" s="232" t="str">
        <f t="shared" si="89"/>
        <v xml:space="preserve"> </v>
      </c>
    </row>
    <row r="245" spans="28:40" x14ac:dyDescent="0.25">
      <c r="AB245" s="230" t="e">
        <f>T245-HLOOKUP(V245,Minimas!$C$3:$CD$12,2,FALSE)</f>
        <v>#N/A</v>
      </c>
      <c r="AC245" s="230" t="e">
        <f>T245-HLOOKUP(V245,Minimas!$C$3:$CD$12,3,FALSE)</f>
        <v>#N/A</v>
      </c>
      <c r="AD245" s="230" t="e">
        <f>T245-HLOOKUP(V245,Minimas!$C$3:$CD$12,4,FALSE)</f>
        <v>#N/A</v>
      </c>
      <c r="AE245" s="230" t="e">
        <f>T245-HLOOKUP(V245,Minimas!$C$3:$CD$12,5,FALSE)</f>
        <v>#N/A</v>
      </c>
      <c r="AF245" s="230" t="e">
        <f>T245-HLOOKUP(V245,Minimas!$C$3:$CD$12,6,FALSE)</f>
        <v>#N/A</v>
      </c>
      <c r="AG245" s="230" t="e">
        <f>T245-HLOOKUP(V245,Minimas!$C$3:$CD$12,7,FALSE)</f>
        <v>#N/A</v>
      </c>
      <c r="AH245" s="230" t="e">
        <f>T245-HLOOKUP(V245,Minimas!$C$3:$CD$12,8,FALSE)</f>
        <v>#N/A</v>
      </c>
      <c r="AI245" s="230" t="e">
        <f>T245-HLOOKUP(V245,Minimas!$C$3:$CD$12,9,FALSE)</f>
        <v>#N/A</v>
      </c>
      <c r="AJ245" s="230" t="e">
        <f>T245-HLOOKUP(V245,Minimas!$C$3:$CD$12,10,FALSE)</f>
        <v>#N/A</v>
      </c>
      <c r="AK245" s="231" t="str">
        <f t="shared" si="87"/>
        <v xml:space="preserve"> </v>
      </c>
      <c r="AL245" s="232"/>
      <c r="AM245" s="232" t="str">
        <f t="shared" si="88"/>
        <v xml:space="preserve"> </v>
      </c>
      <c r="AN245" s="232" t="str">
        <f t="shared" si="89"/>
        <v xml:space="preserve"> </v>
      </c>
    </row>
    <row r="246" spans="28:40" x14ac:dyDescent="0.25">
      <c r="AB246" s="230" t="e">
        <f>T246-HLOOKUP(V246,Minimas!$C$3:$CD$12,2,FALSE)</f>
        <v>#N/A</v>
      </c>
      <c r="AC246" s="230" t="e">
        <f>T246-HLOOKUP(V246,Minimas!$C$3:$CD$12,3,FALSE)</f>
        <v>#N/A</v>
      </c>
      <c r="AD246" s="230" t="e">
        <f>T246-HLOOKUP(V246,Minimas!$C$3:$CD$12,4,FALSE)</f>
        <v>#N/A</v>
      </c>
      <c r="AE246" s="230" t="e">
        <f>T246-HLOOKUP(V246,Minimas!$C$3:$CD$12,5,FALSE)</f>
        <v>#N/A</v>
      </c>
      <c r="AF246" s="230" t="e">
        <f>T246-HLOOKUP(V246,Minimas!$C$3:$CD$12,6,FALSE)</f>
        <v>#N/A</v>
      </c>
      <c r="AG246" s="230" t="e">
        <f>T246-HLOOKUP(V246,Minimas!$C$3:$CD$12,7,FALSE)</f>
        <v>#N/A</v>
      </c>
      <c r="AH246" s="230" t="e">
        <f>T246-HLOOKUP(V246,Minimas!$C$3:$CD$12,8,FALSE)</f>
        <v>#N/A</v>
      </c>
      <c r="AI246" s="230" t="e">
        <f>T246-HLOOKUP(V246,Minimas!$C$3:$CD$12,9,FALSE)</f>
        <v>#N/A</v>
      </c>
      <c r="AJ246" s="230" t="e">
        <f>T246-HLOOKUP(V246,Minimas!$C$3:$CD$12,10,FALSE)</f>
        <v>#N/A</v>
      </c>
      <c r="AK246" s="231" t="str">
        <f t="shared" si="87"/>
        <v xml:space="preserve"> </v>
      </c>
      <c r="AL246" s="232"/>
      <c r="AM246" s="232" t="str">
        <f t="shared" si="88"/>
        <v xml:space="preserve"> </v>
      </c>
      <c r="AN246" s="232" t="str">
        <f t="shared" si="89"/>
        <v xml:space="preserve"> </v>
      </c>
    </row>
    <row r="247" spans="28:40" x14ac:dyDescent="0.25">
      <c r="AB247" s="230" t="e">
        <f>T247-HLOOKUP(V247,Minimas!$C$3:$CD$12,2,FALSE)</f>
        <v>#N/A</v>
      </c>
      <c r="AC247" s="230" t="e">
        <f>T247-HLOOKUP(V247,Minimas!$C$3:$CD$12,3,FALSE)</f>
        <v>#N/A</v>
      </c>
      <c r="AD247" s="230" t="e">
        <f>T247-HLOOKUP(V247,Minimas!$C$3:$CD$12,4,FALSE)</f>
        <v>#N/A</v>
      </c>
      <c r="AE247" s="230" t="e">
        <f>T247-HLOOKUP(V247,Minimas!$C$3:$CD$12,5,FALSE)</f>
        <v>#N/A</v>
      </c>
      <c r="AF247" s="230" t="e">
        <f>T247-HLOOKUP(V247,Minimas!$C$3:$CD$12,6,FALSE)</f>
        <v>#N/A</v>
      </c>
      <c r="AG247" s="230" t="e">
        <f>T247-HLOOKUP(V247,Minimas!$C$3:$CD$12,7,FALSE)</f>
        <v>#N/A</v>
      </c>
      <c r="AH247" s="230" t="e">
        <f>T247-HLOOKUP(V247,Minimas!$C$3:$CD$12,8,FALSE)</f>
        <v>#N/A</v>
      </c>
      <c r="AI247" s="230" t="e">
        <f>T247-HLOOKUP(V247,Minimas!$C$3:$CD$12,9,FALSE)</f>
        <v>#N/A</v>
      </c>
      <c r="AJ247" s="230" t="e">
        <f>T247-HLOOKUP(V247,Minimas!$C$3:$CD$12,10,FALSE)</f>
        <v>#N/A</v>
      </c>
      <c r="AK247" s="231" t="str">
        <f t="shared" si="87"/>
        <v xml:space="preserve"> </v>
      </c>
      <c r="AL247" s="232"/>
      <c r="AM247" s="232" t="str">
        <f t="shared" si="88"/>
        <v xml:space="preserve"> </v>
      </c>
      <c r="AN247" s="232" t="str">
        <f t="shared" si="89"/>
        <v xml:space="preserve"> </v>
      </c>
    </row>
    <row r="248" spans="28:40" x14ac:dyDescent="0.25">
      <c r="AB248" s="230" t="e">
        <f>T248-HLOOKUP(V248,Minimas!$C$3:$CD$12,2,FALSE)</f>
        <v>#N/A</v>
      </c>
      <c r="AC248" s="230" t="e">
        <f>T248-HLOOKUP(V248,Minimas!$C$3:$CD$12,3,FALSE)</f>
        <v>#N/A</v>
      </c>
      <c r="AD248" s="230" t="e">
        <f>T248-HLOOKUP(V248,Minimas!$C$3:$CD$12,4,FALSE)</f>
        <v>#N/A</v>
      </c>
      <c r="AE248" s="230" t="e">
        <f>T248-HLOOKUP(V248,Minimas!$C$3:$CD$12,5,FALSE)</f>
        <v>#N/A</v>
      </c>
      <c r="AF248" s="230" t="e">
        <f>T248-HLOOKUP(V248,Minimas!$C$3:$CD$12,6,FALSE)</f>
        <v>#N/A</v>
      </c>
      <c r="AG248" s="230" t="e">
        <f>T248-HLOOKUP(V248,Minimas!$C$3:$CD$12,7,FALSE)</f>
        <v>#N/A</v>
      </c>
      <c r="AH248" s="230" t="e">
        <f>T248-HLOOKUP(V248,Minimas!$C$3:$CD$12,8,FALSE)</f>
        <v>#N/A</v>
      </c>
      <c r="AI248" s="230" t="e">
        <f>T248-HLOOKUP(V248,Minimas!$C$3:$CD$12,9,FALSE)</f>
        <v>#N/A</v>
      </c>
      <c r="AJ248" s="230" t="e">
        <f>T248-HLOOKUP(V248,Minimas!$C$3:$CD$12,10,FALSE)</f>
        <v>#N/A</v>
      </c>
      <c r="AK248" s="231" t="str">
        <f t="shared" si="87"/>
        <v xml:space="preserve"> </v>
      </c>
      <c r="AL248" s="232"/>
      <c r="AM248" s="232" t="str">
        <f t="shared" si="88"/>
        <v xml:space="preserve"> </v>
      </c>
      <c r="AN248" s="232" t="str">
        <f t="shared" si="89"/>
        <v xml:space="preserve"> </v>
      </c>
    </row>
    <row r="249" spans="28:40" x14ac:dyDescent="0.25">
      <c r="AB249" s="230" t="e">
        <f>T249-HLOOKUP(V249,Minimas!$C$3:$CD$12,2,FALSE)</f>
        <v>#N/A</v>
      </c>
      <c r="AC249" s="230" t="e">
        <f>T249-HLOOKUP(V249,Minimas!$C$3:$CD$12,3,FALSE)</f>
        <v>#N/A</v>
      </c>
      <c r="AD249" s="230" t="e">
        <f>T249-HLOOKUP(V249,Minimas!$C$3:$CD$12,4,FALSE)</f>
        <v>#N/A</v>
      </c>
      <c r="AE249" s="230" t="e">
        <f>T249-HLOOKUP(V249,Minimas!$C$3:$CD$12,5,FALSE)</f>
        <v>#N/A</v>
      </c>
      <c r="AF249" s="230" t="e">
        <f>T249-HLOOKUP(V249,Minimas!$C$3:$CD$12,6,FALSE)</f>
        <v>#N/A</v>
      </c>
      <c r="AG249" s="230" t="e">
        <f>T249-HLOOKUP(V249,Minimas!$C$3:$CD$12,7,FALSE)</f>
        <v>#N/A</v>
      </c>
      <c r="AH249" s="230" t="e">
        <f>T249-HLOOKUP(V249,Minimas!$C$3:$CD$12,8,FALSE)</f>
        <v>#N/A</v>
      </c>
      <c r="AI249" s="230" t="e">
        <f>T249-HLOOKUP(V249,Minimas!$C$3:$CD$12,9,FALSE)</f>
        <v>#N/A</v>
      </c>
      <c r="AJ249" s="230" t="e">
        <f>T249-HLOOKUP(V249,Minimas!$C$3:$CD$12,10,FALSE)</f>
        <v>#N/A</v>
      </c>
      <c r="AK249" s="231" t="str">
        <f t="shared" si="87"/>
        <v xml:space="preserve"> </v>
      </c>
      <c r="AL249" s="232"/>
      <c r="AM249" s="232" t="str">
        <f t="shared" si="88"/>
        <v xml:space="preserve"> </v>
      </c>
      <c r="AN249" s="232" t="str">
        <f t="shared" si="89"/>
        <v xml:space="preserve"> </v>
      </c>
    </row>
    <row r="250" spans="28:40" x14ac:dyDescent="0.25">
      <c r="AB250" s="230" t="e">
        <f>T250-HLOOKUP(V250,Minimas!$C$3:$CD$12,2,FALSE)</f>
        <v>#N/A</v>
      </c>
      <c r="AC250" s="230" t="e">
        <f>T250-HLOOKUP(V250,Minimas!$C$3:$CD$12,3,FALSE)</f>
        <v>#N/A</v>
      </c>
      <c r="AD250" s="230" t="e">
        <f>T250-HLOOKUP(V250,Minimas!$C$3:$CD$12,4,FALSE)</f>
        <v>#N/A</v>
      </c>
      <c r="AE250" s="230" t="e">
        <f>T250-HLOOKUP(V250,Minimas!$C$3:$CD$12,5,FALSE)</f>
        <v>#N/A</v>
      </c>
      <c r="AF250" s="230" t="e">
        <f>T250-HLOOKUP(V250,Minimas!$C$3:$CD$12,6,FALSE)</f>
        <v>#N/A</v>
      </c>
      <c r="AG250" s="230" t="e">
        <f>T250-HLOOKUP(V250,Minimas!$C$3:$CD$12,7,FALSE)</f>
        <v>#N/A</v>
      </c>
      <c r="AH250" s="230" t="e">
        <f>T250-HLOOKUP(V250,Minimas!$C$3:$CD$12,8,FALSE)</f>
        <v>#N/A</v>
      </c>
      <c r="AI250" s="230" t="e">
        <f>T250-HLOOKUP(V250,Minimas!$C$3:$CD$12,9,FALSE)</f>
        <v>#N/A</v>
      </c>
      <c r="AJ250" s="230" t="e">
        <f>T250-HLOOKUP(V250,Minimas!$C$3:$CD$12,10,FALSE)</f>
        <v>#N/A</v>
      </c>
      <c r="AK250" s="231" t="str">
        <f t="shared" si="87"/>
        <v xml:space="preserve"> </v>
      </c>
      <c r="AL250" s="232"/>
      <c r="AM250" s="232" t="str">
        <f t="shared" si="88"/>
        <v xml:space="preserve"> </v>
      </c>
      <c r="AN250" s="232" t="str">
        <f t="shared" si="89"/>
        <v xml:space="preserve"> </v>
      </c>
    </row>
    <row r="251" spans="28:40" x14ac:dyDescent="0.25">
      <c r="AB251" s="230" t="e">
        <f>T251-HLOOKUP(V251,Minimas!$C$3:$CD$12,2,FALSE)</f>
        <v>#N/A</v>
      </c>
      <c r="AC251" s="230" t="e">
        <f>T251-HLOOKUP(V251,Minimas!$C$3:$CD$12,3,FALSE)</f>
        <v>#N/A</v>
      </c>
      <c r="AD251" s="230" t="e">
        <f>T251-HLOOKUP(V251,Minimas!$C$3:$CD$12,4,FALSE)</f>
        <v>#N/A</v>
      </c>
      <c r="AE251" s="230" t="e">
        <f>T251-HLOOKUP(V251,Minimas!$C$3:$CD$12,5,FALSE)</f>
        <v>#N/A</v>
      </c>
      <c r="AF251" s="230" t="e">
        <f>T251-HLOOKUP(V251,Minimas!$C$3:$CD$12,6,FALSE)</f>
        <v>#N/A</v>
      </c>
      <c r="AG251" s="230" t="e">
        <f>T251-HLOOKUP(V251,Minimas!$C$3:$CD$12,7,FALSE)</f>
        <v>#N/A</v>
      </c>
      <c r="AH251" s="230" t="e">
        <f>T251-HLOOKUP(V251,Minimas!$C$3:$CD$12,8,FALSE)</f>
        <v>#N/A</v>
      </c>
      <c r="AI251" s="230" t="e">
        <f>T251-HLOOKUP(V251,Minimas!$C$3:$CD$12,9,FALSE)</f>
        <v>#N/A</v>
      </c>
      <c r="AJ251" s="230" t="e">
        <f>T251-HLOOKUP(V251,Minimas!$C$3:$CD$12,10,FALSE)</f>
        <v>#N/A</v>
      </c>
      <c r="AK251" s="231" t="str">
        <f t="shared" si="87"/>
        <v xml:space="preserve"> </v>
      </c>
      <c r="AL251" s="232"/>
      <c r="AM251" s="232" t="str">
        <f t="shared" si="88"/>
        <v xml:space="preserve"> </v>
      </c>
      <c r="AN251" s="232" t="str">
        <f t="shared" si="89"/>
        <v xml:space="preserve"> </v>
      </c>
    </row>
    <row r="252" spans="28:40" x14ac:dyDescent="0.25">
      <c r="AB252" s="230" t="e">
        <f>T252-HLOOKUP(V252,Minimas!$C$3:$CD$12,2,FALSE)</f>
        <v>#N/A</v>
      </c>
      <c r="AC252" s="230" t="e">
        <f>T252-HLOOKUP(V252,Minimas!$C$3:$CD$12,3,FALSE)</f>
        <v>#N/A</v>
      </c>
      <c r="AD252" s="230" t="e">
        <f>T252-HLOOKUP(V252,Minimas!$C$3:$CD$12,4,FALSE)</f>
        <v>#N/A</v>
      </c>
      <c r="AE252" s="230" t="e">
        <f>T252-HLOOKUP(V252,Minimas!$C$3:$CD$12,5,FALSE)</f>
        <v>#N/A</v>
      </c>
      <c r="AF252" s="230" t="e">
        <f>T252-HLOOKUP(V252,Minimas!$C$3:$CD$12,6,FALSE)</f>
        <v>#N/A</v>
      </c>
      <c r="AG252" s="230" t="e">
        <f>T252-HLOOKUP(V252,Minimas!$C$3:$CD$12,7,FALSE)</f>
        <v>#N/A</v>
      </c>
      <c r="AH252" s="230" t="e">
        <f>T252-HLOOKUP(V252,Minimas!$C$3:$CD$12,8,FALSE)</f>
        <v>#N/A</v>
      </c>
      <c r="AI252" s="230" t="e">
        <f>T252-HLOOKUP(V252,Minimas!$C$3:$CD$12,9,FALSE)</f>
        <v>#N/A</v>
      </c>
      <c r="AJ252" s="230" t="e">
        <f>T252-HLOOKUP(V252,Minimas!$C$3:$CD$12,10,FALSE)</f>
        <v>#N/A</v>
      </c>
      <c r="AK252" s="231" t="str">
        <f t="shared" si="87"/>
        <v xml:space="preserve"> </v>
      </c>
      <c r="AL252" s="232"/>
      <c r="AM252" s="232" t="str">
        <f t="shared" si="88"/>
        <v xml:space="preserve"> </v>
      </c>
      <c r="AN252" s="232" t="str">
        <f t="shared" si="89"/>
        <v xml:space="preserve"> </v>
      </c>
    </row>
    <row r="253" spans="28:40" x14ac:dyDescent="0.25">
      <c r="AB253" s="230" t="e">
        <f>T253-HLOOKUP(V253,Minimas!$C$3:$CD$12,2,FALSE)</f>
        <v>#N/A</v>
      </c>
      <c r="AC253" s="230" t="e">
        <f>T253-HLOOKUP(V253,Minimas!$C$3:$CD$12,3,FALSE)</f>
        <v>#N/A</v>
      </c>
      <c r="AD253" s="230" t="e">
        <f>T253-HLOOKUP(V253,Minimas!$C$3:$CD$12,4,FALSE)</f>
        <v>#N/A</v>
      </c>
      <c r="AE253" s="230" t="e">
        <f>T253-HLOOKUP(V253,Minimas!$C$3:$CD$12,5,FALSE)</f>
        <v>#N/A</v>
      </c>
      <c r="AF253" s="230" t="e">
        <f>T253-HLOOKUP(V253,Minimas!$C$3:$CD$12,6,FALSE)</f>
        <v>#N/A</v>
      </c>
      <c r="AG253" s="230" t="e">
        <f>T253-HLOOKUP(V253,Minimas!$C$3:$CD$12,7,FALSE)</f>
        <v>#N/A</v>
      </c>
      <c r="AH253" s="230" t="e">
        <f>T253-HLOOKUP(V253,Minimas!$C$3:$CD$12,8,FALSE)</f>
        <v>#N/A</v>
      </c>
      <c r="AI253" s="230" t="e">
        <f>T253-HLOOKUP(V253,Minimas!$C$3:$CD$12,9,FALSE)</f>
        <v>#N/A</v>
      </c>
      <c r="AJ253" s="230" t="e">
        <f>T253-HLOOKUP(V253,Minimas!$C$3:$CD$12,10,FALSE)</f>
        <v>#N/A</v>
      </c>
      <c r="AK253" s="231" t="str">
        <f t="shared" si="87"/>
        <v xml:space="preserve"> </v>
      </c>
      <c r="AL253" s="232"/>
      <c r="AM253" s="232" t="str">
        <f t="shared" si="88"/>
        <v xml:space="preserve"> </v>
      </c>
      <c r="AN253" s="232" t="str">
        <f t="shared" si="89"/>
        <v xml:space="preserve"> </v>
      </c>
    </row>
    <row r="254" spans="28:40" x14ac:dyDescent="0.25">
      <c r="AB254" s="230" t="e">
        <f>T254-HLOOKUP(V254,Minimas!$C$3:$CD$12,2,FALSE)</f>
        <v>#N/A</v>
      </c>
      <c r="AC254" s="230" t="e">
        <f>T254-HLOOKUP(V254,Minimas!$C$3:$CD$12,3,FALSE)</f>
        <v>#N/A</v>
      </c>
      <c r="AD254" s="230" t="e">
        <f>T254-HLOOKUP(V254,Minimas!$C$3:$CD$12,4,FALSE)</f>
        <v>#N/A</v>
      </c>
      <c r="AE254" s="230" t="e">
        <f>T254-HLOOKUP(V254,Minimas!$C$3:$CD$12,5,FALSE)</f>
        <v>#N/A</v>
      </c>
      <c r="AF254" s="230" t="e">
        <f>T254-HLOOKUP(V254,Minimas!$C$3:$CD$12,6,FALSE)</f>
        <v>#N/A</v>
      </c>
      <c r="AG254" s="230" t="e">
        <f>T254-HLOOKUP(V254,Minimas!$C$3:$CD$12,7,FALSE)</f>
        <v>#N/A</v>
      </c>
      <c r="AH254" s="230" t="e">
        <f>T254-HLOOKUP(V254,Minimas!$C$3:$CD$12,8,FALSE)</f>
        <v>#N/A</v>
      </c>
      <c r="AI254" s="230" t="e">
        <f>T254-HLOOKUP(V254,Minimas!$C$3:$CD$12,9,FALSE)</f>
        <v>#N/A</v>
      </c>
      <c r="AJ254" s="230" t="e">
        <f>T254-HLOOKUP(V254,Minimas!$C$3:$CD$12,10,FALSE)</f>
        <v>#N/A</v>
      </c>
      <c r="AK254" s="231" t="str">
        <f t="shared" si="87"/>
        <v xml:space="preserve"> </v>
      </c>
      <c r="AL254" s="232"/>
      <c r="AM254" s="232" t="str">
        <f t="shared" si="88"/>
        <v xml:space="preserve"> </v>
      </c>
      <c r="AN254" s="232" t="str">
        <f t="shared" si="89"/>
        <v xml:space="preserve"> </v>
      </c>
    </row>
    <row r="255" spans="28:40" x14ac:dyDescent="0.25">
      <c r="AB255" s="230" t="e">
        <f>T255-HLOOKUP(V255,Minimas!$C$3:$CD$12,2,FALSE)</f>
        <v>#N/A</v>
      </c>
      <c r="AC255" s="230" t="e">
        <f>T255-HLOOKUP(V255,Minimas!$C$3:$CD$12,3,FALSE)</f>
        <v>#N/A</v>
      </c>
      <c r="AD255" s="230" t="e">
        <f>T255-HLOOKUP(V255,Minimas!$C$3:$CD$12,4,FALSE)</f>
        <v>#N/A</v>
      </c>
      <c r="AE255" s="230" t="e">
        <f>T255-HLOOKUP(V255,Minimas!$C$3:$CD$12,5,FALSE)</f>
        <v>#N/A</v>
      </c>
      <c r="AF255" s="230" t="e">
        <f>T255-HLOOKUP(V255,Minimas!$C$3:$CD$12,6,FALSE)</f>
        <v>#N/A</v>
      </c>
      <c r="AG255" s="230" t="e">
        <f>T255-HLOOKUP(V255,Minimas!$C$3:$CD$12,7,FALSE)</f>
        <v>#N/A</v>
      </c>
      <c r="AH255" s="230" t="e">
        <f>T255-HLOOKUP(V255,Minimas!$C$3:$CD$12,8,FALSE)</f>
        <v>#N/A</v>
      </c>
      <c r="AI255" s="230" t="e">
        <f>T255-HLOOKUP(V255,Minimas!$C$3:$CD$12,9,FALSE)</f>
        <v>#N/A</v>
      </c>
      <c r="AJ255" s="230" t="e">
        <f>T255-HLOOKUP(V255,Minimas!$C$3:$CD$12,10,FALSE)</f>
        <v>#N/A</v>
      </c>
      <c r="AK255" s="231" t="str">
        <f t="shared" si="87"/>
        <v xml:space="preserve"> </v>
      </c>
      <c r="AL255" s="232"/>
      <c r="AM255" s="232" t="str">
        <f t="shared" si="88"/>
        <v xml:space="preserve"> </v>
      </c>
      <c r="AN255" s="232" t="str">
        <f t="shared" si="89"/>
        <v xml:space="preserve"> </v>
      </c>
    </row>
    <row r="256" spans="28:40" x14ac:dyDescent="0.25">
      <c r="AB256" s="230" t="e">
        <f>T256-HLOOKUP(V256,Minimas!$C$3:$CD$12,2,FALSE)</f>
        <v>#N/A</v>
      </c>
      <c r="AC256" s="230" t="e">
        <f>T256-HLOOKUP(V256,Minimas!$C$3:$CD$12,3,FALSE)</f>
        <v>#N/A</v>
      </c>
      <c r="AD256" s="230" t="e">
        <f>T256-HLOOKUP(V256,Minimas!$C$3:$CD$12,4,FALSE)</f>
        <v>#N/A</v>
      </c>
      <c r="AE256" s="230" t="e">
        <f>T256-HLOOKUP(V256,Minimas!$C$3:$CD$12,5,FALSE)</f>
        <v>#N/A</v>
      </c>
      <c r="AF256" s="230" t="e">
        <f>T256-HLOOKUP(V256,Minimas!$C$3:$CD$12,6,FALSE)</f>
        <v>#N/A</v>
      </c>
      <c r="AG256" s="230" t="e">
        <f>T256-HLOOKUP(V256,Minimas!$C$3:$CD$12,7,FALSE)</f>
        <v>#N/A</v>
      </c>
      <c r="AH256" s="230" t="e">
        <f>T256-HLOOKUP(V256,Minimas!$C$3:$CD$12,8,FALSE)</f>
        <v>#N/A</v>
      </c>
      <c r="AI256" s="230" t="e">
        <f>T256-HLOOKUP(V256,Minimas!$C$3:$CD$12,9,FALSE)</f>
        <v>#N/A</v>
      </c>
      <c r="AJ256" s="230" t="e">
        <f>T256-HLOOKUP(V256,Minimas!$C$3:$CD$12,10,FALSE)</f>
        <v>#N/A</v>
      </c>
      <c r="AK256" s="231" t="str">
        <f t="shared" si="87"/>
        <v xml:space="preserve"> </v>
      </c>
      <c r="AL256" s="232"/>
      <c r="AM256" s="232" t="str">
        <f t="shared" si="88"/>
        <v xml:space="preserve"> </v>
      </c>
      <c r="AN256" s="232" t="str">
        <f t="shared" si="89"/>
        <v xml:space="preserve"> </v>
      </c>
    </row>
    <row r="257" spans="28:40" x14ac:dyDescent="0.25">
      <c r="AB257" s="230" t="e">
        <f>T257-HLOOKUP(V257,Minimas!$C$3:$CD$12,2,FALSE)</f>
        <v>#N/A</v>
      </c>
      <c r="AC257" s="230" t="e">
        <f>T257-HLOOKUP(V257,Minimas!$C$3:$CD$12,3,FALSE)</f>
        <v>#N/A</v>
      </c>
      <c r="AD257" s="230" t="e">
        <f>T257-HLOOKUP(V257,Minimas!$C$3:$CD$12,4,FALSE)</f>
        <v>#N/A</v>
      </c>
      <c r="AE257" s="230" t="e">
        <f>T257-HLOOKUP(V257,Minimas!$C$3:$CD$12,5,FALSE)</f>
        <v>#N/A</v>
      </c>
      <c r="AF257" s="230" t="e">
        <f>T257-HLOOKUP(V257,Minimas!$C$3:$CD$12,6,FALSE)</f>
        <v>#N/A</v>
      </c>
      <c r="AG257" s="230" t="e">
        <f>T257-HLOOKUP(V257,Minimas!$C$3:$CD$12,7,FALSE)</f>
        <v>#N/A</v>
      </c>
      <c r="AH257" s="230" t="e">
        <f>T257-HLOOKUP(V257,Minimas!$C$3:$CD$12,8,FALSE)</f>
        <v>#N/A</v>
      </c>
      <c r="AI257" s="230" t="e">
        <f>T257-HLOOKUP(V257,Minimas!$C$3:$CD$12,9,FALSE)</f>
        <v>#N/A</v>
      </c>
      <c r="AJ257" s="230" t="e">
        <f>T257-HLOOKUP(V257,Minimas!$C$3:$CD$12,10,FALSE)</f>
        <v>#N/A</v>
      </c>
      <c r="AK257" s="231" t="str">
        <f t="shared" si="87"/>
        <v xml:space="preserve"> </v>
      </c>
      <c r="AL257" s="232"/>
      <c r="AM257" s="232" t="str">
        <f t="shared" si="88"/>
        <v xml:space="preserve"> </v>
      </c>
      <c r="AN257" s="232" t="str">
        <f t="shared" si="89"/>
        <v xml:space="preserve"> </v>
      </c>
    </row>
    <row r="258" spans="28:40" x14ac:dyDescent="0.25">
      <c r="AB258" s="230" t="e">
        <f>T258-HLOOKUP(V258,Minimas!$C$3:$CD$12,2,FALSE)</f>
        <v>#N/A</v>
      </c>
      <c r="AC258" s="230" t="e">
        <f>T258-HLOOKUP(V258,Minimas!$C$3:$CD$12,3,FALSE)</f>
        <v>#N/A</v>
      </c>
      <c r="AD258" s="230" t="e">
        <f>T258-HLOOKUP(V258,Minimas!$C$3:$CD$12,4,FALSE)</f>
        <v>#N/A</v>
      </c>
      <c r="AE258" s="230" t="e">
        <f>T258-HLOOKUP(V258,Minimas!$C$3:$CD$12,5,FALSE)</f>
        <v>#N/A</v>
      </c>
      <c r="AF258" s="230" t="e">
        <f>T258-HLOOKUP(V258,Minimas!$C$3:$CD$12,6,FALSE)</f>
        <v>#N/A</v>
      </c>
      <c r="AG258" s="230" t="e">
        <f>T258-HLOOKUP(V258,Minimas!$C$3:$CD$12,7,FALSE)</f>
        <v>#N/A</v>
      </c>
      <c r="AH258" s="230" t="e">
        <f>T258-HLOOKUP(V258,Minimas!$C$3:$CD$12,8,FALSE)</f>
        <v>#N/A</v>
      </c>
      <c r="AI258" s="230" t="e">
        <f>T258-HLOOKUP(V258,Minimas!$C$3:$CD$12,9,FALSE)</f>
        <v>#N/A</v>
      </c>
      <c r="AJ258" s="230" t="e">
        <f>T258-HLOOKUP(V258,Minimas!$C$3:$CD$12,10,FALSE)</f>
        <v>#N/A</v>
      </c>
      <c r="AK258" s="231" t="str">
        <f t="shared" si="87"/>
        <v xml:space="preserve"> </v>
      </c>
      <c r="AL258" s="232"/>
      <c r="AM258" s="232" t="str">
        <f t="shared" si="88"/>
        <v xml:space="preserve"> </v>
      </c>
      <c r="AN258" s="232" t="str">
        <f t="shared" si="89"/>
        <v xml:space="preserve"> </v>
      </c>
    </row>
    <row r="259" spans="28:40" x14ac:dyDescent="0.25">
      <c r="AB259" s="230" t="e">
        <f>T259-HLOOKUP(V259,Minimas!$C$3:$CD$12,2,FALSE)</f>
        <v>#N/A</v>
      </c>
      <c r="AC259" s="230" t="e">
        <f>T259-HLOOKUP(V259,Minimas!$C$3:$CD$12,3,FALSE)</f>
        <v>#N/A</v>
      </c>
      <c r="AD259" s="230" t="e">
        <f>T259-HLOOKUP(V259,Minimas!$C$3:$CD$12,4,FALSE)</f>
        <v>#N/A</v>
      </c>
      <c r="AE259" s="230" t="e">
        <f>T259-HLOOKUP(V259,Minimas!$C$3:$CD$12,5,FALSE)</f>
        <v>#N/A</v>
      </c>
      <c r="AF259" s="230" t="e">
        <f>T259-HLOOKUP(V259,Minimas!$C$3:$CD$12,6,FALSE)</f>
        <v>#N/A</v>
      </c>
      <c r="AG259" s="230" t="e">
        <f>T259-HLOOKUP(V259,Minimas!$C$3:$CD$12,7,FALSE)</f>
        <v>#N/A</v>
      </c>
      <c r="AH259" s="230" t="e">
        <f>T259-HLOOKUP(V259,Minimas!$C$3:$CD$12,8,FALSE)</f>
        <v>#N/A</v>
      </c>
      <c r="AI259" s="230" t="e">
        <f>T259-HLOOKUP(V259,Minimas!$C$3:$CD$12,9,FALSE)</f>
        <v>#N/A</v>
      </c>
      <c r="AJ259" s="230" t="e">
        <f>T259-HLOOKUP(V259,Minimas!$C$3:$CD$12,10,FALSE)</f>
        <v>#N/A</v>
      </c>
      <c r="AK259" s="231" t="str">
        <f t="shared" si="87"/>
        <v xml:space="preserve"> </v>
      </c>
      <c r="AL259" s="232"/>
      <c r="AM259" s="232" t="str">
        <f t="shared" si="88"/>
        <v xml:space="preserve"> </v>
      </c>
      <c r="AN259" s="232" t="str">
        <f t="shared" si="89"/>
        <v xml:space="preserve"> </v>
      </c>
    </row>
    <row r="260" spans="28:40" x14ac:dyDescent="0.25">
      <c r="AB260" s="230" t="e">
        <f>T260-HLOOKUP(V260,Minimas!$C$3:$CD$12,2,FALSE)</f>
        <v>#N/A</v>
      </c>
      <c r="AC260" s="230" t="e">
        <f>T260-HLOOKUP(V260,Minimas!$C$3:$CD$12,3,FALSE)</f>
        <v>#N/A</v>
      </c>
      <c r="AD260" s="230" t="e">
        <f>T260-HLOOKUP(V260,Minimas!$C$3:$CD$12,4,FALSE)</f>
        <v>#N/A</v>
      </c>
      <c r="AE260" s="230" t="e">
        <f>T260-HLOOKUP(V260,Minimas!$C$3:$CD$12,5,FALSE)</f>
        <v>#N/A</v>
      </c>
      <c r="AF260" s="230" t="e">
        <f>T260-HLOOKUP(V260,Minimas!$C$3:$CD$12,6,FALSE)</f>
        <v>#N/A</v>
      </c>
      <c r="AG260" s="230" t="e">
        <f>T260-HLOOKUP(V260,Minimas!$C$3:$CD$12,7,FALSE)</f>
        <v>#N/A</v>
      </c>
      <c r="AH260" s="230" t="e">
        <f>T260-HLOOKUP(V260,Minimas!$C$3:$CD$12,8,FALSE)</f>
        <v>#N/A</v>
      </c>
      <c r="AI260" s="230" t="e">
        <f>T260-HLOOKUP(V260,Minimas!$C$3:$CD$12,9,FALSE)</f>
        <v>#N/A</v>
      </c>
      <c r="AJ260" s="230" t="e">
        <f>T260-HLOOKUP(V260,Minimas!$C$3:$CD$12,10,FALSE)</f>
        <v>#N/A</v>
      </c>
      <c r="AK260" s="231" t="str">
        <f t="shared" ref="AK260:AK323" si="90">IF(E260=0," ",IF(AJ260&gt;=0,$AJ$5,IF(AI260&gt;=0,$AI$5,IF(AH260&gt;=0,$AH$5,IF(AG260&gt;=0,$AG$5,IF(AF260&gt;=0,$AF$5,IF(AE260&gt;=0,$AE$5,IF(AD260&gt;=0,$AD$5,IF(AC260&gt;=0,$AC$5,$AB$5)))))))))</f>
        <v xml:space="preserve"> </v>
      </c>
      <c r="AL260" s="232"/>
      <c r="AM260" s="232" t="str">
        <f t="shared" ref="AM260:AM323" si="91">IF(AK260="","",AK260)</f>
        <v xml:space="preserve"> </v>
      </c>
      <c r="AN260" s="232" t="str">
        <f t="shared" ref="AN260:AN323" si="92">IF(E260=0," ",IF(AJ260&gt;=0,AJ260,IF(AI260&gt;=0,AI260,IF(AH260&gt;=0,AH260,IF(AG260&gt;=0,AG260,IF(AF260&gt;=0,AF260,IF(AE260&gt;=0,AE260,IF(AD260&gt;=0,AD260,IF(AC260&gt;=0,AC260,AB260)))))))))</f>
        <v xml:space="preserve"> </v>
      </c>
    </row>
    <row r="261" spans="28:40" x14ac:dyDescent="0.25">
      <c r="AB261" s="230" t="e">
        <f>T261-HLOOKUP(V261,Minimas!$C$3:$CD$12,2,FALSE)</f>
        <v>#N/A</v>
      </c>
      <c r="AC261" s="230" t="e">
        <f>T261-HLOOKUP(V261,Minimas!$C$3:$CD$12,3,FALSE)</f>
        <v>#N/A</v>
      </c>
      <c r="AD261" s="230" t="e">
        <f>T261-HLOOKUP(V261,Minimas!$C$3:$CD$12,4,FALSE)</f>
        <v>#N/A</v>
      </c>
      <c r="AE261" s="230" t="e">
        <f>T261-HLOOKUP(V261,Minimas!$C$3:$CD$12,5,FALSE)</f>
        <v>#N/A</v>
      </c>
      <c r="AF261" s="230" t="e">
        <f>T261-HLOOKUP(V261,Minimas!$C$3:$CD$12,6,FALSE)</f>
        <v>#N/A</v>
      </c>
      <c r="AG261" s="230" t="e">
        <f>T261-HLOOKUP(V261,Minimas!$C$3:$CD$12,7,FALSE)</f>
        <v>#N/A</v>
      </c>
      <c r="AH261" s="230" t="e">
        <f>T261-HLOOKUP(V261,Minimas!$C$3:$CD$12,8,FALSE)</f>
        <v>#N/A</v>
      </c>
      <c r="AI261" s="230" t="e">
        <f>T261-HLOOKUP(V261,Minimas!$C$3:$CD$12,9,FALSE)</f>
        <v>#N/A</v>
      </c>
      <c r="AJ261" s="230" t="e">
        <f>T261-HLOOKUP(V261,Minimas!$C$3:$CD$12,10,FALSE)</f>
        <v>#N/A</v>
      </c>
      <c r="AK261" s="231" t="str">
        <f t="shared" si="90"/>
        <v xml:space="preserve"> </v>
      </c>
      <c r="AL261" s="232"/>
      <c r="AM261" s="232" t="str">
        <f t="shared" si="91"/>
        <v xml:space="preserve"> </v>
      </c>
      <c r="AN261" s="232" t="str">
        <f t="shared" si="92"/>
        <v xml:space="preserve"> </v>
      </c>
    </row>
    <row r="262" spans="28:40" x14ac:dyDescent="0.25">
      <c r="AB262" s="230" t="e">
        <f>T262-HLOOKUP(V262,Minimas!$C$3:$CD$12,2,FALSE)</f>
        <v>#N/A</v>
      </c>
      <c r="AC262" s="230" t="e">
        <f>T262-HLOOKUP(V262,Minimas!$C$3:$CD$12,3,FALSE)</f>
        <v>#N/A</v>
      </c>
      <c r="AD262" s="230" t="e">
        <f>T262-HLOOKUP(V262,Minimas!$C$3:$CD$12,4,FALSE)</f>
        <v>#N/A</v>
      </c>
      <c r="AE262" s="230" t="e">
        <f>T262-HLOOKUP(V262,Minimas!$C$3:$CD$12,5,FALSE)</f>
        <v>#N/A</v>
      </c>
      <c r="AF262" s="230" t="e">
        <f>T262-HLOOKUP(V262,Minimas!$C$3:$CD$12,6,FALSE)</f>
        <v>#N/A</v>
      </c>
      <c r="AG262" s="230" t="e">
        <f>T262-HLOOKUP(V262,Minimas!$C$3:$CD$12,7,FALSE)</f>
        <v>#N/A</v>
      </c>
      <c r="AH262" s="230" t="e">
        <f>T262-HLOOKUP(V262,Minimas!$C$3:$CD$12,8,FALSE)</f>
        <v>#N/A</v>
      </c>
      <c r="AI262" s="230" t="e">
        <f>T262-HLOOKUP(V262,Minimas!$C$3:$CD$12,9,FALSE)</f>
        <v>#N/A</v>
      </c>
      <c r="AJ262" s="230" t="e">
        <f>T262-HLOOKUP(V262,Minimas!$C$3:$CD$12,10,FALSE)</f>
        <v>#N/A</v>
      </c>
      <c r="AK262" s="231" t="str">
        <f t="shared" si="90"/>
        <v xml:space="preserve"> </v>
      </c>
      <c r="AL262" s="232"/>
      <c r="AM262" s="232" t="str">
        <f t="shared" si="91"/>
        <v xml:space="preserve"> </v>
      </c>
      <c r="AN262" s="232" t="str">
        <f t="shared" si="92"/>
        <v xml:space="preserve"> </v>
      </c>
    </row>
    <row r="263" spans="28:40" x14ac:dyDescent="0.25">
      <c r="AB263" s="230" t="e">
        <f>T263-HLOOKUP(V263,Minimas!$C$3:$CD$12,2,FALSE)</f>
        <v>#N/A</v>
      </c>
      <c r="AC263" s="230" t="e">
        <f>T263-HLOOKUP(V263,Minimas!$C$3:$CD$12,3,FALSE)</f>
        <v>#N/A</v>
      </c>
      <c r="AD263" s="230" t="e">
        <f>T263-HLOOKUP(V263,Minimas!$C$3:$CD$12,4,FALSE)</f>
        <v>#N/A</v>
      </c>
      <c r="AE263" s="230" t="e">
        <f>T263-HLOOKUP(V263,Minimas!$C$3:$CD$12,5,FALSE)</f>
        <v>#N/A</v>
      </c>
      <c r="AF263" s="230" t="e">
        <f>T263-HLOOKUP(V263,Minimas!$C$3:$CD$12,6,FALSE)</f>
        <v>#N/A</v>
      </c>
      <c r="AG263" s="230" t="e">
        <f>T263-HLOOKUP(V263,Minimas!$C$3:$CD$12,7,FALSE)</f>
        <v>#N/A</v>
      </c>
      <c r="AH263" s="230" t="e">
        <f>T263-HLOOKUP(V263,Minimas!$C$3:$CD$12,8,FALSE)</f>
        <v>#N/A</v>
      </c>
      <c r="AI263" s="230" t="e">
        <f>T263-HLOOKUP(V263,Minimas!$C$3:$CD$12,9,FALSE)</f>
        <v>#N/A</v>
      </c>
      <c r="AJ263" s="230" t="e">
        <f>T263-HLOOKUP(V263,Minimas!$C$3:$CD$12,10,FALSE)</f>
        <v>#N/A</v>
      </c>
      <c r="AK263" s="231" t="str">
        <f t="shared" si="90"/>
        <v xml:space="preserve"> </v>
      </c>
      <c r="AL263" s="232"/>
      <c r="AM263" s="232" t="str">
        <f t="shared" si="91"/>
        <v xml:space="preserve"> </v>
      </c>
      <c r="AN263" s="232" t="str">
        <f t="shared" si="92"/>
        <v xml:space="preserve"> </v>
      </c>
    </row>
    <row r="264" spans="28:40" x14ac:dyDescent="0.25">
      <c r="AB264" s="230" t="e">
        <f>T264-HLOOKUP(V264,Minimas!$C$3:$CD$12,2,FALSE)</f>
        <v>#N/A</v>
      </c>
      <c r="AC264" s="230" t="e">
        <f>T264-HLOOKUP(V264,Minimas!$C$3:$CD$12,3,FALSE)</f>
        <v>#N/A</v>
      </c>
      <c r="AD264" s="230" t="e">
        <f>T264-HLOOKUP(V264,Minimas!$C$3:$CD$12,4,FALSE)</f>
        <v>#N/A</v>
      </c>
      <c r="AE264" s="230" t="e">
        <f>T264-HLOOKUP(V264,Minimas!$C$3:$CD$12,5,FALSE)</f>
        <v>#N/A</v>
      </c>
      <c r="AF264" s="230" t="e">
        <f>T264-HLOOKUP(V264,Minimas!$C$3:$CD$12,6,FALSE)</f>
        <v>#N/A</v>
      </c>
      <c r="AG264" s="230" t="e">
        <f>T264-HLOOKUP(V264,Minimas!$C$3:$CD$12,7,FALSE)</f>
        <v>#N/A</v>
      </c>
      <c r="AH264" s="230" t="e">
        <f>T264-HLOOKUP(V264,Minimas!$C$3:$CD$12,8,FALSE)</f>
        <v>#N/A</v>
      </c>
      <c r="AI264" s="230" t="e">
        <f>T264-HLOOKUP(V264,Minimas!$C$3:$CD$12,9,FALSE)</f>
        <v>#N/A</v>
      </c>
      <c r="AJ264" s="230" t="e">
        <f>T264-HLOOKUP(V264,Minimas!$C$3:$CD$12,10,FALSE)</f>
        <v>#N/A</v>
      </c>
      <c r="AK264" s="231" t="str">
        <f t="shared" si="90"/>
        <v xml:space="preserve"> </v>
      </c>
      <c r="AL264" s="232"/>
      <c r="AM264" s="232" t="str">
        <f t="shared" si="91"/>
        <v xml:space="preserve"> </v>
      </c>
      <c r="AN264" s="232" t="str">
        <f t="shared" si="92"/>
        <v xml:space="preserve"> </v>
      </c>
    </row>
    <row r="265" spans="28:40" x14ac:dyDescent="0.25">
      <c r="AB265" s="230" t="e">
        <f>T265-HLOOKUP(V265,Minimas!$C$3:$CD$12,2,FALSE)</f>
        <v>#N/A</v>
      </c>
      <c r="AC265" s="230" t="e">
        <f>T265-HLOOKUP(V265,Minimas!$C$3:$CD$12,3,FALSE)</f>
        <v>#N/A</v>
      </c>
      <c r="AD265" s="230" t="e">
        <f>T265-HLOOKUP(V265,Minimas!$C$3:$CD$12,4,FALSE)</f>
        <v>#N/A</v>
      </c>
      <c r="AE265" s="230" t="e">
        <f>T265-HLOOKUP(V265,Minimas!$C$3:$CD$12,5,FALSE)</f>
        <v>#N/A</v>
      </c>
      <c r="AF265" s="230" t="e">
        <f>T265-HLOOKUP(V265,Minimas!$C$3:$CD$12,6,FALSE)</f>
        <v>#N/A</v>
      </c>
      <c r="AG265" s="230" t="e">
        <f>T265-HLOOKUP(V265,Minimas!$C$3:$CD$12,7,FALSE)</f>
        <v>#N/A</v>
      </c>
      <c r="AH265" s="230" t="e">
        <f>T265-HLOOKUP(V265,Minimas!$C$3:$CD$12,8,FALSE)</f>
        <v>#N/A</v>
      </c>
      <c r="AI265" s="230" t="e">
        <f>T265-HLOOKUP(V265,Minimas!$C$3:$CD$12,9,FALSE)</f>
        <v>#N/A</v>
      </c>
      <c r="AJ265" s="230" t="e">
        <f>T265-HLOOKUP(V265,Minimas!$C$3:$CD$12,10,FALSE)</f>
        <v>#N/A</v>
      </c>
      <c r="AK265" s="231" t="str">
        <f t="shared" si="90"/>
        <v xml:space="preserve"> </v>
      </c>
      <c r="AL265" s="232"/>
      <c r="AM265" s="232" t="str">
        <f t="shared" si="91"/>
        <v xml:space="preserve"> </v>
      </c>
      <c r="AN265" s="232" t="str">
        <f t="shared" si="92"/>
        <v xml:space="preserve"> </v>
      </c>
    </row>
    <row r="266" spans="28:40" x14ac:dyDescent="0.25">
      <c r="AB266" s="230" t="e">
        <f>T266-HLOOKUP(V266,Minimas!$C$3:$CD$12,2,FALSE)</f>
        <v>#N/A</v>
      </c>
      <c r="AC266" s="230" t="e">
        <f>T266-HLOOKUP(V266,Minimas!$C$3:$CD$12,3,FALSE)</f>
        <v>#N/A</v>
      </c>
      <c r="AD266" s="230" t="e">
        <f>T266-HLOOKUP(V266,Minimas!$C$3:$CD$12,4,FALSE)</f>
        <v>#N/A</v>
      </c>
      <c r="AE266" s="230" t="e">
        <f>T266-HLOOKUP(V266,Minimas!$C$3:$CD$12,5,FALSE)</f>
        <v>#N/A</v>
      </c>
      <c r="AF266" s="230" t="e">
        <f>T266-HLOOKUP(V266,Minimas!$C$3:$CD$12,6,FALSE)</f>
        <v>#N/A</v>
      </c>
      <c r="AG266" s="230" t="e">
        <f>T266-HLOOKUP(V266,Minimas!$C$3:$CD$12,7,FALSE)</f>
        <v>#N/A</v>
      </c>
      <c r="AH266" s="230" t="e">
        <f>T266-HLOOKUP(V266,Minimas!$C$3:$CD$12,8,FALSE)</f>
        <v>#N/A</v>
      </c>
      <c r="AI266" s="230" t="e">
        <f>T266-HLOOKUP(V266,Minimas!$C$3:$CD$12,9,FALSE)</f>
        <v>#N/A</v>
      </c>
      <c r="AJ266" s="230" t="e">
        <f>T266-HLOOKUP(V266,Minimas!$C$3:$CD$12,10,FALSE)</f>
        <v>#N/A</v>
      </c>
      <c r="AK266" s="231" t="str">
        <f t="shared" si="90"/>
        <v xml:space="preserve"> </v>
      </c>
      <c r="AL266" s="232"/>
      <c r="AM266" s="232" t="str">
        <f t="shared" si="91"/>
        <v xml:space="preserve"> </v>
      </c>
      <c r="AN266" s="232" t="str">
        <f t="shared" si="92"/>
        <v xml:space="preserve"> </v>
      </c>
    </row>
    <row r="267" spans="28:40" x14ac:dyDescent="0.25">
      <c r="AB267" s="230" t="e">
        <f>T267-HLOOKUP(V267,Minimas!$C$3:$CD$12,2,FALSE)</f>
        <v>#N/A</v>
      </c>
      <c r="AC267" s="230" t="e">
        <f>T267-HLOOKUP(V267,Minimas!$C$3:$CD$12,3,FALSE)</f>
        <v>#N/A</v>
      </c>
      <c r="AD267" s="230" t="e">
        <f>T267-HLOOKUP(V267,Minimas!$C$3:$CD$12,4,FALSE)</f>
        <v>#N/A</v>
      </c>
      <c r="AE267" s="230" t="e">
        <f>T267-HLOOKUP(V267,Minimas!$C$3:$CD$12,5,FALSE)</f>
        <v>#N/A</v>
      </c>
      <c r="AF267" s="230" t="e">
        <f>T267-HLOOKUP(V267,Minimas!$C$3:$CD$12,6,FALSE)</f>
        <v>#N/A</v>
      </c>
      <c r="AG267" s="230" t="e">
        <f>T267-HLOOKUP(V267,Minimas!$C$3:$CD$12,7,FALSE)</f>
        <v>#N/A</v>
      </c>
      <c r="AH267" s="230" t="e">
        <f>T267-HLOOKUP(V267,Minimas!$C$3:$CD$12,8,FALSE)</f>
        <v>#N/A</v>
      </c>
      <c r="AI267" s="230" t="e">
        <f>T267-HLOOKUP(V267,Minimas!$C$3:$CD$12,9,FALSE)</f>
        <v>#N/A</v>
      </c>
      <c r="AJ267" s="230" t="e">
        <f>T267-HLOOKUP(V267,Minimas!$C$3:$CD$12,10,FALSE)</f>
        <v>#N/A</v>
      </c>
      <c r="AK267" s="231" t="str">
        <f t="shared" si="90"/>
        <v xml:space="preserve"> </v>
      </c>
      <c r="AL267" s="232"/>
      <c r="AM267" s="232" t="str">
        <f t="shared" si="91"/>
        <v xml:space="preserve"> </v>
      </c>
      <c r="AN267" s="232" t="str">
        <f t="shared" si="92"/>
        <v xml:space="preserve"> </v>
      </c>
    </row>
    <row r="268" spans="28:40" x14ac:dyDescent="0.25">
      <c r="AB268" s="230" t="e">
        <f>T268-HLOOKUP(V268,Minimas!$C$3:$CD$12,2,FALSE)</f>
        <v>#N/A</v>
      </c>
      <c r="AC268" s="230" t="e">
        <f>T268-HLOOKUP(V268,Minimas!$C$3:$CD$12,3,FALSE)</f>
        <v>#N/A</v>
      </c>
      <c r="AD268" s="230" t="e">
        <f>T268-HLOOKUP(V268,Minimas!$C$3:$CD$12,4,FALSE)</f>
        <v>#N/A</v>
      </c>
      <c r="AE268" s="230" t="e">
        <f>T268-HLOOKUP(V268,Minimas!$C$3:$CD$12,5,FALSE)</f>
        <v>#N/A</v>
      </c>
      <c r="AF268" s="230" t="e">
        <f>T268-HLOOKUP(V268,Minimas!$C$3:$CD$12,6,FALSE)</f>
        <v>#N/A</v>
      </c>
      <c r="AG268" s="230" t="e">
        <f>T268-HLOOKUP(V268,Minimas!$C$3:$CD$12,7,FALSE)</f>
        <v>#N/A</v>
      </c>
      <c r="AH268" s="230" t="e">
        <f>T268-HLOOKUP(V268,Minimas!$C$3:$CD$12,8,FALSE)</f>
        <v>#N/A</v>
      </c>
      <c r="AI268" s="230" t="e">
        <f>T268-HLOOKUP(V268,Minimas!$C$3:$CD$12,9,FALSE)</f>
        <v>#N/A</v>
      </c>
      <c r="AJ268" s="230" t="e">
        <f>T268-HLOOKUP(V268,Minimas!$C$3:$CD$12,10,FALSE)</f>
        <v>#N/A</v>
      </c>
      <c r="AK268" s="231" t="str">
        <f t="shared" si="90"/>
        <v xml:space="preserve"> </v>
      </c>
      <c r="AL268" s="232"/>
      <c r="AM268" s="232" t="str">
        <f t="shared" si="91"/>
        <v xml:space="preserve"> </v>
      </c>
      <c r="AN268" s="232" t="str">
        <f t="shared" si="92"/>
        <v xml:space="preserve"> </v>
      </c>
    </row>
    <row r="269" spans="28:40" x14ac:dyDescent="0.25">
      <c r="AB269" s="230" t="e">
        <f>T269-HLOOKUP(V269,Minimas!$C$3:$CD$12,2,FALSE)</f>
        <v>#N/A</v>
      </c>
      <c r="AC269" s="230" t="e">
        <f>T269-HLOOKUP(V269,Minimas!$C$3:$CD$12,3,FALSE)</f>
        <v>#N/A</v>
      </c>
      <c r="AD269" s="230" t="e">
        <f>T269-HLOOKUP(V269,Minimas!$C$3:$CD$12,4,FALSE)</f>
        <v>#N/A</v>
      </c>
      <c r="AE269" s="230" t="e">
        <f>T269-HLOOKUP(V269,Minimas!$C$3:$CD$12,5,FALSE)</f>
        <v>#N/A</v>
      </c>
      <c r="AF269" s="230" t="e">
        <f>T269-HLOOKUP(V269,Minimas!$C$3:$CD$12,6,FALSE)</f>
        <v>#N/A</v>
      </c>
      <c r="AG269" s="230" t="e">
        <f>T269-HLOOKUP(V269,Minimas!$C$3:$CD$12,7,FALSE)</f>
        <v>#N/A</v>
      </c>
      <c r="AH269" s="230" t="e">
        <f>T269-HLOOKUP(V269,Minimas!$C$3:$CD$12,8,FALSE)</f>
        <v>#N/A</v>
      </c>
      <c r="AI269" s="230" t="e">
        <f>T269-HLOOKUP(V269,Minimas!$C$3:$CD$12,9,FALSE)</f>
        <v>#N/A</v>
      </c>
      <c r="AJ269" s="230" t="e">
        <f>T269-HLOOKUP(V269,Minimas!$C$3:$CD$12,10,FALSE)</f>
        <v>#N/A</v>
      </c>
      <c r="AK269" s="231" t="str">
        <f t="shared" si="90"/>
        <v xml:space="preserve"> </v>
      </c>
      <c r="AL269" s="232"/>
      <c r="AM269" s="232" t="str">
        <f t="shared" si="91"/>
        <v xml:space="preserve"> </v>
      </c>
      <c r="AN269" s="232" t="str">
        <f t="shared" si="92"/>
        <v xml:space="preserve"> </v>
      </c>
    </row>
    <row r="270" spans="28:40" x14ac:dyDescent="0.25">
      <c r="AB270" s="230" t="e">
        <f>T270-HLOOKUP(V270,Minimas!$C$3:$CD$12,2,FALSE)</f>
        <v>#N/A</v>
      </c>
      <c r="AC270" s="230" t="e">
        <f>T270-HLOOKUP(V270,Minimas!$C$3:$CD$12,3,FALSE)</f>
        <v>#N/A</v>
      </c>
      <c r="AD270" s="230" t="e">
        <f>T270-HLOOKUP(V270,Minimas!$C$3:$CD$12,4,FALSE)</f>
        <v>#N/A</v>
      </c>
      <c r="AE270" s="230" t="e">
        <f>T270-HLOOKUP(V270,Minimas!$C$3:$CD$12,5,FALSE)</f>
        <v>#N/A</v>
      </c>
      <c r="AF270" s="230" t="e">
        <f>T270-HLOOKUP(V270,Minimas!$C$3:$CD$12,6,FALSE)</f>
        <v>#N/A</v>
      </c>
      <c r="AG270" s="230" t="e">
        <f>T270-HLOOKUP(V270,Minimas!$C$3:$CD$12,7,FALSE)</f>
        <v>#N/A</v>
      </c>
      <c r="AH270" s="230" t="e">
        <f>T270-HLOOKUP(V270,Minimas!$C$3:$CD$12,8,FALSE)</f>
        <v>#N/A</v>
      </c>
      <c r="AI270" s="230" t="e">
        <f>T270-HLOOKUP(V270,Minimas!$C$3:$CD$12,9,FALSE)</f>
        <v>#N/A</v>
      </c>
      <c r="AJ270" s="230" t="e">
        <f>T270-HLOOKUP(V270,Minimas!$C$3:$CD$12,10,FALSE)</f>
        <v>#N/A</v>
      </c>
      <c r="AK270" s="231" t="str">
        <f t="shared" si="90"/>
        <v xml:space="preserve"> </v>
      </c>
      <c r="AL270" s="232"/>
      <c r="AM270" s="232" t="str">
        <f t="shared" si="91"/>
        <v xml:space="preserve"> </v>
      </c>
      <c r="AN270" s="232" t="str">
        <f t="shared" si="92"/>
        <v xml:space="preserve"> </v>
      </c>
    </row>
    <row r="271" spans="28:40" x14ac:dyDescent="0.25">
      <c r="AB271" s="230" t="e">
        <f>T271-HLOOKUP(V271,Minimas!$C$3:$CD$12,2,FALSE)</f>
        <v>#N/A</v>
      </c>
      <c r="AC271" s="230" t="e">
        <f>T271-HLOOKUP(V271,Minimas!$C$3:$CD$12,3,FALSE)</f>
        <v>#N/A</v>
      </c>
      <c r="AD271" s="230" t="e">
        <f>T271-HLOOKUP(V271,Minimas!$C$3:$CD$12,4,FALSE)</f>
        <v>#N/A</v>
      </c>
      <c r="AE271" s="230" t="e">
        <f>T271-HLOOKUP(V271,Minimas!$C$3:$CD$12,5,FALSE)</f>
        <v>#N/A</v>
      </c>
      <c r="AF271" s="230" t="e">
        <f>T271-HLOOKUP(V271,Minimas!$C$3:$CD$12,6,FALSE)</f>
        <v>#N/A</v>
      </c>
      <c r="AG271" s="230" t="e">
        <f>T271-HLOOKUP(V271,Minimas!$C$3:$CD$12,7,FALSE)</f>
        <v>#N/A</v>
      </c>
      <c r="AH271" s="230" t="e">
        <f>T271-HLOOKUP(V271,Minimas!$C$3:$CD$12,8,FALSE)</f>
        <v>#N/A</v>
      </c>
      <c r="AI271" s="230" t="e">
        <f>T271-HLOOKUP(V271,Minimas!$C$3:$CD$12,9,FALSE)</f>
        <v>#N/A</v>
      </c>
      <c r="AJ271" s="230" t="e">
        <f>T271-HLOOKUP(V271,Minimas!$C$3:$CD$12,10,FALSE)</f>
        <v>#N/A</v>
      </c>
      <c r="AK271" s="231" t="str">
        <f t="shared" si="90"/>
        <v xml:space="preserve"> </v>
      </c>
      <c r="AL271" s="232"/>
      <c r="AM271" s="232" t="str">
        <f t="shared" si="91"/>
        <v xml:space="preserve"> </v>
      </c>
      <c r="AN271" s="232" t="str">
        <f t="shared" si="92"/>
        <v xml:space="preserve"> </v>
      </c>
    </row>
    <row r="272" spans="28:40" x14ac:dyDescent="0.25">
      <c r="AB272" s="230" t="e">
        <f>T272-HLOOKUP(V272,Minimas!$C$3:$CD$12,2,FALSE)</f>
        <v>#N/A</v>
      </c>
      <c r="AC272" s="230" t="e">
        <f>T272-HLOOKUP(V272,Minimas!$C$3:$CD$12,3,FALSE)</f>
        <v>#N/A</v>
      </c>
      <c r="AD272" s="230" t="e">
        <f>T272-HLOOKUP(V272,Minimas!$C$3:$CD$12,4,FALSE)</f>
        <v>#N/A</v>
      </c>
      <c r="AE272" s="230" t="e">
        <f>T272-HLOOKUP(V272,Minimas!$C$3:$CD$12,5,FALSE)</f>
        <v>#N/A</v>
      </c>
      <c r="AF272" s="230" t="e">
        <f>T272-HLOOKUP(V272,Minimas!$C$3:$CD$12,6,FALSE)</f>
        <v>#N/A</v>
      </c>
      <c r="AG272" s="230" t="e">
        <f>T272-HLOOKUP(V272,Minimas!$C$3:$CD$12,7,FALSE)</f>
        <v>#N/A</v>
      </c>
      <c r="AH272" s="230" t="e">
        <f>T272-HLOOKUP(V272,Minimas!$C$3:$CD$12,8,FALSE)</f>
        <v>#N/A</v>
      </c>
      <c r="AI272" s="230" t="e">
        <f>T272-HLOOKUP(V272,Minimas!$C$3:$CD$12,9,FALSE)</f>
        <v>#N/A</v>
      </c>
      <c r="AJ272" s="230" t="e">
        <f>T272-HLOOKUP(V272,Minimas!$C$3:$CD$12,10,FALSE)</f>
        <v>#N/A</v>
      </c>
      <c r="AK272" s="231" t="str">
        <f t="shared" si="90"/>
        <v xml:space="preserve"> </v>
      </c>
      <c r="AL272" s="232"/>
      <c r="AM272" s="232" t="str">
        <f t="shared" si="91"/>
        <v xml:space="preserve"> </v>
      </c>
      <c r="AN272" s="232" t="str">
        <f t="shared" si="92"/>
        <v xml:space="preserve"> </v>
      </c>
    </row>
    <row r="273" spans="28:40" x14ac:dyDescent="0.25">
      <c r="AB273" s="230" t="e">
        <f>T273-HLOOKUP(V273,Minimas!$C$3:$CD$12,2,FALSE)</f>
        <v>#N/A</v>
      </c>
      <c r="AC273" s="230" t="e">
        <f>T273-HLOOKUP(V273,Minimas!$C$3:$CD$12,3,FALSE)</f>
        <v>#N/A</v>
      </c>
      <c r="AD273" s="230" t="e">
        <f>T273-HLOOKUP(V273,Minimas!$C$3:$CD$12,4,FALSE)</f>
        <v>#N/A</v>
      </c>
      <c r="AE273" s="230" t="e">
        <f>T273-HLOOKUP(V273,Minimas!$C$3:$CD$12,5,FALSE)</f>
        <v>#N/A</v>
      </c>
      <c r="AF273" s="230" t="e">
        <f>T273-HLOOKUP(V273,Minimas!$C$3:$CD$12,6,FALSE)</f>
        <v>#N/A</v>
      </c>
      <c r="AG273" s="230" t="e">
        <f>T273-HLOOKUP(V273,Minimas!$C$3:$CD$12,7,FALSE)</f>
        <v>#N/A</v>
      </c>
      <c r="AH273" s="230" t="e">
        <f>T273-HLOOKUP(V273,Minimas!$C$3:$CD$12,8,FALSE)</f>
        <v>#N/A</v>
      </c>
      <c r="AI273" s="230" t="e">
        <f>T273-HLOOKUP(V273,Minimas!$C$3:$CD$12,9,FALSE)</f>
        <v>#N/A</v>
      </c>
      <c r="AJ273" s="230" t="e">
        <f>T273-HLOOKUP(V273,Minimas!$C$3:$CD$12,10,FALSE)</f>
        <v>#N/A</v>
      </c>
      <c r="AK273" s="231" t="str">
        <f t="shared" si="90"/>
        <v xml:space="preserve"> </v>
      </c>
      <c r="AL273" s="232"/>
      <c r="AM273" s="232" t="str">
        <f t="shared" si="91"/>
        <v xml:space="preserve"> </v>
      </c>
      <c r="AN273" s="232" t="str">
        <f t="shared" si="92"/>
        <v xml:space="preserve"> </v>
      </c>
    </row>
    <row r="274" spans="28:40" x14ac:dyDescent="0.25">
      <c r="AB274" s="230" t="e">
        <f>T274-HLOOKUP(V274,Minimas!$C$3:$CD$12,2,FALSE)</f>
        <v>#N/A</v>
      </c>
      <c r="AC274" s="230" t="e">
        <f>T274-HLOOKUP(V274,Minimas!$C$3:$CD$12,3,FALSE)</f>
        <v>#N/A</v>
      </c>
      <c r="AD274" s="230" t="e">
        <f>T274-HLOOKUP(V274,Minimas!$C$3:$CD$12,4,FALSE)</f>
        <v>#N/A</v>
      </c>
      <c r="AE274" s="230" t="e">
        <f>T274-HLOOKUP(V274,Minimas!$C$3:$CD$12,5,FALSE)</f>
        <v>#N/A</v>
      </c>
      <c r="AF274" s="230" t="e">
        <f>T274-HLOOKUP(V274,Minimas!$C$3:$CD$12,6,FALSE)</f>
        <v>#N/A</v>
      </c>
      <c r="AG274" s="230" t="e">
        <f>T274-HLOOKUP(V274,Minimas!$C$3:$CD$12,7,FALSE)</f>
        <v>#N/A</v>
      </c>
      <c r="AH274" s="230" t="e">
        <f>T274-HLOOKUP(V274,Minimas!$C$3:$CD$12,8,FALSE)</f>
        <v>#N/A</v>
      </c>
      <c r="AI274" s="230" t="e">
        <f>T274-HLOOKUP(V274,Minimas!$C$3:$CD$12,9,FALSE)</f>
        <v>#N/A</v>
      </c>
      <c r="AJ274" s="230" t="e">
        <f>T274-HLOOKUP(V274,Minimas!$C$3:$CD$12,10,FALSE)</f>
        <v>#N/A</v>
      </c>
      <c r="AK274" s="231" t="str">
        <f t="shared" si="90"/>
        <v xml:space="preserve"> </v>
      </c>
      <c r="AL274" s="232"/>
      <c r="AM274" s="232" t="str">
        <f t="shared" si="91"/>
        <v xml:space="preserve"> </v>
      </c>
      <c r="AN274" s="232" t="str">
        <f t="shared" si="92"/>
        <v xml:space="preserve"> </v>
      </c>
    </row>
    <row r="275" spans="28:40" x14ac:dyDescent="0.25">
      <c r="AB275" s="230" t="e">
        <f>T275-HLOOKUP(V275,Minimas!$C$3:$CD$12,2,FALSE)</f>
        <v>#N/A</v>
      </c>
      <c r="AC275" s="230" t="e">
        <f>T275-HLOOKUP(V275,Minimas!$C$3:$CD$12,3,FALSE)</f>
        <v>#N/A</v>
      </c>
      <c r="AD275" s="230" t="e">
        <f>T275-HLOOKUP(V275,Minimas!$C$3:$CD$12,4,FALSE)</f>
        <v>#N/A</v>
      </c>
      <c r="AE275" s="230" t="e">
        <f>T275-HLOOKUP(V275,Minimas!$C$3:$CD$12,5,FALSE)</f>
        <v>#N/A</v>
      </c>
      <c r="AF275" s="230" t="e">
        <f>T275-HLOOKUP(V275,Minimas!$C$3:$CD$12,6,FALSE)</f>
        <v>#N/A</v>
      </c>
      <c r="AG275" s="230" t="e">
        <f>T275-HLOOKUP(V275,Minimas!$C$3:$CD$12,7,FALSE)</f>
        <v>#N/A</v>
      </c>
      <c r="AH275" s="230" t="e">
        <f>T275-HLOOKUP(V275,Minimas!$C$3:$CD$12,8,FALSE)</f>
        <v>#N/A</v>
      </c>
      <c r="AI275" s="230" t="e">
        <f>T275-HLOOKUP(V275,Minimas!$C$3:$CD$12,9,FALSE)</f>
        <v>#N/A</v>
      </c>
      <c r="AJ275" s="230" t="e">
        <f>T275-HLOOKUP(V275,Minimas!$C$3:$CD$12,10,FALSE)</f>
        <v>#N/A</v>
      </c>
      <c r="AK275" s="231" t="str">
        <f t="shared" si="90"/>
        <v xml:space="preserve"> </v>
      </c>
      <c r="AL275" s="232"/>
      <c r="AM275" s="232" t="str">
        <f t="shared" si="91"/>
        <v xml:space="preserve"> </v>
      </c>
      <c r="AN275" s="232" t="str">
        <f t="shared" si="92"/>
        <v xml:space="preserve"> </v>
      </c>
    </row>
    <row r="276" spans="28:40" x14ac:dyDescent="0.25">
      <c r="AB276" s="230" t="e">
        <f>T276-HLOOKUP(V276,Minimas!$C$3:$CD$12,2,FALSE)</f>
        <v>#N/A</v>
      </c>
      <c r="AC276" s="230" t="e">
        <f>T276-HLOOKUP(V276,Minimas!$C$3:$CD$12,3,FALSE)</f>
        <v>#N/A</v>
      </c>
      <c r="AD276" s="230" t="e">
        <f>T276-HLOOKUP(V276,Minimas!$C$3:$CD$12,4,FALSE)</f>
        <v>#N/A</v>
      </c>
      <c r="AE276" s="230" t="e">
        <f>T276-HLOOKUP(V276,Minimas!$C$3:$CD$12,5,FALSE)</f>
        <v>#N/A</v>
      </c>
      <c r="AF276" s="230" t="e">
        <f>T276-HLOOKUP(V276,Minimas!$C$3:$CD$12,6,FALSE)</f>
        <v>#N/A</v>
      </c>
      <c r="AG276" s="230" t="e">
        <f>T276-HLOOKUP(V276,Minimas!$C$3:$CD$12,7,FALSE)</f>
        <v>#N/A</v>
      </c>
      <c r="AH276" s="230" t="e">
        <f>T276-HLOOKUP(V276,Minimas!$C$3:$CD$12,8,FALSE)</f>
        <v>#N/A</v>
      </c>
      <c r="AI276" s="230" t="e">
        <f>T276-HLOOKUP(V276,Minimas!$C$3:$CD$12,9,FALSE)</f>
        <v>#N/A</v>
      </c>
      <c r="AJ276" s="230" t="e">
        <f>T276-HLOOKUP(V276,Minimas!$C$3:$CD$12,10,FALSE)</f>
        <v>#N/A</v>
      </c>
      <c r="AK276" s="231" t="str">
        <f t="shared" si="90"/>
        <v xml:space="preserve"> </v>
      </c>
      <c r="AL276" s="232"/>
      <c r="AM276" s="232" t="str">
        <f t="shared" si="91"/>
        <v xml:space="preserve"> </v>
      </c>
      <c r="AN276" s="232" t="str">
        <f t="shared" si="92"/>
        <v xml:space="preserve"> </v>
      </c>
    </row>
    <row r="277" spans="28:40" x14ac:dyDescent="0.25">
      <c r="AB277" s="230" t="e">
        <f>T277-HLOOKUP(V277,Minimas!$C$3:$CD$12,2,FALSE)</f>
        <v>#N/A</v>
      </c>
      <c r="AC277" s="230" t="e">
        <f>T277-HLOOKUP(V277,Minimas!$C$3:$CD$12,3,FALSE)</f>
        <v>#N/A</v>
      </c>
      <c r="AD277" s="230" t="e">
        <f>T277-HLOOKUP(V277,Minimas!$C$3:$CD$12,4,FALSE)</f>
        <v>#N/A</v>
      </c>
      <c r="AE277" s="230" t="e">
        <f>T277-HLOOKUP(V277,Minimas!$C$3:$CD$12,5,FALSE)</f>
        <v>#N/A</v>
      </c>
      <c r="AF277" s="230" t="e">
        <f>T277-HLOOKUP(V277,Minimas!$C$3:$CD$12,6,FALSE)</f>
        <v>#N/A</v>
      </c>
      <c r="AG277" s="230" t="e">
        <f>T277-HLOOKUP(V277,Minimas!$C$3:$CD$12,7,FALSE)</f>
        <v>#N/A</v>
      </c>
      <c r="AH277" s="230" t="e">
        <f>T277-HLOOKUP(V277,Minimas!$C$3:$CD$12,8,FALSE)</f>
        <v>#N/A</v>
      </c>
      <c r="AI277" s="230" t="e">
        <f>T277-HLOOKUP(V277,Minimas!$C$3:$CD$12,9,FALSE)</f>
        <v>#N/A</v>
      </c>
      <c r="AJ277" s="230" t="e">
        <f>T277-HLOOKUP(V277,Minimas!$C$3:$CD$12,10,FALSE)</f>
        <v>#N/A</v>
      </c>
      <c r="AK277" s="231" t="str">
        <f t="shared" si="90"/>
        <v xml:space="preserve"> </v>
      </c>
      <c r="AL277" s="232"/>
      <c r="AM277" s="232" t="str">
        <f t="shared" si="91"/>
        <v xml:space="preserve"> </v>
      </c>
      <c r="AN277" s="232" t="str">
        <f t="shared" si="92"/>
        <v xml:space="preserve"> </v>
      </c>
    </row>
    <row r="278" spans="28:40" x14ac:dyDescent="0.25">
      <c r="AB278" s="230" t="e">
        <f>T278-HLOOKUP(V278,Minimas!$C$3:$CD$12,2,FALSE)</f>
        <v>#N/A</v>
      </c>
      <c r="AC278" s="230" t="e">
        <f>T278-HLOOKUP(V278,Minimas!$C$3:$CD$12,3,FALSE)</f>
        <v>#N/A</v>
      </c>
      <c r="AD278" s="230" t="e">
        <f>T278-HLOOKUP(V278,Minimas!$C$3:$CD$12,4,FALSE)</f>
        <v>#N/A</v>
      </c>
      <c r="AE278" s="230" t="e">
        <f>T278-HLOOKUP(V278,Minimas!$C$3:$CD$12,5,FALSE)</f>
        <v>#N/A</v>
      </c>
      <c r="AF278" s="230" t="e">
        <f>T278-HLOOKUP(V278,Minimas!$C$3:$CD$12,6,FALSE)</f>
        <v>#N/A</v>
      </c>
      <c r="AG278" s="230" t="e">
        <f>T278-HLOOKUP(V278,Minimas!$C$3:$CD$12,7,FALSE)</f>
        <v>#N/A</v>
      </c>
      <c r="AH278" s="230" t="e">
        <f>T278-HLOOKUP(V278,Minimas!$C$3:$CD$12,8,FALSE)</f>
        <v>#N/A</v>
      </c>
      <c r="AI278" s="230" t="e">
        <f>T278-HLOOKUP(V278,Minimas!$C$3:$CD$12,9,FALSE)</f>
        <v>#N/A</v>
      </c>
      <c r="AJ278" s="230" t="e">
        <f>T278-HLOOKUP(V278,Minimas!$C$3:$CD$12,10,FALSE)</f>
        <v>#N/A</v>
      </c>
      <c r="AK278" s="231" t="str">
        <f t="shared" si="90"/>
        <v xml:space="preserve"> </v>
      </c>
      <c r="AL278" s="232"/>
      <c r="AM278" s="232" t="str">
        <f t="shared" si="91"/>
        <v xml:space="preserve"> </v>
      </c>
      <c r="AN278" s="232" t="str">
        <f t="shared" si="92"/>
        <v xml:space="preserve"> </v>
      </c>
    </row>
    <row r="279" spans="28:40" x14ac:dyDescent="0.25">
      <c r="AB279" s="230" t="e">
        <f>T279-HLOOKUP(V279,Minimas!$C$3:$CD$12,2,FALSE)</f>
        <v>#N/A</v>
      </c>
      <c r="AC279" s="230" t="e">
        <f>T279-HLOOKUP(V279,Minimas!$C$3:$CD$12,3,FALSE)</f>
        <v>#N/A</v>
      </c>
      <c r="AD279" s="230" t="e">
        <f>T279-HLOOKUP(V279,Minimas!$C$3:$CD$12,4,FALSE)</f>
        <v>#N/A</v>
      </c>
      <c r="AE279" s="230" t="e">
        <f>T279-HLOOKUP(V279,Minimas!$C$3:$CD$12,5,FALSE)</f>
        <v>#N/A</v>
      </c>
      <c r="AF279" s="230" t="e">
        <f>T279-HLOOKUP(V279,Minimas!$C$3:$CD$12,6,FALSE)</f>
        <v>#N/A</v>
      </c>
      <c r="AG279" s="230" t="e">
        <f>T279-HLOOKUP(V279,Minimas!$C$3:$CD$12,7,FALSE)</f>
        <v>#N/A</v>
      </c>
      <c r="AH279" s="230" t="e">
        <f>T279-HLOOKUP(V279,Minimas!$C$3:$CD$12,8,FALSE)</f>
        <v>#N/A</v>
      </c>
      <c r="AI279" s="230" t="e">
        <f>T279-HLOOKUP(V279,Minimas!$C$3:$CD$12,9,FALSE)</f>
        <v>#N/A</v>
      </c>
      <c r="AJ279" s="230" t="e">
        <f>T279-HLOOKUP(V279,Minimas!$C$3:$CD$12,10,FALSE)</f>
        <v>#N/A</v>
      </c>
      <c r="AK279" s="231" t="str">
        <f t="shared" si="90"/>
        <v xml:space="preserve"> </v>
      </c>
      <c r="AL279" s="232"/>
      <c r="AM279" s="232" t="str">
        <f t="shared" si="91"/>
        <v xml:space="preserve"> </v>
      </c>
      <c r="AN279" s="232" t="str">
        <f t="shared" si="92"/>
        <v xml:space="preserve"> </v>
      </c>
    </row>
    <row r="280" spans="28:40" x14ac:dyDescent="0.25">
      <c r="AB280" s="230" t="e">
        <f>T280-HLOOKUP(V280,Minimas!$C$3:$CD$12,2,FALSE)</f>
        <v>#N/A</v>
      </c>
      <c r="AC280" s="230" t="e">
        <f>T280-HLOOKUP(V280,Minimas!$C$3:$CD$12,3,FALSE)</f>
        <v>#N/A</v>
      </c>
      <c r="AD280" s="230" t="e">
        <f>T280-HLOOKUP(V280,Minimas!$C$3:$CD$12,4,FALSE)</f>
        <v>#N/A</v>
      </c>
      <c r="AE280" s="230" t="e">
        <f>T280-HLOOKUP(V280,Minimas!$C$3:$CD$12,5,FALSE)</f>
        <v>#N/A</v>
      </c>
      <c r="AF280" s="230" t="e">
        <f>T280-HLOOKUP(V280,Minimas!$C$3:$CD$12,6,FALSE)</f>
        <v>#N/A</v>
      </c>
      <c r="AG280" s="230" t="e">
        <f>T280-HLOOKUP(V280,Minimas!$C$3:$CD$12,7,FALSE)</f>
        <v>#N/A</v>
      </c>
      <c r="AH280" s="230" t="e">
        <f>T280-HLOOKUP(V280,Minimas!$C$3:$CD$12,8,FALSE)</f>
        <v>#N/A</v>
      </c>
      <c r="AI280" s="230" t="e">
        <f>T280-HLOOKUP(V280,Minimas!$C$3:$CD$12,9,FALSE)</f>
        <v>#N/A</v>
      </c>
      <c r="AJ280" s="230" t="e">
        <f>T280-HLOOKUP(V280,Minimas!$C$3:$CD$12,10,FALSE)</f>
        <v>#N/A</v>
      </c>
      <c r="AK280" s="231" t="str">
        <f t="shared" si="90"/>
        <v xml:space="preserve"> </v>
      </c>
      <c r="AL280" s="232"/>
      <c r="AM280" s="232" t="str">
        <f t="shared" si="91"/>
        <v xml:space="preserve"> </v>
      </c>
      <c r="AN280" s="232" t="str">
        <f t="shared" si="92"/>
        <v xml:space="preserve"> </v>
      </c>
    </row>
    <row r="281" spans="28:40" x14ac:dyDescent="0.25">
      <c r="AB281" s="230" t="e">
        <f>T281-HLOOKUP(V281,Minimas!$C$3:$CD$12,2,FALSE)</f>
        <v>#N/A</v>
      </c>
      <c r="AC281" s="230" t="e">
        <f>T281-HLOOKUP(V281,Minimas!$C$3:$CD$12,3,FALSE)</f>
        <v>#N/A</v>
      </c>
      <c r="AD281" s="230" t="e">
        <f>T281-HLOOKUP(V281,Minimas!$C$3:$CD$12,4,FALSE)</f>
        <v>#N/A</v>
      </c>
      <c r="AE281" s="230" t="e">
        <f>T281-HLOOKUP(V281,Minimas!$C$3:$CD$12,5,FALSE)</f>
        <v>#N/A</v>
      </c>
      <c r="AF281" s="230" t="e">
        <f>T281-HLOOKUP(V281,Minimas!$C$3:$CD$12,6,FALSE)</f>
        <v>#N/A</v>
      </c>
      <c r="AG281" s="230" t="e">
        <f>T281-HLOOKUP(V281,Minimas!$C$3:$CD$12,7,FALSE)</f>
        <v>#N/A</v>
      </c>
      <c r="AH281" s="230" t="e">
        <f>T281-HLOOKUP(V281,Minimas!$C$3:$CD$12,8,FALSE)</f>
        <v>#N/A</v>
      </c>
      <c r="AI281" s="230" t="e">
        <f>T281-HLOOKUP(V281,Minimas!$C$3:$CD$12,9,FALSE)</f>
        <v>#N/A</v>
      </c>
      <c r="AJ281" s="230" t="e">
        <f>T281-HLOOKUP(V281,Minimas!$C$3:$CD$12,10,FALSE)</f>
        <v>#N/A</v>
      </c>
      <c r="AK281" s="231" t="str">
        <f t="shared" si="90"/>
        <v xml:space="preserve"> </v>
      </c>
      <c r="AL281" s="232"/>
      <c r="AM281" s="232" t="str">
        <f t="shared" si="91"/>
        <v xml:space="preserve"> </v>
      </c>
      <c r="AN281" s="232" t="str">
        <f t="shared" si="92"/>
        <v xml:space="preserve"> </v>
      </c>
    </row>
    <row r="282" spans="28:40" x14ac:dyDescent="0.25">
      <c r="AB282" s="230" t="e">
        <f>T282-HLOOKUP(V282,Minimas!$C$3:$CD$12,2,FALSE)</f>
        <v>#N/A</v>
      </c>
      <c r="AC282" s="230" t="e">
        <f>T282-HLOOKUP(V282,Minimas!$C$3:$CD$12,3,FALSE)</f>
        <v>#N/A</v>
      </c>
      <c r="AD282" s="230" t="e">
        <f>T282-HLOOKUP(V282,Minimas!$C$3:$CD$12,4,FALSE)</f>
        <v>#N/A</v>
      </c>
      <c r="AE282" s="230" t="e">
        <f>T282-HLOOKUP(V282,Minimas!$C$3:$CD$12,5,FALSE)</f>
        <v>#N/A</v>
      </c>
      <c r="AF282" s="230" t="e">
        <f>T282-HLOOKUP(V282,Minimas!$C$3:$CD$12,6,FALSE)</f>
        <v>#N/A</v>
      </c>
      <c r="AG282" s="230" t="e">
        <f>T282-HLOOKUP(V282,Minimas!$C$3:$CD$12,7,FALSE)</f>
        <v>#N/A</v>
      </c>
      <c r="AH282" s="230" t="e">
        <f>T282-HLOOKUP(V282,Minimas!$C$3:$CD$12,8,FALSE)</f>
        <v>#N/A</v>
      </c>
      <c r="AI282" s="230" t="e">
        <f>T282-HLOOKUP(V282,Minimas!$C$3:$CD$12,9,FALSE)</f>
        <v>#N/A</v>
      </c>
      <c r="AJ282" s="230" t="e">
        <f>T282-HLOOKUP(V282,Minimas!$C$3:$CD$12,10,FALSE)</f>
        <v>#N/A</v>
      </c>
      <c r="AK282" s="231" t="str">
        <f t="shared" si="90"/>
        <v xml:space="preserve"> </v>
      </c>
      <c r="AL282" s="232"/>
      <c r="AM282" s="232" t="str">
        <f t="shared" si="91"/>
        <v xml:space="preserve"> </v>
      </c>
      <c r="AN282" s="232" t="str">
        <f t="shared" si="92"/>
        <v xml:space="preserve"> </v>
      </c>
    </row>
    <row r="283" spans="28:40" x14ac:dyDescent="0.25">
      <c r="AB283" s="230" t="e">
        <f>T283-HLOOKUP(V283,Minimas!$C$3:$CD$12,2,FALSE)</f>
        <v>#N/A</v>
      </c>
      <c r="AC283" s="230" t="e">
        <f>T283-HLOOKUP(V283,Minimas!$C$3:$CD$12,3,FALSE)</f>
        <v>#N/A</v>
      </c>
      <c r="AD283" s="230" t="e">
        <f>T283-HLOOKUP(V283,Minimas!$C$3:$CD$12,4,FALSE)</f>
        <v>#N/A</v>
      </c>
      <c r="AE283" s="230" t="e">
        <f>T283-HLOOKUP(V283,Minimas!$C$3:$CD$12,5,FALSE)</f>
        <v>#N/A</v>
      </c>
      <c r="AF283" s="230" t="e">
        <f>T283-HLOOKUP(V283,Minimas!$C$3:$CD$12,6,FALSE)</f>
        <v>#N/A</v>
      </c>
      <c r="AG283" s="230" t="e">
        <f>T283-HLOOKUP(V283,Minimas!$C$3:$CD$12,7,FALSE)</f>
        <v>#N/A</v>
      </c>
      <c r="AH283" s="230" t="e">
        <f>T283-HLOOKUP(V283,Minimas!$C$3:$CD$12,8,FALSE)</f>
        <v>#N/A</v>
      </c>
      <c r="AI283" s="230" t="e">
        <f>T283-HLOOKUP(V283,Minimas!$C$3:$CD$12,9,FALSE)</f>
        <v>#N/A</v>
      </c>
      <c r="AJ283" s="230" t="e">
        <f>T283-HLOOKUP(V283,Minimas!$C$3:$CD$12,10,FALSE)</f>
        <v>#N/A</v>
      </c>
      <c r="AK283" s="231" t="str">
        <f t="shared" si="90"/>
        <v xml:space="preserve"> </v>
      </c>
      <c r="AL283" s="232"/>
      <c r="AM283" s="232" t="str">
        <f t="shared" si="91"/>
        <v xml:space="preserve"> </v>
      </c>
      <c r="AN283" s="232" t="str">
        <f t="shared" si="92"/>
        <v xml:space="preserve"> </v>
      </c>
    </row>
    <row r="284" spans="28:40" x14ac:dyDescent="0.25">
      <c r="AB284" s="230" t="e">
        <f>T284-HLOOKUP(V284,Minimas!$C$3:$CD$12,2,FALSE)</f>
        <v>#N/A</v>
      </c>
      <c r="AC284" s="230" t="e">
        <f>T284-HLOOKUP(V284,Minimas!$C$3:$CD$12,3,FALSE)</f>
        <v>#N/A</v>
      </c>
      <c r="AD284" s="230" t="e">
        <f>T284-HLOOKUP(V284,Minimas!$C$3:$CD$12,4,FALSE)</f>
        <v>#N/A</v>
      </c>
      <c r="AE284" s="230" t="e">
        <f>T284-HLOOKUP(V284,Minimas!$C$3:$CD$12,5,FALSE)</f>
        <v>#N/A</v>
      </c>
      <c r="AF284" s="230" t="e">
        <f>T284-HLOOKUP(V284,Minimas!$C$3:$CD$12,6,FALSE)</f>
        <v>#N/A</v>
      </c>
      <c r="AG284" s="230" t="e">
        <f>T284-HLOOKUP(V284,Minimas!$C$3:$CD$12,7,FALSE)</f>
        <v>#N/A</v>
      </c>
      <c r="AH284" s="230" t="e">
        <f>T284-HLOOKUP(V284,Minimas!$C$3:$CD$12,8,FALSE)</f>
        <v>#N/A</v>
      </c>
      <c r="AI284" s="230" t="e">
        <f>T284-HLOOKUP(V284,Minimas!$C$3:$CD$12,9,FALSE)</f>
        <v>#N/A</v>
      </c>
      <c r="AJ284" s="230" t="e">
        <f>T284-HLOOKUP(V284,Minimas!$C$3:$CD$12,10,FALSE)</f>
        <v>#N/A</v>
      </c>
      <c r="AK284" s="231" t="str">
        <f t="shared" si="90"/>
        <v xml:space="preserve"> </v>
      </c>
      <c r="AL284" s="232"/>
      <c r="AM284" s="232" t="str">
        <f t="shared" si="91"/>
        <v xml:space="preserve"> </v>
      </c>
      <c r="AN284" s="232" t="str">
        <f t="shared" si="92"/>
        <v xml:space="preserve"> </v>
      </c>
    </row>
    <row r="285" spans="28:40" x14ac:dyDescent="0.25">
      <c r="AB285" s="230" t="e">
        <f>T285-HLOOKUP(V285,Minimas!$C$3:$CD$12,2,FALSE)</f>
        <v>#N/A</v>
      </c>
      <c r="AC285" s="230" t="e">
        <f>T285-HLOOKUP(V285,Minimas!$C$3:$CD$12,3,FALSE)</f>
        <v>#N/A</v>
      </c>
      <c r="AD285" s="230" t="e">
        <f>T285-HLOOKUP(V285,Minimas!$C$3:$CD$12,4,FALSE)</f>
        <v>#N/A</v>
      </c>
      <c r="AE285" s="230" t="e">
        <f>T285-HLOOKUP(V285,Minimas!$C$3:$CD$12,5,FALSE)</f>
        <v>#N/A</v>
      </c>
      <c r="AF285" s="230" t="e">
        <f>T285-HLOOKUP(V285,Minimas!$C$3:$CD$12,6,FALSE)</f>
        <v>#N/A</v>
      </c>
      <c r="AG285" s="230" t="e">
        <f>T285-HLOOKUP(V285,Minimas!$C$3:$CD$12,7,FALSE)</f>
        <v>#N/A</v>
      </c>
      <c r="AH285" s="230" t="e">
        <f>T285-HLOOKUP(V285,Minimas!$C$3:$CD$12,8,FALSE)</f>
        <v>#N/A</v>
      </c>
      <c r="AI285" s="230" t="e">
        <f>T285-HLOOKUP(V285,Minimas!$C$3:$CD$12,9,FALSE)</f>
        <v>#N/A</v>
      </c>
      <c r="AJ285" s="230" t="e">
        <f>T285-HLOOKUP(V285,Minimas!$C$3:$CD$12,10,FALSE)</f>
        <v>#N/A</v>
      </c>
      <c r="AK285" s="231" t="str">
        <f t="shared" si="90"/>
        <v xml:space="preserve"> </v>
      </c>
      <c r="AL285" s="232"/>
      <c r="AM285" s="232" t="str">
        <f t="shared" si="91"/>
        <v xml:space="preserve"> </v>
      </c>
      <c r="AN285" s="232" t="str">
        <f t="shared" si="92"/>
        <v xml:space="preserve"> </v>
      </c>
    </row>
    <row r="286" spans="28:40" x14ac:dyDescent="0.25">
      <c r="AB286" s="230" t="e">
        <f>T286-HLOOKUP(V286,Minimas!$C$3:$CD$12,2,FALSE)</f>
        <v>#N/A</v>
      </c>
      <c r="AC286" s="230" t="e">
        <f>T286-HLOOKUP(V286,Minimas!$C$3:$CD$12,3,FALSE)</f>
        <v>#N/A</v>
      </c>
      <c r="AD286" s="230" t="e">
        <f>T286-HLOOKUP(V286,Minimas!$C$3:$CD$12,4,FALSE)</f>
        <v>#N/A</v>
      </c>
      <c r="AE286" s="230" t="e">
        <f>T286-HLOOKUP(V286,Minimas!$C$3:$CD$12,5,FALSE)</f>
        <v>#N/A</v>
      </c>
      <c r="AF286" s="230" t="e">
        <f>T286-HLOOKUP(V286,Minimas!$C$3:$CD$12,6,FALSE)</f>
        <v>#N/A</v>
      </c>
      <c r="AG286" s="230" t="e">
        <f>T286-HLOOKUP(V286,Minimas!$C$3:$CD$12,7,FALSE)</f>
        <v>#N/A</v>
      </c>
      <c r="AH286" s="230" t="e">
        <f>T286-HLOOKUP(V286,Minimas!$C$3:$CD$12,8,FALSE)</f>
        <v>#N/A</v>
      </c>
      <c r="AI286" s="230" t="e">
        <f>T286-HLOOKUP(V286,Minimas!$C$3:$CD$12,9,FALSE)</f>
        <v>#N/A</v>
      </c>
      <c r="AJ286" s="230" t="e">
        <f>T286-HLOOKUP(V286,Minimas!$C$3:$CD$12,10,FALSE)</f>
        <v>#N/A</v>
      </c>
      <c r="AK286" s="231" t="str">
        <f t="shared" si="90"/>
        <v xml:space="preserve"> </v>
      </c>
      <c r="AL286" s="232"/>
      <c r="AM286" s="232" t="str">
        <f t="shared" si="91"/>
        <v xml:space="preserve"> </v>
      </c>
      <c r="AN286" s="232" t="str">
        <f t="shared" si="92"/>
        <v xml:space="preserve"> </v>
      </c>
    </row>
    <row r="287" spans="28:40" x14ac:dyDescent="0.25">
      <c r="AB287" s="230" t="e">
        <f>T287-HLOOKUP(V287,Minimas!$C$3:$CD$12,2,FALSE)</f>
        <v>#N/A</v>
      </c>
      <c r="AC287" s="230" t="e">
        <f>T287-HLOOKUP(V287,Minimas!$C$3:$CD$12,3,FALSE)</f>
        <v>#N/A</v>
      </c>
      <c r="AD287" s="230" t="e">
        <f>T287-HLOOKUP(V287,Minimas!$C$3:$CD$12,4,FALSE)</f>
        <v>#N/A</v>
      </c>
      <c r="AE287" s="230" t="e">
        <f>T287-HLOOKUP(V287,Minimas!$C$3:$CD$12,5,FALSE)</f>
        <v>#N/A</v>
      </c>
      <c r="AF287" s="230" t="e">
        <f>T287-HLOOKUP(V287,Minimas!$C$3:$CD$12,6,FALSE)</f>
        <v>#N/A</v>
      </c>
      <c r="AG287" s="230" t="e">
        <f>T287-HLOOKUP(V287,Minimas!$C$3:$CD$12,7,FALSE)</f>
        <v>#N/A</v>
      </c>
      <c r="AH287" s="230" t="e">
        <f>T287-HLOOKUP(V287,Minimas!$C$3:$CD$12,8,FALSE)</f>
        <v>#N/A</v>
      </c>
      <c r="AI287" s="230" t="e">
        <f>T287-HLOOKUP(V287,Minimas!$C$3:$CD$12,9,FALSE)</f>
        <v>#N/A</v>
      </c>
      <c r="AJ287" s="230" t="e">
        <f>T287-HLOOKUP(V287,Minimas!$C$3:$CD$12,10,FALSE)</f>
        <v>#N/A</v>
      </c>
      <c r="AK287" s="231" t="str">
        <f t="shared" si="90"/>
        <v xml:space="preserve"> </v>
      </c>
      <c r="AL287" s="232"/>
      <c r="AM287" s="232" t="str">
        <f t="shared" si="91"/>
        <v xml:space="preserve"> </v>
      </c>
      <c r="AN287" s="232" t="str">
        <f t="shared" si="92"/>
        <v xml:space="preserve"> </v>
      </c>
    </row>
    <row r="288" spans="28:40" x14ac:dyDescent="0.25">
      <c r="AB288" s="230" t="e">
        <f>T288-HLOOKUP(V288,Minimas!$C$3:$CD$12,2,FALSE)</f>
        <v>#N/A</v>
      </c>
      <c r="AC288" s="230" t="e">
        <f>T288-HLOOKUP(V288,Minimas!$C$3:$CD$12,3,FALSE)</f>
        <v>#N/A</v>
      </c>
      <c r="AD288" s="230" t="e">
        <f>T288-HLOOKUP(V288,Minimas!$C$3:$CD$12,4,FALSE)</f>
        <v>#N/A</v>
      </c>
      <c r="AE288" s="230" t="e">
        <f>T288-HLOOKUP(V288,Minimas!$C$3:$CD$12,5,FALSE)</f>
        <v>#N/A</v>
      </c>
      <c r="AF288" s="230" t="e">
        <f>T288-HLOOKUP(V288,Minimas!$C$3:$CD$12,6,FALSE)</f>
        <v>#N/A</v>
      </c>
      <c r="AG288" s="230" t="e">
        <f>T288-HLOOKUP(V288,Minimas!$C$3:$CD$12,7,FALSE)</f>
        <v>#N/A</v>
      </c>
      <c r="AH288" s="230" t="e">
        <f>T288-HLOOKUP(V288,Minimas!$C$3:$CD$12,8,FALSE)</f>
        <v>#N/A</v>
      </c>
      <c r="AI288" s="230" t="e">
        <f>T288-HLOOKUP(V288,Minimas!$C$3:$CD$12,9,FALSE)</f>
        <v>#N/A</v>
      </c>
      <c r="AJ288" s="230" t="e">
        <f>T288-HLOOKUP(V288,Minimas!$C$3:$CD$12,10,FALSE)</f>
        <v>#N/A</v>
      </c>
      <c r="AK288" s="231" t="str">
        <f t="shared" si="90"/>
        <v xml:space="preserve"> </v>
      </c>
      <c r="AL288" s="232"/>
      <c r="AM288" s="232" t="str">
        <f t="shared" si="91"/>
        <v xml:space="preserve"> </v>
      </c>
      <c r="AN288" s="232" t="str">
        <f t="shared" si="92"/>
        <v xml:space="preserve"> </v>
      </c>
    </row>
    <row r="289" spans="28:40" x14ac:dyDescent="0.25">
      <c r="AB289" s="230" t="e">
        <f>T289-HLOOKUP(V289,Minimas!$C$3:$CD$12,2,FALSE)</f>
        <v>#N/A</v>
      </c>
      <c r="AC289" s="230" t="e">
        <f>T289-HLOOKUP(V289,Minimas!$C$3:$CD$12,3,FALSE)</f>
        <v>#N/A</v>
      </c>
      <c r="AD289" s="230" t="e">
        <f>T289-HLOOKUP(V289,Minimas!$C$3:$CD$12,4,FALSE)</f>
        <v>#N/A</v>
      </c>
      <c r="AE289" s="230" t="e">
        <f>T289-HLOOKUP(V289,Minimas!$C$3:$CD$12,5,FALSE)</f>
        <v>#N/A</v>
      </c>
      <c r="AF289" s="230" t="e">
        <f>T289-HLOOKUP(V289,Minimas!$C$3:$CD$12,6,FALSE)</f>
        <v>#N/A</v>
      </c>
      <c r="AG289" s="230" t="e">
        <f>T289-HLOOKUP(V289,Minimas!$C$3:$CD$12,7,FALSE)</f>
        <v>#N/A</v>
      </c>
      <c r="AH289" s="230" t="e">
        <f>T289-HLOOKUP(V289,Minimas!$C$3:$CD$12,8,FALSE)</f>
        <v>#N/A</v>
      </c>
      <c r="AI289" s="230" t="e">
        <f>T289-HLOOKUP(V289,Minimas!$C$3:$CD$12,9,FALSE)</f>
        <v>#N/A</v>
      </c>
      <c r="AJ289" s="230" t="e">
        <f>T289-HLOOKUP(V289,Minimas!$C$3:$CD$12,10,FALSE)</f>
        <v>#N/A</v>
      </c>
      <c r="AK289" s="231" t="str">
        <f t="shared" si="90"/>
        <v xml:space="preserve"> </v>
      </c>
      <c r="AL289" s="232"/>
      <c r="AM289" s="232" t="str">
        <f t="shared" si="91"/>
        <v xml:space="preserve"> </v>
      </c>
      <c r="AN289" s="232" t="str">
        <f t="shared" si="92"/>
        <v xml:space="preserve"> </v>
      </c>
    </row>
    <row r="290" spans="28:40" x14ac:dyDescent="0.25">
      <c r="AB290" s="230" t="e">
        <f>T290-HLOOKUP(V290,Minimas!$C$3:$CD$12,2,FALSE)</f>
        <v>#N/A</v>
      </c>
      <c r="AC290" s="230" t="e">
        <f>T290-HLOOKUP(V290,Minimas!$C$3:$CD$12,3,FALSE)</f>
        <v>#N/A</v>
      </c>
      <c r="AD290" s="230" t="e">
        <f>T290-HLOOKUP(V290,Minimas!$C$3:$CD$12,4,FALSE)</f>
        <v>#N/A</v>
      </c>
      <c r="AE290" s="230" t="e">
        <f>T290-HLOOKUP(V290,Minimas!$C$3:$CD$12,5,FALSE)</f>
        <v>#N/A</v>
      </c>
      <c r="AF290" s="230" t="e">
        <f>T290-HLOOKUP(V290,Minimas!$C$3:$CD$12,6,FALSE)</f>
        <v>#N/A</v>
      </c>
      <c r="AG290" s="230" t="e">
        <f>T290-HLOOKUP(V290,Minimas!$C$3:$CD$12,7,FALSE)</f>
        <v>#N/A</v>
      </c>
      <c r="AH290" s="230" t="e">
        <f>T290-HLOOKUP(V290,Minimas!$C$3:$CD$12,8,FALSE)</f>
        <v>#N/A</v>
      </c>
      <c r="AI290" s="230" t="e">
        <f>T290-HLOOKUP(V290,Minimas!$C$3:$CD$12,9,FALSE)</f>
        <v>#N/A</v>
      </c>
      <c r="AJ290" s="230" t="e">
        <f>T290-HLOOKUP(V290,Minimas!$C$3:$CD$12,10,FALSE)</f>
        <v>#N/A</v>
      </c>
      <c r="AK290" s="231" t="str">
        <f t="shared" si="90"/>
        <v xml:space="preserve"> </v>
      </c>
      <c r="AL290" s="232"/>
      <c r="AM290" s="232" t="str">
        <f t="shared" si="91"/>
        <v xml:space="preserve"> </v>
      </c>
      <c r="AN290" s="232" t="str">
        <f t="shared" si="92"/>
        <v xml:space="preserve"> </v>
      </c>
    </row>
    <row r="291" spans="28:40" x14ac:dyDescent="0.25">
      <c r="AB291" s="230" t="e">
        <f>T291-HLOOKUP(V291,Minimas!$C$3:$CD$12,2,FALSE)</f>
        <v>#N/A</v>
      </c>
      <c r="AC291" s="230" t="e">
        <f>T291-HLOOKUP(V291,Minimas!$C$3:$CD$12,3,FALSE)</f>
        <v>#N/A</v>
      </c>
      <c r="AD291" s="230" t="e">
        <f>T291-HLOOKUP(V291,Minimas!$C$3:$CD$12,4,FALSE)</f>
        <v>#N/A</v>
      </c>
      <c r="AE291" s="230" t="e">
        <f>T291-HLOOKUP(V291,Minimas!$C$3:$CD$12,5,FALSE)</f>
        <v>#N/A</v>
      </c>
      <c r="AF291" s="230" t="e">
        <f>T291-HLOOKUP(V291,Minimas!$C$3:$CD$12,6,FALSE)</f>
        <v>#N/A</v>
      </c>
      <c r="AG291" s="230" t="e">
        <f>T291-HLOOKUP(V291,Minimas!$C$3:$CD$12,7,FALSE)</f>
        <v>#N/A</v>
      </c>
      <c r="AH291" s="230" t="e">
        <f>T291-HLOOKUP(V291,Minimas!$C$3:$CD$12,8,FALSE)</f>
        <v>#N/A</v>
      </c>
      <c r="AI291" s="230" t="e">
        <f>T291-HLOOKUP(V291,Minimas!$C$3:$CD$12,9,FALSE)</f>
        <v>#N/A</v>
      </c>
      <c r="AJ291" s="230" t="e">
        <f>T291-HLOOKUP(V291,Minimas!$C$3:$CD$12,10,FALSE)</f>
        <v>#N/A</v>
      </c>
      <c r="AK291" s="231" t="str">
        <f t="shared" si="90"/>
        <v xml:space="preserve"> </v>
      </c>
      <c r="AL291" s="232"/>
      <c r="AM291" s="232" t="str">
        <f t="shared" si="91"/>
        <v xml:space="preserve"> </v>
      </c>
      <c r="AN291" s="232" t="str">
        <f t="shared" si="92"/>
        <v xml:space="preserve"> </v>
      </c>
    </row>
    <row r="292" spans="28:40" x14ac:dyDescent="0.25">
      <c r="AB292" s="230" t="e">
        <f>T292-HLOOKUP(V292,Minimas!$C$3:$CD$12,2,FALSE)</f>
        <v>#N/A</v>
      </c>
      <c r="AC292" s="230" t="e">
        <f>T292-HLOOKUP(V292,Minimas!$C$3:$CD$12,3,FALSE)</f>
        <v>#N/A</v>
      </c>
      <c r="AD292" s="230" t="e">
        <f>T292-HLOOKUP(V292,Minimas!$C$3:$CD$12,4,FALSE)</f>
        <v>#N/A</v>
      </c>
      <c r="AE292" s="230" t="e">
        <f>T292-HLOOKUP(V292,Minimas!$C$3:$CD$12,5,FALSE)</f>
        <v>#N/A</v>
      </c>
      <c r="AF292" s="230" t="e">
        <f>T292-HLOOKUP(V292,Minimas!$C$3:$CD$12,6,FALSE)</f>
        <v>#N/A</v>
      </c>
      <c r="AG292" s="230" t="e">
        <f>T292-HLOOKUP(V292,Minimas!$C$3:$CD$12,7,FALSE)</f>
        <v>#N/A</v>
      </c>
      <c r="AH292" s="230" t="e">
        <f>T292-HLOOKUP(V292,Minimas!$C$3:$CD$12,8,FALSE)</f>
        <v>#N/A</v>
      </c>
      <c r="AI292" s="230" t="e">
        <f>T292-HLOOKUP(V292,Minimas!$C$3:$CD$12,9,FALSE)</f>
        <v>#N/A</v>
      </c>
      <c r="AJ292" s="230" t="e">
        <f>T292-HLOOKUP(V292,Minimas!$C$3:$CD$12,10,FALSE)</f>
        <v>#N/A</v>
      </c>
      <c r="AK292" s="231" t="str">
        <f t="shared" si="90"/>
        <v xml:space="preserve"> </v>
      </c>
      <c r="AL292" s="232"/>
      <c r="AM292" s="232" t="str">
        <f t="shared" si="91"/>
        <v xml:space="preserve"> </v>
      </c>
      <c r="AN292" s="232" t="str">
        <f t="shared" si="92"/>
        <v xml:space="preserve"> </v>
      </c>
    </row>
    <row r="293" spans="28:40" x14ac:dyDescent="0.25">
      <c r="AB293" s="230" t="e">
        <f>T293-HLOOKUP(V293,Minimas!$C$3:$CD$12,2,FALSE)</f>
        <v>#N/A</v>
      </c>
      <c r="AC293" s="230" t="e">
        <f>T293-HLOOKUP(V293,Minimas!$C$3:$CD$12,3,FALSE)</f>
        <v>#N/A</v>
      </c>
      <c r="AD293" s="230" t="e">
        <f>T293-HLOOKUP(V293,Minimas!$C$3:$CD$12,4,FALSE)</f>
        <v>#N/A</v>
      </c>
      <c r="AE293" s="230" t="e">
        <f>T293-HLOOKUP(V293,Minimas!$C$3:$CD$12,5,FALSE)</f>
        <v>#N/A</v>
      </c>
      <c r="AF293" s="230" t="e">
        <f>T293-HLOOKUP(V293,Minimas!$C$3:$CD$12,6,FALSE)</f>
        <v>#N/A</v>
      </c>
      <c r="AG293" s="230" t="e">
        <f>T293-HLOOKUP(V293,Minimas!$C$3:$CD$12,7,FALSE)</f>
        <v>#N/A</v>
      </c>
      <c r="AH293" s="230" t="e">
        <f>T293-HLOOKUP(V293,Minimas!$C$3:$CD$12,8,FALSE)</f>
        <v>#N/A</v>
      </c>
      <c r="AI293" s="230" t="e">
        <f>T293-HLOOKUP(V293,Minimas!$C$3:$CD$12,9,FALSE)</f>
        <v>#N/A</v>
      </c>
      <c r="AJ293" s="230" t="e">
        <f>T293-HLOOKUP(V293,Minimas!$C$3:$CD$12,10,FALSE)</f>
        <v>#N/A</v>
      </c>
      <c r="AK293" s="231" t="str">
        <f t="shared" si="90"/>
        <v xml:space="preserve"> </v>
      </c>
      <c r="AL293" s="232"/>
      <c r="AM293" s="232" t="str">
        <f t="shared" si="91"/>
        <v xml:space="preserve"> </v>
      </c>
      <c r="AN293" s="232" t="str">
        <f t="shared" si="92"/>
        <v xml:space="preserve"> </v>
      </c>
    </row>
    <row r="294" spans="28:40" x14ac:dyDescent="0.25">
      <c r="AB294" s="230" t="e">
        <f>T294-HLOOKUP(V294,Minimas!$C$3:$CD$12,2,FALSE)</f>
        <v>#N/A</v>
      </c>
      <c r="AC294" s="230" t="e">
        <f>T294-HLOOKUP(V294,Minimas!$C$3:$CD$12,3,FALSE)</f>
        <v>#N/A</v>
      </c>
      <c r="AD294" s="230" t="e">
        <f>T294-HLOOKUP(V294,Minimas!$C$3:$CD$12,4,FALSE)</f>
        <v>#N/A</v>
      </c>
      <c r="AE294" s="230" t="e">
        <f>T294-HLOOKUP(V294,Minimas!$C$3:$CD$12,5,FALSE)</f>
        <v>#N/A</v>
      </c>
      <c r="AF294" s="230" t="e">
        <f>T294-HLOOKUP(V294,Minimas!$C$3:$CD$12,6,FALSE)</f>
        <v>#N/A</v>
      </c>
      <c r="AG294" s="230" t="e">
        <f>T294-HLOOKUP(V294,Minimas!$C$3:$CD$12,7,FALSE)</f>
        <v>#N/A</v>
      </c>
      <c r="AH294" s="230" t="e">
        <f>T294-HLOOKUP(V294,Minimas!$C$3:$CD$12,8,FALSE)</f>
        <v>#N/A</v>
      </c>
      <c r="AI294" s="230" t="e">
        <f>T294-HLOOKUP(V294,Minimas!$C$3:$CD$12,9,FALSE)</f>
        <v>#N/A</v>
      </c>
      <c r="AJ294" s="230" t="e">
        <f>T294-HLOOKUP(V294,Minimas!$C$3:$CD$12,10,FALSE)</f>
        <v>#N/A</v>
      </c>
      <c r="AK294" s="231" t="str">
        <f t="shared" si="90"/>
        <v xml:space="preserve"> </v>
      </c>
      <c r="AL294" s="232"/>
      <c r="AM294" s="232" t="str">
        <f t="shared" si="91"/>
        <v xml:space="preserve"> </v>
      </c>
      <c r="AN294" s="232" t="str">
        <f t="shared" si="92"/>
        <v xml:space="preserve"> </v>
      </c>
    </row>
    <row r="295" spans="28:40" x14ac:dyDescent="0.25">
      <c r="AB295" s="230" t="e">
        <f>T295-HLOOKUP(V295,Minimas!$C$3:$CD$12,2,FALSE)</f>
        <v>#N/A</v>
      </c>
      <c r="AC295" s="230" t="e">
        <f>T295-HLOOKUP(V295,Minimas!$C$3:$CD$12,3,FALSE)</f>
        <v>#N/A</v>
      </c>
      <c r="AD295" s="230" t="e">
        <f>T295-HLOOKUP(V295,Minimas!$C$3:$CD$12,4,FALSE)</f>
        <v>#N/A</v>
      </c>
      <c r="AE295" s="230" t="e">
        <f>T295-HLOOKUP(V295,Minimas!$C$3:$CD$12,5,FALSE)</f>
        <v>#N/A</v>
      </c>
      <c r="AF295" s="230" t="e">
        <f>T295-HLOOKUP(V295,Minimas!$C$3:$CD$12,6,FALSE)</f>
        <v>#N/A</v>
      </c>
      <c r="AG295" s="230" t="e">
        <f>T295-HLOOKUP(V295,Minimas!$C$3:$CD$12,7,FALSE)</f>
        <v>#N/A</v>
      </c>
      <c r="AH295" s="230" t="e">
        <f>T295-HLOOKUP(V295,Minimas!$C$3:$CD$12,8,FALSE)</f>
        <v>#N/A</v>
      </c>
      <c r="AI295" s="230" t="e">
        <f>T295-HLOOKUP(V295,Minimas!$C$3:$CD$12,9,FALSE)</f>
        <v>#N/A</v>
      </c>
      <c r="AJ295" s="230" t="e">
        <f>T295-HLOOKUP(V295,Minimas!$C$3:$CD$12,10,FALSE)</f>
        <v>#N/A</v>
      </c>
      <c r="AK295" s="231" t="str">
        <f t="shared" si="90"/>
        <v xml:space="preserve"> </v>
      </c>
      <c r="AL295" s="232"/>
      <c r="AM295" s="232" t="str">
        <f t="shared" si="91"/>
        <v xml:space="preserve"> </v>
      </c>
      <c r="AN295" s="232" t="str">
        <f t="shared" si="92"/>
        <v xml:space="preserve"> </v>
      </c>
    </row>
    <row r="296" spans="28:40" x14ac:dyDescent="0.25">
      <c r="AB296" s="230" t="e">
        <f>T296-HLOOKUP(V296,Minimas!$C$3:$CD$12,2,FALSE)</f>
        <v>#N/A</v>
      </c>
      <c r="AC296" s="230" t="e">
        <f>T296-HLOOKUP(V296,Minimas!$C$3:$CD$12,3,FALSE)</f>
        <v>#N/A</v>
      </c>
      <c r="AD296" s="230" t="e">
        <f>T296-HLOOKUP(V296,Minimas!$C$3:$CD$12,4,FALSE)</f>
        <v>#N/A</v>
      </c>
      <c r="AE296" s="230" t="e">
        <f>T296-HLOOKUP(V296,Minimas!$C$3:$CD$12,5,FALSE)</f>
        <v>#N/A</v>
      </c>
      <c r="AF296" s="230" t="e">
        <f>T296-HLOOKUP(V296,Minimas!$C$3:$CD$12,6,FALSE)</f>
        <v>#N/A</v>
      </c>
      <c r="AG296" s="230" t="e">
        <f>T296-HLOOKUP(V296,Minimas!$C$3:$CD$12,7,FALSE)</f>
        <v>#N/A</v>
      </c>
      <c r="AH296" s="230" t="e">
        <f>T296-HLOOKUP(V296,Minimas!$C$3:$CD$12,8,FALSE)</f>
        <v>#N/A</v>
      </c>
      <c r="AI296" s="230" t="e">
        <f>T296-HLOOKUP(V296,Minimas!$C$3:$CD$12,9,FALSE)</f>
        <v>#N/A</v>
      </c>
      <c r="AJ296" s="230" t="e">
        <f>T296-HLOOKUP(V296,Minimas!$C$3:$CD$12,10,FALSE)</f>
        <v>#N/A</v>
      </c>
      <c r="AK296" s="231" t="str">
        <f t="shared" si="90"/>
        <v xml:space="preserve"> </v>
      </c>
      <c r="AL296" s="232"/>
      <c r="AM296" s="232" t="str">
        <f t="shared" si="91"/>
        <v xml:space="preserve"> </v>
      </c>
      <c r="AN296" s="232" t="str">
        <f t="shared" si="92"/>
        <v xml:space="preserve"> </v>
      </c>
    </row>
    <row r="297" spans="28:40" x14ac:dyDescent="0.25">
      <c r="AB297" s="230" t="e">
        <f>T297-HLOOKUP(V297,Minimas!$C$3:$CD$12,2,FALSE)</f>
        <v>#N/A</v>
      </c>
      <c r="AC297" s="230" t="e">
        <f>T297-HLOOKUP(V297,Minimas!$C$3:$CD$12,3,FALSE)</f>
        <v>#N/A</v>
      </c>
      <c r="AD297" s="230" t="e">
        <f>T297-HLOOKUP(V297,Minimas!$C$3:$CD$12,4,FALSE)</f>
        <v>#N/A</v>
      </c>
      <c r="AE297" s="230" t="e">
        <f>T297-HLOOKUP(V297,Minimas!$C$3:$CD$12,5,FALSE)</f>
        <v>#N/A</v>
      </c>
      <c r="AF297" s="230" t="e">
        <f>T297-HLOOKUP(V297,Minimas!$C$3:$CD$12,6,FALSE)</f>
        <v>#N/A</v>
      </c>
      <c r="AG297" s="230" t="e">
        <f>T297-HLOOKUP(V297,Minimas!$C$3:$CD$12,7,FALSE)</f>
        <v>#N/A</v>
      </c>
      <c r="AH297" s="230" t="e">
        <f>T297-HLOOKUP(V297,Minimas!$C$3:$CD$12,8,FALSE)</f>
        <v>#N/A</v>
      </c>
      <c r="AI297" s="230" t="e">
        <f>T297-HLOOKUP(V297,Minimas!$C$3:$CD$12,9,FALSE)</f>
        <v>#N/A</v>
      </c>
      <c r="AJ297" s="230" t="e">
        <f>T297-HLOOKUP(V297,Minimas!$C$3:$CD$12,10,FALSE)</f>
        <v>#N/A</v>
      </c>
      <c r="AK297" s="231" t="str">
        <f t="shared" si="90"/>
        <v xml:space="preserve"> </v>
      </c>
      <c r="AL297" s="232"/>
      <c r="AM297" s="232" t="str">
        <f t="shared" si="91"/>
        <v xml:space="preserve"> </v>
      </c>
      <c r="AN297" s="232" t="str">
        <f t="shared" si="92"/>
        <v xml:space="preserve"> </v>
      </c>
    </row>
    <row r="298" spans="28:40" x14ac:dyDescent="0.25">
      <c r="AB298" s="230" t="e">
        <f>T298-HLOOKUP(V298,Minimas!$C$3:$CD$12,2,FALSE)</f>
        <v>#N/A</v>
      </c>
      <c r="AC298" s="230" t="e">
        <f>T298-HLOOKUP(V298,Minimas!$C$3:$CD$12,3,FALSE)</f>
        <v>#N/A</v>
      </c>
      <c r="AD298" s="230" t="e">
        <f>T298-HLOOKUP(V298,Minimas!$C$3:$CD$12,4,FALSE)</f>
        <v>#N/A</v>
      </c>
      <c r="AE298" s="230" t="e">
        <f>T298-HLOOKUP(V298,Minimas!$C$3:$CD$12,5,FALSE)</f>
        <v>#N/A</v>
      </c>
      <c r="AF298" s="230" t="e">
        <f>T298-HLOOKUP(V298,Minimas!$C$3:$CD$12,6,FALSE)</f>
        <v>#N/A</v>
      </c>
      <c r="AG298" s="230" t="e">
        <f>T298-HLOOKUP(V298,Minimas!$C$3:$CD$12,7,FALSE)</f>
        <v>#N/A</v>
      </c>
      <c r="AH298" s="230" t="e">
        <f>T298-HLOOKUP(V298,Minimas!$C$3:$CD$12,8,FALSE)</f>
        <v>#N/A</v>
      </c>
      <c r="AI298" s="230" t="e">
        <f>T298-HLOOKUP(V298,Minimas!$C$3:$CD$12,9,FALSE)</f>
        <v>#N/A</v>
      </c>
      <c r="AJ298" s="230" t="e">
        <f>T298-HLOOKUP(V298,Minimas!$C$3:$CD$12,10,FALSE)</f>
        <v>#N/A</v>
      </c>
      <c r="AK298" s="231" t="str">
        <f t="shared" si="90"/>
        <v xml:space="preserve"> </v>
      </c>
      <c r="AL298" s="232"/>
      <c r="AM298" s="232" t="str">
        <f t="shared" si="91"/>
        <v xml:space="preserve"> </v>
      </c>
      <c r="AN298" s="232" t="str">
        <f t="shared" si="92"/>
        <v xml:space="preserve"> </v>
      </c>
    </row>
    <row r="299" spans="28:40" x14ac:dyDescent="0.25">
      <c r="AB299" s="230" t="e">
        <f>T299-HLOOKUP(V299,Minimas!$C$3:$CD$12,2,FALSE)</f>
        <v>#N/A</v>
      </c>
      <c r="AC299" s="230" t="e">
        <f>T299-HLOOKUP(V299,Minimas!$C$3:$CD$12,3,FALSE)</f>
        <v>#N/A</v>
      </c>
      <c r="AD299" s="230" t="e">
        <f>T299-HLOOKUP(V299,Minimas!$C$3:$CD$12,4,FALSE)</f>
        <v>#N/A</v>
      </c>
      <c r="AE299" s="230" t="e">
        <f>T299-HLOOKUP(V299,Minimas!$C$3:$CD$12,5,FALSE)</f>
        <v>#N/A</v>
      </c>
      <c r="AF299" s="230" t="e">
        <f>T299-HLOOKUP(V299,Minimas!$C$3:$CD$12,6,FALSE)</f>
        <v>#N/A</v>
      </c>
      <c r="AG299" s="230" t="e">
        <f>T299-HLOOKUP(V299,Minimas!$C$3:$CD$12,7,FALSE)</f>
        <v>#N/A</v>
      </c>
      <c r="AH299" s="230" t="e">
        <f>T299-HLOOKUP(V299,Minimas!$C$3:$CD$12,8,FALSE)</f>
        <v>#N/A</v>
      </c>
      <c r="AI299" s="230" t="e">
        <f>T299-HLOOKUP(V299,Minimas!$C$3:$CD$12,9,FALSE)</f>
        <v>#N/A</v>
      </c>
      <c r="AJ299" s="230" t="e">
        <f>T299-HLOOKUP(V299,Minimas!$C$3:$CD$12,10,FALSE)</f>
        <v>#N/A</v>
      </c>
      <c r="AK299" s="231" t="str">
        <f t="shared" si="90"/>
        <v xml:space="preserve"> </v>
      </c>
      <c r="AL299" s="232"/>
      <c r="AM299" s="232" t="str">
        <f t="shared" si="91"/>
        <v xml:space="preserve"> </v>
      </c>
      <c r="AN299" s="232" t="str">
        <f t="shared" si="92"/>
        <v xml:space="preserve"> </v>
      </c>
    </row>
    <row r="300" spans="28:40" x14ac:dyDescent="0.25">
      <c r="AB300" s="230" t="e">
        <f>T300-HLOOKUP(V300,Minimas!$C$3:$CD$12,2,FALSE)</f>
        <v>#N/A</v>
      </c>
      <c r="AC300" s="230" t="e">
        <f>T300-HLOOKUP(V300,Minimas!$C$3:$CD$12,3,FALSE)</f>
        <v>#N/A</v>
      </c>
      <c r="AD300" s="230" t="e">
        <f>T300-HLOOKUP(V300,Minimas!$C$3:$CD$12,4,FALSE)</f>
        <v>#N/A</v>
      </c>
      <c r="AE300" s="230" t="e">
        <f>T300-HLOOKUP(V300,Minimas!$C$3:$CD$12,5,FALSE)</f>
        <v>#N/A</v>
      </c>
      <c r="AF300" s="230" t="e">
        <f>T300-HLOOKUP(V300,Minimas!$C$3:$CD$12,6,FALSE)</f>
        <v>#N/A</v>
      </c>
      <c r="AG300" s="230" t="e">
        <f>T300-HLOOKUP(V300,Minimas!$C$3:$CD$12,7,FALSE)</f>
        <v>#N/A</v>
      </c>
      <c r="AH300" s="230" t="e">
        <f>T300-HLOOKUP(V300,Minimas!$C$3:$CD$12,8,FALSE)</f>
        <v>#N/A</v>
      </c>
      <c r="AI300" s="230" t="e">
        <f>T300-HLOOKUP(V300,Minimas!$C$3:$CD$12,9,FALSE)</f>
        <v>#N/A</v>
      </c>
      <c r="AJ300" s="230" t="e">
        <f>T300-HLOOKUP(V300,Minimas!$C$3:$CD$12,10,FALSE)</f>
        <v>#N/A</v>
      </c>
      <c r="AK300" s="231" t="str">
        <f t="shared" si="90"/>
        <v xml:space="preserve"> </v>
      </c>
      <c r="AL300" s="232"/>
      <c r="AM300" s="232" t="str">
        <f t="shared" si="91"/>
        <v xml:space="preserve"> </v>
      </c>
      <c r="AN300" s="232" t="str">
        <f t="shared" si="92"/>
        <v xml:space="preserve"> </v>
      </c>
    </row>
    <row r="301" spans="28:40" x14ac:dyDescent="0.25">
      <c r="AB301" s="230" t="e">
        <f>T301-HLOOKUP(V301,Minimas!$C$3:$CD$12,2,FALSE)</f>
        <v>#N/A</v>
      </c>
      <c r="AC301" s="230" t="e">
        <f>T301-HLOOKUP(V301,Minimas!$C$3:$CD$12,3,FALSE)</f>
        <v>#N/A</v>
      </c>
      <c r="AD301" s="230" t="e">
        <f>T301-HLOOKUP(V301,Minimas!$C$3:$CD$12,4,FALSE)</f>
        <v>#N/A</v>
      </c>
      <c r="AE301" s="230" t="e">
        <f>T301-HLOOKUP(V301,Minimas!$C$3:$CD$12,5,FALSE)</f>
        <v>#N/A</v>
      </c>
      <c r="AF301" s="230" t="e">
        <f>T301-HLOOKUP(V301,Minimas!$C$3:$CD$12,6,FALSE)</f>
        <v>#N/A</v>
      </c>
      <c r="AG301" s="230" t="e">
        <f>T301-HLOOKUP(V301,Minimas!$C$3:$CD$12,7,FALSE)</f>
        <v>#N/A</v>
      </c>
      <c r="AH301" s="230" t="e">
        <f>T301-HLOOKUP(V301,Minimas!$C$3:$CD$12,8,FALSE)</f>
        <v>#N/A</v>
      </c>
      <c r="AI301" s="230" t="e">
        <f>T301-HLOOKUP(V301,Minimas!$C$3:$CD$12,9,FALSE)</f>
        <v>#N/A</v>
      </c>
      <c r="AJ301" s="230" t="e">
        <f>T301-HLOOKUP(V301,Minimas!$C$3:$CD$12,10,FALSE)</f>
        <v>#N/A</v>
      </c>
      <c r="AK301" s="231" t="str">
        <f t="shared" si="90"/>
        <v xml:space="preserve"> </v>
      </c>
      <c r="AL301" s="232"/>
      <c r="AM301" s="232" t="str">
        <f t="shared" si="91"/>
        <v xml:space="preserve"> </v>
      </c>
      <c r="AN301" s="232" t="str">
        <f t="shared" si="92"/>
        <v xml:space="preserve"> </v>
      </c>
    </row>
    <row r="302" spans="28:40" x14ac:dyDescent="0.25">
      <c r="AB302" s="230" t="e">
        <f>T302-HLOOKUP(V302,Minimas!$C$3:$CD$12,2,FALSE)</f>
        <v>#N/A</v>
      </c>
      <c r="AC302" s="230" t="e">
        <f>T302-HLOOKUP(V302,Minimas!$C$3:$CD$12,3,FALSE)</f>
        <v>#N/A</v>
      </c>
      <c r="AD302" s="230" t="e">
        <f>T302-HLOOKUP(V302,Minimas!$C$3:$CD$12,4,FALSE)</f>
        <v>#N/A</v>
      </c>
      <c r="AE302" s="230" t="e">
        <f>T302-HLOOKUP(V302,Minimas!$C$3:$CD$12,5,FALSE)</f>
        <v>#N/A</v>
      </c>
      <c r="AF302" s="230" t="e">
        <f>T302-HLOOKUP(V302,Minimas!$C$3:$CD$12,6,FALSE)</f>
        <v>#N/A</v>
      </c>
      <c r="AG302" s="230" t="e">
        <f>T302-HLOOKUP(V302,Minimas!$C$3:$CD$12,7,FALSE)</f>
        <v>#N/A</v>
      </c>
      <c r="AH302" s="230" t="e">
        <f>T302-HLOOKUP(V302,Minimas!$C$3:$CD$12,8,FALSE)</f>
        <v>#N/A</v>
      </c>
      <c r="AI302" s="230" t="e">
        <f>T302-HLOOKUP(V302,Minimas!$C$3:$CD$12,9,FALSE)</f>
        <v>#N/A</v>
      </c>
      <c r="AJ302" s="230" t="e">
        <f>T302-HLOOKUP(V302,Minimas!$C$3:$CD$12,10,FALSE)</f>
        <v>#N/A</v>
      </c>
      <c r="AK302" s="231" t="str">
        <f t="shared" si="90"/>
        <v xml:space="preserve"> </v>
      </c>
      <c r="AL302" s="232"/>
      <c r="AM302" s="232" t="str">
        <f t="shared" si="91"/>
        <v xml:space="preserve"> </v>
      </c>
      <c r="AN302" s="232" t="str">
        <f t="shared" si="92"/>
        <v xml:space="preserve"> </v>
      </c>
    </row>
    <row r="303" spans="28:40" x14ac:dyDescent="0.25">
      <c r="AB303" s="230" t="e">
        <f>T303-HLOOKUP(V303,Minimas!$C$3:$CD$12,2,FALSE)</f>
        <v>#N/A</v>
      </c>
      <c r="AC303" s="230" t="e">
        <f>T303-HLOOKUP(V303,Minimas!$C$3:$CD$12,3,FALSE)</f>
        <v>#N/A</v>
      </c>
      <c r="AD303" s="230" t="e">
        <f>T303-HLOOKUP(V303,Minimas!$C$3:$CD$12,4,FALSE)</f>
        <v>#N/A</v>
      </c>
      <c r="AE303" s="230" t="e">
        <f>T303-HLOOKUP(V303,Minimas!$C$3:$CD$12,5,FALSE)</f>
        <v>#N/A</v>
      </c>
      <c r="AF303" s="230" t="e">
        <f>T303-HLOOKUP(V303,Minimas!$C$3:$CD$12,6,FALSE)</f>
        <v>#N/A</v>
      </c>
      <c r="AG303" s="230" t="e">
        <f>T303-HLOOKUP(V303,Minimas!$C$3:$CD$12,7,FALSE)</f>
        <v>#N/A</v>
      </c>
      <c r="AH303" s="230" t="e">
        <f>T303-HLOOKUP(V303,Minimas!$C$3:$CD$12,8,FALSE)</f>
        <v>#N/A</v>
      </c>
      <c r="AI303" s="230" t="e">
        <f>T303-HLOOKUP(V303,Minimas!$C$3:$CD$12,9,FALSE)</f>
        <v>#N/A</v>
      </c>
      <c r="AJ303" s="230" t="e">
        <f>T303-HLOOKUP(V303,Minimas!$C$3:$CD$12,10,FALSE)</f>
        <v>#N/A</v>
      </c>
      <c r="AK303" s="231" t="str">
        <f t="shared" si="90"/>
        <v xml:space="preserve"> </v>
      </c>
      <c r="AL303" s="232"/>
      <c r="AM303" s="232" t="str">
        <f t="shared" si="91"/>
        <v xml:space="preserve"> </v>
      </c>
      <c r="AN303" s="232" t="str">
        <f t="shared" si="92"/>
        <v xml:space="preserve"> </v>
      </c>
    </row>
    <row r="304" spans="28:40" x14ac:dyDescent="0.25">
      <c r="AB304" s="230" t="e">
        <f>T304-HLOOKUP(V304,Minimas!$C$3:$CD$12,2,FALSE)</f>
        <v>#N/A</v>
      </c>
      <c r="AC304" s="230" t="e">
        <f>T304-HLOOKUP(V304,Minimas!$C$3:$CD$12,3,FALSE)</f>
        <v>#N/A</v>
      </c>
      <c r="AD304" s="230" t="e">
        <f>T304-HLOOKUP(V304,Minimas!$C$3:$CD$12,4,FALSE)</f>
        <v>#N/A</v>
      </c>
      <c r="AE304" s="230" t="e">
        <f>T304-HLOOKUP(V304,Minimas!$C$3:$CD$12,5,FALSE)</f>
        <v>#N/A</v>
      </c>
      <c r="AF304" s="230" t="e">
        <f>T304-HLOOKUP(V304,Minimas!$C$3:$CD$12,6,FALSE)</f>
        <v>#N/A</v>
      </c>
      <c r="AG304" s="230" t="e">
        <f>T304-HLOOKUP(V304,Minimas!$C$3:$CD$12,7,FALSE)</f>
        <v>#N/A</v>
      </c>
      <c r="AH304" s="230" t="e">
        <f>T304-HLOOKUP(V304,Minimas!$C$3:$CD$12,8,FALSE)</f>
        <v>#N/A</v>
      </c>
      <c r="AI304" s="230" t="e">
        <f>T304-HLOOKUP(V304,Minimas!$C$3:$CD$12,9,FALSE)</f>
        <v>#N/A</v>
      </c>
      <c r="AJ304" s="230" t="e">
        <f>T304-HLOOKUP(V304,Minimas!$C$3:$CD$12,10,FALSE)</f>
        <v>#N/A</v>
      </c>
      <c r="AK304" s="231" t="str">
        <f t="shared" si="90"/>
        <v xml:space="preserve"> </v>
      </c>
      <c r="AL304" s="232"/>
      <c r="AM304" s="232" t="str">
        <f t="shared" si="91"/>
        <v xml:space="preserve"> </v>
      </c>
      <c r="AN304" s="232" t="str">
        <f t="shared" si="92"/>
        <v xml:space="preserve"> </v>
      </c>
    </row>
    <row r="305" spans="28:40" x14ac:dyDescent="0.25">
      <c r="AB305" s="230" t="e">
        <f>T305-HLOOKUP(V305,Minimas!$C$3:$CD$12,2,FALSE)</f>
        <v>#N/A</v>
      </c>
      <c r="AC305" s="230" t="e">
        <f>T305-HLOOKUP(V305,Minimas!$C$3:$CD$12,3,FALSE)</f>
        <v>#N/A</v>
      </c>
      <c r="AD305" s="230" t="e">
        <f>T305-HLOOKUP(V305,Minimas!$C$3:$CD$12,4,FALSE)</f>
        <v>#N/A</v>
      </c>
      <c r="AE305" s="230" t="e">
        <f>T305-HLOOKUP(V305,Minimas!$C$3:$CD$12,5,FALSE)</f>
        <v>#N/A</v>
      </c>
      <c r="AF305" s="230" t="e">
        <f>T305-HLOOKUP(V305,Minimas!$C$3:$CD$12,6,FALSE)</f>
        <v>#N/A</v>
      </c>
      <c r="AG305" s="230" t="e">
        <f>T305-HLOOKUP(V305,Minimas!$C$3:$CD$12,7,FALSE)</f>
        <v>#N/A</v>
      </c>
      <c r="AH305" s="230" t="e">
        <f>T305-HLOOKUP(V305,Minimas!$C$3:$CD$12,8,FALSE)</f>
        <v>#N/A</v>
      </c>
      <c r="AI305" s="230" t="e">
        <f>T305-HLOOKUP(V305,Minimas!$C$3:$CD$12,9,FALSE)</f>
        <v>#N/A</v>
      </c>
      <c r="AJ305" s="230" t="e">
        <f>T305-HLOOKUP(V305,Minimas!$C$3:$CD$12,10,FALSE)</f>
        <v>#N/A</v>
      </c>
      <c r="AK305" s="231" t="str">
        <f t="shared" si="90"/>
        <v xml:space="preserve"> </v>
      </c>
      <c r="AL305" s="232"/>
      <c r="AM305" s="232" t="str">
        <f t="shared" si="91"/>
        <v xml:space="preserve"> </v>
      </c>
      <c r="AN305" s="232" t="str">
        <f t="shared" si="92"/>
        <v xml:space="preserve"> </v>
      </c>
    </row>
    <row r="306" spans="28:40" x14ac:dyDescent="0.25">
      <c r="AB306" s="230" t="e">
        <f>T306-HLOOKUP(V306,Minimas!$C$3:$CD$12,2,FALSE)</f>
        <v>#N/A</v>
      </c>
      <c r="AC306" s="230" t="e">
        <f>T306-HLOOKUP(V306,Minimas!$C$3:$CD$12,3,FALSE)</f>
        <v>#N/A</v>
      </c>
      <c r="AD306" s="230" t="e">
        <f>T306-HLOOKUP(V306,Minimas!$C$3:$CD$12,4,FALSE)</f>
        <v>#N/A</v>
      </c>
      <c r="AE306" s="230" t="e">
        <f>T306-HLOOKUP(V306,Minimas!$C$3:$CD$12,5,FALSE)</f>
        <v>#N/A</v>
      </c>
      <c r="AF306" s="230" t="e">
        <f>T306-HLOOKUP(V306,Minimas!$C$3:$CD$12,6,FALSE)</f>
        <v>#N/A</v>
      </c>
      <c r="AG306" s="230" t="e">
        <f>T306-HLOOKUP(V306,Minimas!$C$3:$CD$12,7,FALSE)</f>
        <v>#N/A</v>
      </c>
      <c r="AH306" s="230" t="e">
        <f>T306-HLOOKUP(V306,Minimas!$C$3:$CD$12,8,FALSE)</f>
        <v>#N/A</v>
      </c>
      <c r="AI306" s="230" t="e">
        <f>T306-HLOOKUP(V306,Minimas!$C$3:$CD$12,9,FALSE)</f>
        <v>#N/A</v>
      </c>
      <c r="AJ306" s="230" t="e">
        <f>T306-HLOOKUP(V306,Minimas!$C$3:$CD$12,10,FALSE)</f>
        <v>#N/A</v>
      </c>
      <c r="AK306" s="231" t="str">
        <f t="shared" si="90"/>
        <v xml:space="preserve"> </v>
      </c>
      <c r="AL306" s="232"/>
      <c r="AM306" s="232" t="str">
        <f t="shared" si="91"/>
        <v xml:space="preserve"> </v>
      </c>
      <c r="AN306" s="232" t="str">
        <f t="shared" si="92"/>
        <v xml:space="preserve"> </v>
      </c>
    </row>
    <row r="307" spans="28:40" x14ac:dyDescent="0.25">
      <c r="AB307" s="230" t="e">
        <f>T307-HLOOKUP(V307,Minimas!$C$3:$CD$12,2,FALSE)</f>
        <v>#N/A</v>
      </c>
      <c r="AC307" s="230" t="e">
        <f>T307-HLOOKUP(V307,Minimas!$C$3:$CD$12,3,FALSE)</f>
        <v>#N/A</v>
      </c>
      <c r="AD307" s="230" t="e">
        <f>T307-HLOOKUP(V307,Minimas!$C$3:$CD$12,4,FALSE)</f>
        <v>#N/A</v>
      </c>
      <c r="AE307" s="230" t="e">
        <f>T307-HLOOKUP(V307,Minimas!$C$3:$CD$12,5,FALSE)</f>
        <v>#N/A</v>
      </c>
      <c r="AF307" s="230" t="e">
        <f>T307-HLOOKUP(V307,Minimas!$C$3:$CD$12,6,FALSE)</f>
        <v>#N/A</v>
      </c>
      <c r="AG307" s="230" t="e">
        <f>T307-HLOOKUP(V307,Minimas!$C$3:$CD$12,7,FALSE)</f>
        <v>#N/A</v>
      </c>
      <c r="AH307" s="230" t="e">
        <f>T307-HLOOKUP(V307,Minimas!$C$3:$CD$12,8,FALSE)</f>
        <v>#N/A</v>
      </c>
      <c r="AI307" s="230" t="e">
        <f>T307-HLOOKUP(V307,Minimas!$C$3:$CD$12,9,FALSE)</f>
        <v>#N/A</v>
      </c>
      <c r="AJ307" s="230" t="e">
        <f>T307-HLOOKUP(V307,Minimas!$C$3:$CD$12,10,FALSE)</f>
        <v>#N/A</v>
      </c>
      <c r="AK307" s="231" t="str">
        <f t="shared" si="90"/>
        <v xml:space="preserve"> </v>
      </c>
      <c r="AL307" s="232"/>
      <c r="AM307" s="232" t="str">
        <f t="shared" si="91"/>
        <v xml:space="preserve"> </v>
      </c>
      <c r="AN307" s="232" t="str">
        <f t="shared" si="92"/>
        <v xml:space="preserve"> </v>
      </c>
    </row>
    <row r="308" spans="28:40" x14ac:dyDescent="0.25">
      <c r="AB308" s="230" t="e">
        <f>T308-HLOOKUP(V308,Minimas!$C$3:$CD$12,2,FALSE)</f>
        <v>#N/A</v>
      </c>
      <c r="AC308" s="230" t="e">
        <f>T308-HLOOKUP(V308,Minimas!$C$3:$CD$12,3,FALSE)</f>
        <v>#N/A</v>
      </c>
      <c r="AD308" s="230" t="e">
        <f>T308-HLOOKUP(V308,Minimas!$C$3:$CD$12,4,FALSE)</f>
        <v>#N/A</v>
      </c>
      <c r="AE308" s="230" t="e">
        <f>T308-HLOOKUP(V308,Minimas!$C$3:$CD$12,5,FALSE)</f>
        <v>#N/A</v>
      </c>
      <c r="AF308" s="230" t="e">
        <f>T308-HLOOKUP(V308,Minimas!$C$3:$CD$12,6,FALSE)</f>
        <v>#N/A</v>
      </c>
      <c r="AG308" s="230" t="e">
        <f>T308-HLOOKUP(V308,Minimas!$C$3:$CD$12,7,FALSE)</f>
        <v>#N/A</v>
      </c>
      <c r="AH308" s="230" t="e">
        <f>T308-HLOOKUP(V308,Minimas!$C$3:$CD$12,8,FALSE)</f>
        <v>#N/A</v>
      </c>
      <c r="AI308" s="230" t="e">
        <f>T308-HLOOKUP(V308,Minimas!$C$3:$CD$12,9,FALSE)</f>
        <v>#N/A</v>
      </c>
      <c r="AJ308" s="230" t="e">
        <f>T308-HLOOKUP(V308,Minimas!$C$3:$CD$12,10,FALSE)</f>
        <v>#N/A</v>
      </c>
      <c r="AK308" s="231" t="str">
        <f t="shared" si="90"/>
        <v xml:space="preserve"> </v>
      </c>
      <c r="AL308" s="232"/>
      <c r="AM308" s="232" t="str">
        <f t="shared" si="91"/>
        <v xml:space="preserve"> </v>
      </c>
      <c r="AN308" s="232" t="str">
        <f t="shared" si="92"/>
        <v xml:space="preserve"> </v>
      </c>
    </row>
    <row r="309" spans="28:40" x14ac:dyDescent="0.25">
      <c r="AB309" s="230" t="e">
        <f>T309-HLOOKUP(V309,Minimas!$C$3:$CD$12,2,FALSE)</f>
        <v>#N/A</v>
      </c>
      <c r="AC309" s="230" t="e">
        <f>T309-HLOOKUP(V309,Minimas!$C$3:$CD$12,3,FALSE)</f>
        <v>#N/A</v>
      </c>
      <c r="AD309" s="230" t="e">
        <f>T309-HLOOKUP(V309,Minimas!$C$3:$CD$12,4,FALSE)</f>
        <v>#N/A</v>
      </c>
      <c r="AE309" s="230" t="e">
        <f>T309-HLOOKUP(V309,Minimas!$C$3:$CD$12,5,FALSE)</f>
        <v>#N/A</v>
      </c>
      <c r="AF309" s="230" t="e">
        <f>T309-HLOOKUP(V309,Minimas!$C$3:$CD$12,6,FALSE)</f>
        <v>#N/A</v>
      </c>
      <c r="AG309" s="230" t="e">
        <f>T309-HLOOKUP(V309,Minimas!$C$3:$CD$12,7,FALSE)</f>
        <v>#N/A</v>
      </c>
      <c r="AH309" s="230" t="e">
        <f>T309-HLOOKUP(V309,Minimas!$C$3:$CD$12,8,FALSE)</f>
        <v>#N/A</v>
      </c>
      <c r="AI309" s="230" t="e">
        <f>T309-HLOOKUP(V309,Minimas!$C$3:$CD$12,9,FALSE)</f>
        <v>#N/A</v>
      </c>
      <c r="AJ309" s="230" t="e">
        <f>T309-HLOOKUP(V309,Minimas!$C$3:$CD$12,10,FALSE)</f>
        <v>#N/A</v>
      </c>
      <c r="AK309" s="231" t="str">
        <f t="shared" si="90"/>
        <v xml:space="preserve"> </v>
      </c>
      <c r="AL309" s="232"/>
      <c r="AM309" s="232" t="str">
        <f t="shared" si="91"/>
        <v xml:space="preserve"> </v>
      </c>
      <c r="AN309" s="232" t="str">
        <f t="shared" si="92"/>
        <v xml:space="preserve"> </v>
      </c>
    </row>
    <row r="310" spans="28:40" x14ac:dyDescent="0.25">
      <c r="AB310" s="230" t="e">
        <f>T310-HLOOKUP(V310,Minimas!$C$3:$CD$12,2,FALSE)</f>
        <v>#N/A</v>
      </c>
      <c r="AC310" s="230" t="e">
        <f>T310-HLOOKUP(V310,Minimas!$C$3:$CD$12,3,FALSE)</f>
        <v>#N/A</v>
      </c>
      <c r="AD310" s="230" t="e">
        <f>T310-HLOOKUP(V310,Minimas!$C$3:$CD$12,4,FALSE)</f>
        <v>#N/A</v>
      </c>
      <c r="AE310" s="230" t="e">
        <f>T310-HLOOKUP(V310,Minimas!$C$3:$CD$12,5,FALSE)</f>
        <v>#N/A</v>
      </c>
      <c r="AF310" s="230" t="e">
        <f>T310-HLOOKUP(V310,Minimas!$C$3:$CD$12,6,FALSE)</f>
        <v>#N/A</v>
      </c>
      <c r="AG310" s="230" t="e">
        <f>T310-HLOOKUP(V310,Minimas!$C$3:$CD$12,7,FALSE)</f>
        <v>#N/A</v>
      </c>
      <c r="AH310" s="230" t="e">
        <f>T310-HLOOKUP(V310,Minimas!$C$3:$CD$12,8,FALSE)</f>
        <v>#N/A</v>
      </c>
      <c r="AI310" s="230" t="e">
        <f>T310-HLOOKUP(V310,Minimas!$C$3:$CD$12,9,FALSE)</f>
        <v>#N/A</v>
      </c>
      <c r="AJ310" s="230" t="e">
        <f>T310-HLOOKUP(V310,Minimas!$C$3:$CD$12,10,FALSE)</f>
        <v>#N/A</v>
      </c>
      <c r="AK310" s="231" t="str">
        <f t="shared" si="90"/>
        <v xml:space="preserve"> </v>
      </c>
      <c r="AL310" s="232"/>
      <c r="AM310" s="232" t="str">
        <f t="shared" si="91"/>
        <v xml:space="preserve"> </v>
      </c>
      <c r="AN310" s="232" t="str">
        <f t="shared" si="92"/>
        <v xml:space="preserve"> </v>
      </c>
    </row>
    <row r="311" spans="28:40" x14ac:dyDescent="0.25">
      <c r="AB311" s="230" t="e">
        <f>T311-HLOOKUP(V311,Minimas!$C$3:$CD$12,2,FALSE)</f>
        <v>#N/A</v>
      </c>
      <c r="AC311" s="230" t="e">
        <f>T311-HLOOKUP(V311,Minimas!$C$3:$CD$12,3,FALSE)</f>
        <v>#N/A</v>
      </c>
      <c r="AD311" s="230" t="e">
        <f>T311-HLOOKUP(V311,Minimas!$C$3:$CD$12,4,FALSE)</f>
        <v>#N/A</v>
      </c>
      <c r="AE311" s="230" t="e">
        <f>T311-HLOOKUP(V311,Minimas!$C$3:$CD$12,5,FALSE)</f>
        <v>#N/A</v>
      </c>
      <c r="AF311" s="230" t="e">
        <f>T311-HLOOKUP(V311,Minimas!$C$3:$CD$12,6,FALSE)</f>
        <v>#N/A</v>
      </c>
      <c r="AG311" s="230" t="e">
        <f>T311-HLOOKUP(V311,Minimas!$C$3:$CD$12,7,FALSE)</f>
        <v>#N/A</v>
      </c>
      <c r="AH311" s="230" t="e">
        <f>T311-HLOOKUP(V311,Minimas!$C$3:$CD$12,8,FALSE)</f>
        <v>#N/A</v>
      </c>
      <c r="AI311" s="230" t="e">
        <f>T311-HLOOKUP(V311,Minimas!$C$3:$CD$12,9,FALSE)</f>
        <v>#N/A</v>
      </c>
      <c r="AJ311" s="230" t="e">
        <f>T311-HLOOKUP(V311,Minimas!$C$3:$CD$12,10,FALSE)</f>
        <v>#N/A</v>
      </c>
      <c r="AK311" s="231" t="str">
        <f t="shared" si="90"/>
        <v xml:space="preserve"> </v>
      </c>
      <c r="AL311" s="232"/>
      <c r="AM311" s="232" t="str">
        <f t="shared" si="91"/>
        <v xml:space="preserve"> </v>
      </c>
      <c r="AN311" s="232" t="str">
        <f t="shared" si="92"/>
        <v xml:space="preserve"> </v>
      </c>
    </row>
    <row r="312" spans="28:40" x14ac:dyDescent="0.25">
      <c r="AB312" s="230" t="e">
        <f>T312-HLOOKUP(V312,Minimas!$C$3:$CD$12,2,FALSE)</f>
        <v>#N/A</v>
      </c>
      <c r="AC312" s="230" t="e">
        <f>T312-HLOOKUP(V312,Minimas!$C$3:$CD$12,3,FALSE)</f>
        <v>#N/A</v>
      </c>
      <c r="AD312" s="230" t="e">
        <f>T312-HLOOKUP(V312,Minimas!$C$3:$CD$12,4,FALSE)</f>
        <v>#N/A</v>
      </c>
      <c r="AE312" s="230" t="e">
        <f>T312-HLOOKUP(V312,Minimas!$C$3:$CD$12,5,FALSE)</f>
        <v>#N/A</v>
      </c>
      <c r="AF312" s="230" t="e">
        <f>T312-HLOOKUP(V312,Minimas!$C$3:$CD$12,6,FALSE)</f>
        <v>#N/A</v>
      </c>
      <c r="AG312" s="230" t="e">
        <f>T312-HLOOKUP(V312,Minimas!$C$3:$CD$12,7,FALSE)</f>
        <v>#N/A</v>
      </c>
      <c r="AH312" s="230" t="e">
        <f>T312-HLOOKUP(V312,Minimas!$C$3:$CD$12,8,FALSE)</f>
        <v>#N/A</v>
      </c>
      <c r="AI312" s="230" t="e">
        <f>T312-HLOOKUP(V312,Minimas!$C$3:$CD$12,9,FALSE)</f>
        <v>#N/A</v>
      </c>
      <c r="AJ312" s="230" t="e">
        <f>T312-HLOOKUP(V312,Minimas!$C$3:$CD$12,10,FALSE)</f>
        <v>#N/A</v>
      </c>
      <c r="AK312" s="231" t="str">
        <f t="shared" si="90"/>
        <v xml:space="preserve"> </v>
      </c>
      <c r="AL312" s="232"/>
      <c r="AM312" s="232" t="str">
        <f t="shared" si="91"/>
        <v xml:space="preserve"> </v>
      </c>
      <c r="AN312" s="232" t="str">
        <f t="shared" si="92"/>
        <v xml:space="preserve"> </v>
      </c>
    </row>
    <row r="313" spans="28:40" x14ac:dyDescent="0.25">
      <c r="AB313" s="230" t="e">
        <f>T313-HLOOKUP(V313,Minimas!$C$3:$CD$12,2,FALSE)</f>
        <v>#N/A</v>
      </c>
      <c r="AC313" s="230" t="e">
        <f>T313-HLOOKUP(V313,Minimas!$C$3:$CD$12,3,FALSE)</f>
        <v>#N/A</v>
      </c>
      <c r="AD313" s="230" t="e">
        <f>T313-HLOOKUP(V313,Minimas!$C$3:$CD$12,4,FALSE)</f>
        <v>#N/A</v>
      </c>
      <c r="AE313" s="230" t="e">
        <f>T313-HLOOKUP(V313,Minimas!$C$3:$CD$12,5,FALSE)</f>
        <v>#N/A</v>
      </c>
      <c r="AF313" s="230" t="e">
        <f>T313-HLOOKUP(V313,Minimas!$C$3:$CD$12,6,FALSE)</f>
        <v>#N/A</v>
      </c>
      <c r="AG313" s="230" t="e">
        <f>T313-HLOOKUP(V313,Minimas!$C$3:$CD$12,7,FALSE)</f>
        <v>#N/A</v>
      </c>
      <c r="AH313" s="230" t="e">
        <f>T313-HLOOKUP(V313,Minimas!$C$3:$CD$12,8,FALSE)</f>
        <v>#N/A</v>
      </c>
      <c r="AI313" s="230" t="e">
        <f>T313-HLOOKUP(V313,Minimas!$C$3:$CD$12,9,FALSE)</f>
        <v>#N/A</v>
      </c>
      <c r="AJ313" s="230" t="e">
        <f>T313-HLOOKUP(V313,Minimas!$C$3:$CD$12,10,FALSE)</f>
        <v>#N/A</v>
      </c>
      <c r="AK313" s="231" t="str">
        <f t="shared" si="90"/>
        <v xml:space="preserve"> </v>
      </c>
      <c r="AL313" s="232"/>
      <c r="AM313" s="232" t="str">
        <f t="shared" si="91"/>
        <v xml:space="preserve"> </v>
      </c>
      <c r="AN313" s="232" t="str">
        <f t="shared" si="92"/>
        <v xml:space="preserve"> </v>
      </c>
    </row>
    <row r="314" spans="28:40" x14ac:dyDescent="0.25">
      <c r="AB314" s="230" t="e">
        <f>T314-HLOOKUP(V314,Minimas!$C$3:$CD$12,2,FALSE)</f>
        <v>#N/A</v>
      </c>
      <c r="AC314" s="230" t="e">
        <f>T314-HLOOKUP(V314,Minimas!$C$3:$CD$12,3,FALSE)</f>
        <v>#N/A</v>
      </c>
      <c r="AD314" s="230" t="e">
        <f>T314-HLOOKUP(V314,Minimas!$C$3:$CD$12,4,FALSE)</f>
        <v>#N/A</v>
      </c>
      <c r="AE314" s="230" t="e">
        <f>T314-HLOOKUP(V314,Minimas!$C$3:$CD$12,5,FALSE)</f>
        <v>#N/A</v>
      </c>
      <c r="AF314" s="230" t="e">
        <f>T314-HLOOKUP(V314,Minimas!$C$3:$CD$12,6,FALSE)</f>
        <v>#N/A</v>
      </c>
      <c r="AG314" s="230" t="e">
        <f>T314-HLOOKUP(V314,Minimas!$C$3:$CD$12,7,FALSE)</f>
        <v>#N/A</v>
      </c>
      <c r="AH314" s="230" t="e">
        <f>T314-HLOOKUP(V314,Minimas!$C$3:$CD$12,8,FALSE)</f>
        <v>#N/A</v>
      </c>
      <c r="AI314" s="230" t="e">
        <f>T314-HLOOKUP(V314,Minimas!$C$3:$CD$12,9,FALSE)</f>
        <v>#N/A</v>
      </c>
      <c r="AJ314" s="230" t="e">
        <f>T314-HLOOKUP(V314,Minimas!$C$3:$CD$12,10,FALSE)</f>
        <v>#N/A</v>
      </c>
      <c r="AK314" s="231" t="str">
        <f t="shared" si="90"/>
        <v xml:space="preserve"> </v>
      </c>
      <c r="AL314" s="232"/>
      <c r="AM314" s="232" t="str">
        <f t="shared" si="91"/>
        <v xml:space="preserve"> </v>
      </c>
      <c r="AN314" s="232" t="str">
        <f t="shared" si="92"/>
        <v xml:space="preserve"> </v>
      </c>
    </row>
    <row r="315" spans="28:40" x14ac:dyDescent="0.25">
      <c r="AB315" s="230" t="e">
        <f>T315-HLOOKUP(V315,Minimas!$C$3:$CD$12,2,FALSE)</f>
        <v>#N/A</v>
      </c>
      <c r="AC315" s="230" t="e">
        <f>T315-HLOOKUP(V315,Minimas!$C$3:$CD$12,3,FALSE)</f>
        <v>#N/A</v>
      </c>
      <c r="AD315" s="230" t="e">
        <f>T315-HLOOKUP(V315,Minimas!$C$3:$CD$12,4,FALSE)</f>
        <v>#N/A</v>
      </c>
      <c r="AE315" s="230" t="e">
        <f>T315-HLOOKUP(V315,Minimas!$C$3:$CD$12,5,FALSE)</f>
        <v>#N/A</v>
      </c>
      <c r="AF315" s="230" t="e">
        <f>T315-HLOOKUP(V315,Minimas!$C$3:$CD$12,6,FALSE)</f>
        <v>#N/A</v>
      </c>
      <c r="AG315" s="230" t="e">
        <f>T315-HLOOKUP(V315,Minimas!$C$3:$CD$12,7,FALSE)</f>
        <v>#N/A</v>
      </c>
      <c r="AH315" s="230" t="e">
        <f>T315-HLOOKUP(V315,Minimas!$C$3:$CD$12,8,FALSE)</f>
        <v>#N/A</v>
      </c>
      <c r="AI315" s="230" t="e">
        <f>T315-HLOOKUP(V315,Minimas!$C$3:$CD$12,9,FALSE)</f>
        <v>#N/A</v>
      </c>
      <c r="AJ315" s="230" t="e">
        <f>T315-HLOOKUP(V315,Minimas!$C$3:$CD$12,10,FALSE)</f>
        <v>#N/A</v>
      </c>
      <c r="AK315" s="231" t="str">
        <f t="shared" si="90"/>
        <v xml:space="preserve"> </v>
      </c>
      <c r="AL315" s="232"/>
      <c r="AM315" s="232" t="str">
        <f t="shared" si="91"/>
        <v xml:space="preserve"> </v>
      </c>
      <c r="AN315" s="232" t="str">
        <f t="shared" si="92"/>
        <v xml:space="preserve"> </v>
      </c>
    </row>
    <row r="316" spans="28:40" x14ac:dyDescent="0.25">
      <c r="AB316" s="230" t="e">
        <f>T316-HLOOKUP(V316,Minimas!$C$3:$CD$12,2,FALSE)</f>
        <v>#N/A</v>
      </c>
      <c r="AC316" s="230" t="e">
        <f>T316-HLOOKUP(V316,Minimas!$C$3:$CD$12,3,FALSE)</f>
        <v>#N/A</v>
      </c>
      <c r="AD316" s="230" t="e">
        <f>T316-HLOOKUP(V316,Minimas!$C$3:$CD$12,4,FALSE)</f>
        <v>#N/A</v>
      </c>
      <c r="AE316" s="230" t="e">
        <f>T316-HLOOKUP(V316,Minimas!$C$3:$CD$12,5,FALSE)</f>
        <v>#N/A</v>
      </c>
      <c r="AF316" s="230" t="e">
        <f>T316-HLOOKUP(V316,Minimas!$C$3:$CD$12,6,FALSE)</f>
        <v>#N/A</v>
      </c>
      <c r="AG316" s="230" t="e">
        <f>T316-HLOOKUP(V316,Minimas!$C$3:$CD$12,7,FALSE)</f>
        <v>#N/A</v>
      </c>
      <c r="AH316" s="230" t="e">
        <f>T316-HLOOKUP(V316,Minimas!$C$3:$CD$12,8,FALSE)</f>
        <v>#N/A</v>
      </c>
      <c r="AI316" s="230" t="e">
        <f>T316-HLOOKUP(V316,Minimas!$C$3:$CD$12,9,FALSE)</f>
        <v>#N/A</v>
      </c>
      <c r="AJ316" s="230" t="e">
        <f>T316-HLOOKUP(V316,Minimas!$C$3:$CD$12,10,FALSE)</f>
        <v>#N/A</v>
      </c>
      <c r="AK316" s="231" t="str">
        <f t="shared" si="90"/>
        <v xml:space="preserve"> </v>
      </c>
      <c r="AL316" s="232"/>
      <c r="AM316" s="232" t="str">
        <f t="shared" si="91"/>
        <v xml:space="preserve"> </v>
      </c>
      <c r="AN316" s="232" t="str">
        <f t="shared" si="92"/>
        <v xml:space="preserve"> </v>
      </c>
    </row>
    <row r="317" spans="28:40" x14ac:dyDescent="0.25">
      <c r="AB317" s="230" t="e">
        <f>T317-HLOOKUP(V317,Minimas!$C$3:$CD$12,2,FALSE)</f>
        <v>#N/A</v>
      </c>
      <c r="AC317" s="230" t="e">
        <f>T317-HLOOKUP(V317,Minimas!$C$3:$CD$12,3,FALSE)</f>
        <v>#N/A</v>
      </c>
      <c r="AD317" s="230" t="e">
        <f>T317-HLOOKUP(V317,Minimas!$C$3:$CD$12,4,FALSE)</f>
        <v>#N/A</v>
      </c>
      <c r="AE317" s="230" t="e">
        <f>T317-HLOOKUP(V317,Minimas!$C$3:$CD$12,5,FALSE)</f>
        <v>#N/A</v>
      </c>
      <c r="AF317" s="230" t="e">
        <f>T317-HLOOKUP(V317,Minimas!$C$3:$CD$12,6,FALSE)</f>
        <v>#N/A</v>
      </c>
      <c r="AG317" s="230" t="e">
        <f>T317-HLOOKUP(V317,Minimas!$C$3:$CD$12,7,FALSE)</f>
        <v>#N/A</v>
      </c>
      <c r="AH317" s="230" t="e">
        <f>T317-HLOOKUP(V317,Minimas!$C$3:$CD$12,8,FALSE)</f>
        <v>#N/A</v>
      </c>
      <c r="AI317" s="230" t="e">
        <f>T317-HLOOKUP(V317,Minimas!$C$3:$CD$12,9,FALSE)</f>
        <v>#N/A</v>
      </c>
      <c r="AJ317" s="230" t="e">
        <f>T317-HLOOKUP(V317,Minimas!$C$3:$CD$12,10,FALSE)</f>
        <v>#N/A</v>
      </c>
      <c r="AK317" s="231" t="str">
        <f t="shared" si="90"/>
        <v xml:space="preserve"> </v>
      </c>
      <c r="AL317" s="232"/>
      <c r="AM317" s="232" t="str">
        <f t="shared" si="91"/>
        <v xml:space="preserve"> </v>
      </c>
      <c r="AN317" s="232" t="str">
        <f t="shared" si="92"/>
        <v xml:space="preserve"> </v>
      </c>
    </row>
    <row r="318" spans="28:40" x14ac:dyDescent="0.25">
      <c r="AB318" s="230" t="e">
        <f>T318-HLOOKUP(V318,Minimas!$C$3:$CD$12,2,FALSE)</f>
        <v>#N/A</v>
      </c>
      <c r="AC318" s="230" t="e">
        <f>T318-HLOOKUP(V318,Minimas!$C$3:$CD$12,3,FALSE)</f>
        <v>#N/A</v>
      </c>
      <c r="AD318" s="230" t="e">
        <f>T318-HLOOKUP(V318,Minimas!$C$3:$CD$12,4,FALSE)</f>
        <v>#N/A</v>
      </c>
      <c r="AE318" s="230" t="e">
        <f>T318-HLOOKUP(V318,Minimas!$C$3:$CD$12,5,FALSE)</f>
        <v>#N/A</v>
      </c>
      <c r="AF318" s="230" t="e">
        <f>T318-HLOOKUP(V318,Minimas!$C$3:$CD$12,6,FALSE)</f>
        <v>#N/A</v>
      </c>
      <c r="AG318" s="230" t="e">
        <f>T318-HLOOKUP(V318,Minimas!$C$3:$CD$12,7,FALSE)</f>
        <v>#N/A</v>
      </c>
      <c r="AH318" s="230" t="e">
        <f>T318-HLOOKUP(V318,Minimas!$C$3:$CD$12,8,FALSE)</f>
        <v>#N/A</v>
      </c>
      <c r="AI318" s="230" t="e">
        <f>T318-HLOOKUP(V318,Minimas!$C$3:$CD$12,9,FALSE)</f>
        <v>#N/A</v>
      </c>
      <c r="AJ318" s="230" t="e">
        <f>T318-HLOOKUP(V318,Minimas!$C$3:$CD$12,10,FALSE)</f>
        <v>#N/A</v>
      </c>
      <c r="AK318" s="231" t="str">
        <f t="shared" si="90"/>
        <v xml:space="preserve"> </v>
      </c>
      <c r="AL318" s="232"/>
      <c r="AM318" s="232" t="str">
        <f t="shared" si="91"/>
        <v xml:space="preserve"> </v>
      </c>
      <c r="AN318" s="232" t="str">
        <f t="shared" si="92"/>
        <v xml:space="preserve"> </v>
      </c>
    </row>
    <row r="319" spans="28:40" x14ac:dyDescent="0.25">
      <c r="AB319" s="230" t="e">
        <f>T319-HLOOKUP(V319,Minimas!$C$3:$CD$12,2,FALSE)</f>
        <v>#N/A</v>
      </c>
      <c r="AC319" s="230" t="e">
        <f>T319-HLOOKUP(V319,Minimas!$C$3:$CD$12,3,FALSE)</f>
        <v>#N/A</v>
      </c>
      <c r="AD319" s="230" t="e">
        <f>T319-HLOOKUP(V319,Minimas!$C$3:$CD$12,4,FALSE)</f>
        <v>#N/A</v>
      </c>
      <c r="AE319" s="230" t="e">
        <f>T319-HLOOKUP(V319,Minimas!$C$3:$CD$12,5,FALSE)</f>
        <v>#N/A</v>
      </c>
      <c r="AF319" s="230" t="e">
        <f>T319-HLOOKUP(V319,Minimas!$C$3:$CD$12,6,FALSE)</f>
        <v>#N/A</v>
      </c>
      <c r="AG319" s="230" t="e">
        <f>T319-HLOOKUP(V319,Minimas!$C$3:$CD$12,7,FALSE)</f>
        <v>#N/A</v>
      </c>
      <c r="AH319" s="230" t="e">
        <f>T319-HLOOKUP(V319,Minimas!$C$3:$CD$12,8,FALSE)</f>
        <v>#N/A</v>
      </c>
      <c r="AI319" s="230" t="e">
        <f>T319-HLOOKUP(V319,Minimas!$C$3:$CD$12,9,FALSE)</f>
        <v>#N/A</v>
      </c>
      <c r="AJ319" s="230" t="e">
        <f>T319-HLOOKUP(V319,Minimas!$C$3:$CD$12,10,FALSE)</f>
        <v>#N/A</v>
      </c>
      <c r="AK319" s="231" t="str">
        <f t="shared" si="90"/>
        <v xml:space="preserve"> </v>
      </c>
      <c r="AL319" s="232"/>
      <c r="AM319" s="232" t="str">
        <f t="shared" si="91"/>
        <v xml:space="preserve"> </v>
      </c>
      <c r="AN319" s="232" t="str">
        <f t="shared" si="92"/>
        <v xml:space="preserve"> </v>
      </c>
    </row>
    <row r="320" spans="28:40" x14ac:dyDescent="0.25">
      <c r="AB320" s="230" t="e">
        <f>T320-HLOOKUP(V320,Minimas!$C$3:$CD$12,2,FALSE)</f>
        <v>#N/A</v>
      </c>
      <c r="AC320" s="230" t="e">
        <f>T320-HLOOKUP(V320,Minimas!$C$3:$CD$12,3,FALSE)</f>
        <v>#N/A</v>
      </c>
      <c r="AD320" s="230" t="e">
        <f>T320-HLOOKUP(V320,Minimas!$C$3:$CD$12,4,FALSE)</f>
        <v>#N/A</v>
      </c>
      <c r="AE320" s="230" t="e">
        <f>T320-HLOOKUP(V320,Minimas!$C$3:$CD$12,5,FALSE)</f>
        <v>#N/A</v>
      </c>
      <c r="AF320" s="230" t="e">
        <f>T320-HLOOKUP(V320,Minimas!$C$3:$CD$12,6,FALSE)</f>
        <v>#N/A</v>
      </c>
      <c r="AG320" s="230" t="e">
        <f>T320-HLOOKUP(V320,Minimas!$C$3:$CD$12,7,FALSE)</f>
        <v>#N/A</v>
      </c>
      <c r="AH320" s="230" t="e">
        <f>T320-HLOOKUP(V320,Minimas!$C$3:$CD$12,8,FALSE)</f>
        <v>#N/A</v>
      </c>
      <c r="AI320" s="230" t="e">
        <f>T320-HLOOKUP(V320,Minimas!$C$3:$CD$12,9,FALSE)</f>
        <v>#N/A</v>
      </c>
      <c r="AJ320" s="230" t="e">
        <f>T320-HLOOKUP(V320,Minimas!$C$3:$CD$12,10,FALSE)</f>
        <v>#N/A</v>
      </c>
      <c r="AK320" s="231" t="str">
        <f t="shared" si="90"/>
        <v xml:space="preserve"> </v>
      </c>
      <c r="AL320" s="232"/>
      <c r="AM320" s="232" t="str">
        <f t="shared" si="91"/>
        <v xml:space="preserve"> </v>
      </c>
      <c r="AN320" s="232" t="str">
        <f t="shared" si="92"/>
        <v xml:space="preserve"> </v>
      </c>
    </row>
    <row r="321" spans="28:40" x14ac:dyDescent="0.25">
      <c r="AB321" s="230" t="e">
        <f>T321-HLOOKUP(V321,Minimas!$C$3:$CD$12,2,FALSE)</f>
        <v>#N/A</v>
      </c>
      <c r="AC321" s="230" t="e">
        <f>T321-HLOOKUP(V321,Minimas!$C$3:$CD$12,3,FALSE)</f>
        <v>#N/A</v>
      </c>
      <c r="AD321" s="230" t="e">
        <f>T321-HLOOKUP(V321,Minimas!$C$3:$CD$12,4,FALSE)</f>
        <v>#N/A</v>
      </c>
      <c r="AE321" s="230" t="e">
        <f>T321-HLOOKUP(V321,Minimas!$C$3:$CD$12,5,FALSE)</f>
        <v>#N/A</v>
      </c>
      <c r="AF321" s="230" t="e">
        <f>T321-HLOOKUP(V321,Minimas!$C$3:$CD$12,6,FALSE)</f>
        <v>#N/A</v>
      </c>
      <c r="AG321" s="230" t="e">
        <f>T321-HLOOKUP(V321,Minimas!$C$3:$CD$12,7,FALSE)</f>
        <v>#N/A</v>
      </c>
      <c r="AH321" s="230" t="e">
        <f>T321-HLOOKUP(V321,Minimas!$C$3:$CD$12,8,FALSE)</f>
        <v>#N/A</v>
      </c>
      <c r="AI321" s="230" t="e">
        <f>T321-HLOOKUP(V321,Minimas!$C$3:$CD$12,9,FALSE)</f>
        <v>#N/A</v>
      </c>
      <c r="AJ321" s="230" t="e">
        <f>T321-HLOOKUP(V321,Minimas!$C$3:$CD$12,10,FALSE)</f>
        <v>#N/A</v>
      </c>
      <c r="AK321" s="231" t="str">
        <f t="shared" si="90"/>
        <v xml:space="preserve"> </v>
      </c>
      <c r="AL321" s="232"/>
      <c r="AM321" s="232" t="str">
        <f t="shared" si="91"/>
        <v xml:space="preserve"> </v>
      </c>
      <c r="AN321" s="232" t="str">
        <f t="shared" si="92"/>
        <v xml:space="preserve"> </v>
      </c>
    </row>
    <row r="322" spans="28:40" x14ac:dyDescent="0.25">
      <c r="AB322" s="230" t="e">
        <f>T322-HLOOKUP(V322,Minimas!$C$3:$CD$12,2,FALSE)</f>
        <v>#N/A</v>
      </c>
      <c r="AC322" s="230" t="e">
        <f>T322-HLOOKUP(V322,Minimas!$C$3:$CD$12,3,FALSE)</f>
        <v>#N/A</v>
      </c>
      <c r="AD322" s="230" t="e">
        <f>T322-HLOOKUP(V322,Minimas!$C$3:$CD$12,4,FALSE)</f>
        <v>#N/A</v>
      </c>
      <c r="AE322" s="230" t="e">
        <f>T322-HLOOKUP(V322,Minimas!$C$3:$CD$12,5,FALSE)</f>
        <v>#N/A</v>
      </c>
      <c r="AF322" s="230" t="e">
        <f>T322-HLOOKUP(V322,Minimas!$C$3:$CD$12,6,FALSE)</f>
        <v>#N/A</v>
      </c>
      <c r="AG322" s="230" t="e">
        <f>T322-HLOOKUP(V322,Minimas!$C$3:$CD$12,7,FALSE)</f>
        <v>#N/A</v>
      </c>
      <c r="AH322" s="230" t="e">
        <f>T322-HLOOKUP(V322,Minimas!$C$3:$CD$12,8,FALSE)</f>
        <v>#N/A</v>
      </c>
      <c r="AI322" s="230" t="e">
        <f>T322-HLOOKUP(V322,Minimas!$C$3:$CD$12,9,FALSE)</f>
        <v>#N/A</v>
      </c>
      <c r="AJ322" s="230" t="e">
        <f>T322-HLOOKUP(V322,Minimas!$C$3:$CD$12,10,FALSE)</f>
        <v>#N/A</v>
      </c>
      <c r="AK322" s="231" t="str">
        <f t="shared" si="90"/>
        <v xml:space="preserve"> </v>
      </c>
      <c r="AL322" s="232"/>
      <c r="AM322" s="232" t="str">
        <f t="shared" si="91"/>
        <v xml:space="preserve"> </v>
      </c>
      <c r="AN322" s="232" t="str">
        <f t="shared" si="92"/>
        <v xml:space="preserve"> </v>
      </c>
    </row>
    <row r="323" spans="28:40" x14ac:dyDescent="0.25">
      <c r="AB323" s="230" t="e">
        <f>T323-HLOOKUP(V323,Minimas!$C$3:$CD$12,2,FALSE)</f>
        <v>#N/A</v>
      </c>
      <c r="AC323" s="230" t="e">
        <f>T323-HLOOKUP(V323,Minimas!$C$3:$CD$12,3,FALSE)</f>
        <v>#N/A</v>
      </c>
      <c r="AD323" s="230" t="e">
        <f>T323-HLOOKUP(V323,Minimas!$C$3:$CD$12,4,FALSE)</f>
        <v>#N/A</v>
      </c>
      <c r="AE323" s="230" t="e">
        <f>T323-HLOOKUP(V323,Minimas!$C$3:$CD$12,5,FALSE)</f>
        <v>#N/A</v>
      </c>
      <c r="AF323" s="230" t="e">
        <f>T323-HLOOKUP(V323,Minimas!$C$3:$CD$12,6,FALSE)</f>
        <v>#N/A</v>
      </c>
      <c r="AG323" s="230" t="e">
        <f>T323-HLOOKUP(V323,Minimas!$C$3:$CD$12,7,FALSE)</f>
        <v>#N/A</v>
      </c>
      <c r="AH323" s="230" t="e">
        <f>T323-HLOOKUP(V323,Minimas!$C$3:$CD$12,8,FALSE)</f>
        <v>#N/A</v>
      </c>
      <c r="AI323" s="230" t="e">
        <f>T323-HLOOKUP(V323,Minimas!$C$3:$CD$12,9,FALSE)</f>
        <v>#N/A</v>
      </c>
      <c r="AJ323" s="230" t="e">
        <f>T323-HLOOKUP(V323,Minimas!$C$3:$CD$12,10,FALSE)</f>
        <v>#N/A</v>
      </c>
      <c r="AK323" s="231" t="str">
        <f t="shared" si="90"/>
        <v xml:space="preserve"> </v>
      </c>
      <c r="AL323" s="232"/>
      <c r="AM323" s="232" t="str">
        <f t="shared" si="91"/>
        <v xml:space="preserve"> </v>
      </c>
      <c r="AN323" s="232" t="str">
        <f t="shared" si="92"/>
        <v xml:space="preserve"> </v>
      </c>
    </row>
    <row r="324" spans="28:40" x14ac:dyDescent="0.25">
      <c r="AB324" s="230" t="e">
        <f>T324-HLOOKUP(V324,Minimas!$C$3:$CD$12,2,FALSE)</f>
        <v>#N/A</v>
      </c>
      <c r="AC324" s="230" t="e">
        <f>T324-HLOOKUP(V324,Minimas!$C$3:$CD$12,3,FALSE)</f>
        <v>#N/A</v>
      </c>
      <c r="AD324" s="230" t="e">
        <f>T324-HLOOKUP(V324,Minimas!$C$3:$CD$12,4,FALSE)</f>
        <v>#N/A</v>
      </c>
      <c r="AE324" s="230" t="e">
        <f>T324-HLOOKUP(V324,Minimas!$C$3:$CD$12,5,FALSE)</f>
        <v>#N/A</v>
      </c>
      <c r="AF324" s="230" t="e">
        <f>T324-HLOOKUP(V324,Minimas!$C$3:$CD$12,6,FALSE)</f>
        <v>#N/A</v>
      </c>
      <c r="AG324" s="230" t="e">
        <f>T324-HLOOKUP(V324,Minimas!$C$3:$CD$12,7,FALSE)</f>
        <v>#N/A</v>
      </c>
      <c r="AH324" s="230" t="e">
        <f>T324-HLOOKUP(V324,Minimas!$C$3:$CD$12,8,FALSE)</f>
        <v>#N/A</v>
      </c>
      <c r="AI324" s="230" t="e">
        <f>T324-HLOOKUP(V324,Minimas!$C$3:$CD$12,9,FALSE)</f>
        <v>#N/A</v>
      </c>
      <c r="AJ324" s="230" t="e">
        <f>T324-HLOOKUP(V324,Minimas!$C$3:$CD$12,10,FALSE)</f>
        <v>#N/A</v>
      </c>
      <c r="AK324" s="231" t="str">
        <f t="shared" ref="AK324:AK387" si="93">IF(E324=0," ",IF(AJ324&gt;=0,$AJ$5,IF(AI324&gt;=0,$AI$5,IF(AH324&gt;=0,$AH$5,IF(AG324&gt;=0,$AG$5,IF(AF324&gt;=0,$AF$5,IF(AE324&gt;=0,$AE$5,IF(AD324&gt;=0,$AD$5,IF(AC324&gt;=0,$AC$5,$AB$5)))))))))</f>
        <v xml:space="preserve"> </v>
      </c>
      <c r="AL324" s="232"/>
      <c r="AM324" s="232" t="str">
        <f t="shared" ref="AM324:AM387" si="94">IF(AK324="","",AK324)</f>
        <v xml:space="preserve"> </v>
      </c>
      <c r="AN324" s="232" t="str">
        <f t="shared" ref="AN324:AN387" si="95">IF(E324=0," ",IF(AJ324&gt;=0,AJ324,IF(AI324&gt;=0,AI324,IF(AH324&gt;=0,AH324,IF(AG324&gt;=0,AG324,IF(AF324&gt;=0,AF324,IF(AE324&gt;=0,AE324,IF(AD324&gt;=0,AD324,IF(AC324&gt;=0,AC324,AB324)))))))))</f>
        <v xml:space="preserve"> </v>
      </c>
    </row>
    <row r="325" spans="28:40" x14ac:dyDescent="0.25">
      <c r="AB325" s="230" t="e">
        <f>T325-HLOOKUP(V325,Minimas!$C$3:$CD$12,2,FALSE)</f>
        <v>#N/A</v>
      </c>
      <c r="AC325" s="230" t="e">
        <f>T325-HLOOKUP(V325,Minimas!$C$3:$CD$12,3,FALSE)</f>
        <v>#N/A</v>
      </c>
      <c r="AD325" s="230" t="e">
        <f>T325-HLOOKUP(V325,Minimas!$C$3:$CD$12,4,FALSE)</f>
        <v>#N/A</v>
      </c>
      <c r="AE325" s="230" t="e">
        <f>T325-HLOOKUP(V325,Minimas!$C$3:$CD$12,5,FALSE)</f>
        <v>#N/A</v>
      </c>
      <c r="AF325" s="230" t="e">
        <f>T325-HLOOKUP(V325,Minimas!$C$3:$CD$12,6,FALSE)</f>
        <v>#N/A</v>
      </c>
      <c r="AG325" s="230" t="e">
        <f>T325-HLOOKUP(V325,Minimas!$C$3:$CD$12,7,FALSE)</f>
        <v>#N/A</v>
      </c>
      <c r="AH325" s="230" t="e">
        <f>T325-HLOOKUP(V325,Minimas!$C$3:$CD$12,8,FALSE)</f>
        <v>#N/A</v>
      </c>
      <c r="AI325" s="230" t="e">
        <f>T325-HLOOKUP(V325,Minimas!$C$3:$CD$12,9,FALSE)</f>
        <v>#N/A</v>
      </c>
      <c r="AJ325" s="230" t="e">
        <f>T325-HLOOKUP(V325,Minimas!$C$3:$CD$12,10,FALSE)</f>
        <v>#N/A</v>
      </c>
      <c r="AK325" s="231" t="str">
        <f t="shared" si="93"/>
        <v xml:space="preserve"> </v>
      </c>
      <c r="AL325" s="232"/>
      <c r="AM325" s="232" t="str">
        <f t="shared" si="94"/>
        <v xml:space="preserve"> </v>
      </c>
      <c r="AN325" s="232" t="str">
        <f t="shared" si="95"/>
        <v xml:space="preserve"> </v>
      </c>
    </row>
    <row r="326" spans="28:40" x14ac:dyDescent="0.25">
      <c r="AB326" s="230" t="e">
        <f>T326-HLOOKUP(V326,Minimas!$C$3:$CD$12,2,FALSE)</f>
        <v>#N/A</v>
      </c>
      <c r="AC326" s="230" t="e">
        <f>T326-HLOOKUP(V326,Minimas!$C$3:$CD$12,3,FALSE)</f>
        <v>#N/A</v>
      </c>
      <c r="AD326" s="230" t="e">
        <f>T326-HLOOKUP(V326,Minimas!$C$3:$CD$12,4,FALSE)</f>
        <v>#N/A</v>
      </c>
      <c r="AE326" s="230" t="e">
        <f>T326-HLOOKUP(V326,Minimas!$C$3:$CD$12,5,FALSE)</f>
        <v>#N/A</v>
      </c>
      <c r="AF326" s="230" t="e">
        <f>T326-HLOOKUP(V326,Minimas!$C$3:$CD$12,6,FALSE)</f>
        <v>#N/A</v>
      </c>
      <c r="AG326" s="230" t="e">
        <f>T326-HLOOKUP(V326,Minimas!$C$3:$CD$12,7,FALSE)</f>
        <v>#N/A</v>
      </c>
      <c r="AH326" s="230" t="e">
        <f>T326-HLOOKUP(V326,Minimas!$C$3:$CD$12,8,FALSE)</f>
        <v>#N/A</v>
      </c>
      <c r="AI326" s="230" t="e">
        <f>T326-HLOOKUP(V326,Minimas!$C$3:$CD$12,9,FALSE)</f>
        <v>#N/A</v>
      </c>
      <c r="AJ326" s="230" t="e">
        <f>T326-HLOOKUP(V326,Minimas!$C$3:$CD$12,10,FALSE)</f>
        <v>#N/A</v>
      </c>
      <c r="AK326" s="231" t="str">
        <f t="shared" si="93"/>
        <v xml:space="preserve"> </v>
      </c>
      <c r="AL326" s="232"/>
      <c r="AM326" s="232" t="str">
        <f t="shared" si="94"/>
        <v xml:space="preserve"> </v>
      </c>
      <c r="AN326" s="232" t="str">
        <f t="shared" si="95"/>
        <v xml:space="preserve"> </v>
      </c>
    </row>
    <row r="327" spans="28:40" x14ac:dyDescent="0.25">
      <c r="AB327" s="230" t="e">
        <f>T327-HLOOKUP(V327,Minimas!$C$3:$CD$12,2,FALSE)</f>
        <v>#N/A</v>
      </c>
      <c r="AC327" s="230" t="e">
        <f>T327-HLOOKUP(V327,Minimas!$C$3:$CD$12,3,FALSE)</f>
        <v>#N/A</v>
      </c>
      <c r="AD327" s="230" t="e">
        <f>T327-HLOOKUP(V327,Minimas!$C$3:$CD$12,4,FALSE)</f>
        <v>#N/A</v>
      </c>
      <c r="AE327" s="230" t="e">
        <f>T327-HLOOKUP(V327,Minimas!$C$3:$CD$12,5,FALSE)</f>
        <v>#N/A</v>
      </c>
      <c r="AF327" s="230" t="e">
        <f>T327-HLOOKUP(V327,Minimas!$C$3:$CD$12,6,FALSE)</f>
        <v>#N/A</v>
      </c>
      <c r="AG327" s="230" t="e">
        <f>T327-HLOOKUP(V327,Minimas!$C$3:$CD$12,7,FALSE)</f>
        <v>#N/A</v>
      </c>
      <c r="AH327" s="230" t="e">
        <f>T327-HLOOKUP(V327,Minimas!$C$3:$CD$12,8,FALSE)</f>
        <v>#N/A</v>
      </c>
      <c r="AI327" s="230" t="e">
        <f>T327-HLOOKUP(V327,Minimas!$C$3:$CD$12,9,FALSE)</f>
        <v>#N/A</v>
      </c>
      <c r="AJ327" s="230" t="e">
        <f>T327-HLOOKUP(V327,Minimas!$C$3:$CD$12,10,FALSE)</f>
        <v>#N/A</v>
      </c>
      <c r="AK327" s="231" t="str">
        <f t="shared" si="93"/>
        <v xml:space="preserve"> </v>
      </c>
      <c r="AL327" s="232"/>
      <c r="AM327" s="232" t="str">
        <f t="shared" si="94"/>
        <v xml:space="preserve"> </v>
      </c>
      <c r="AN327" s="232" t="str">
        <f t="shared" si="95"/>
        <v xml:space="preserve"> </v>
      </c>
    </row>
    <row r="328" spans="28:40" x14ac:dyDescent="0.25">
      <c r="AB328" s="230" t="e">
        <f>T328-HLOOKUP(V328,Minimas!$C$3:$CD$12,2,FALSE)</f>
        <v>#N/A</v>
      </c>
      <c r="AC328" s="230" t="e">
        <f>T328-HLOOKUP(V328,Minimas!$C$3:$CD$12,3,FALSE)</f>
        <v>#N/A</v>
      </c>
      <c r="AD328" s="230" t="e">
        <f>T328-HLOOKUP(V328,Minimas!$C$3:$CD$12,4,FALSE)</f>
        <v>#N/A</v>
      </c>
      <c r="AE328" s="230" t="e">
        <f>T328-HLOOKUP(V328,Minimas!$C$3:$CD$12,5,FALSE)</f>
        <v>#N/A</v>
      </c>
      <c r="AF328" s="230" t="e">
        <f>T328-HLOOKUP(V328,Minimas!$C$3:$CD$12,6,FALSE)</f>
        <v>#N/A</v>
      </c>
      <c r="AG328" s="230" t="e">
        <f>T328-HLOOKUP(V328,Minimas!$C$3:$CD$12,7,FALSE)</f>
        <v>#N/A</v>
      </c>
      <c r="AH328" s="230" t="e">
        <f>T328-HLOOKUP(V328,Minimas!$C$3:$CD$12,8,FALSE)</f>
        <v>#N/A</v>
      </c>
      <c r="AI328" s="230" t="e">
        <f>T328-HLOOKUP(V328,Minimas!$C$3:$CD$12,9,FALSE)</f>
        <v>#N/A</v>
      </c>
      <c r="AJ328" s="230" t="e">
        <f>T328-HLOOKUP(V328,Minimas!$C$3:$CD$12,10,FALSE)</f>
        <v>#N/A</v>
      </c>
      <c r="AK328" s="231" t="str">
        <f t="shared" si="93"/>
        <v xml:space="preserve"> </v>
      </c>
      <c r="AL328" s="232"/>
      <c r="AM328" s="232" t="str">
        <f t="shared" si="94"/>
        <v xml:space="preserve"> </v>
      </c>
      <c r="AN328" s="232" t="str">
        <f t="shared" si="95"/>
        <v xml:space="preserve"> </v>
      </c>
    </row>
    <row r="329" spans="28:40" x14ac:dyDescent="0.25">
      <c r="AB329" s="230" t="e">
        <f>T329-HLOOKUP(V329,Minimas!$C$3:$CD$12,2,FALSE)</f>
        <v>#N/A</v>
      </c>
      <c r="AC329" s="230" t="e">
        <f>T329-HLOOKUP(V329,Minimas!$C$3:$CD$12,3,FALSE)</f>
        <v>#N/A</v>
      </c>
      <c r="AD329" s="230" t="e">
        <f>T329-HLOOKUP(V329,Minimas!$C$3:$CD$12,4,FALSE)</f>
        <v>#N/A</v>
      </c>
      <c r="AE329" s="230" t="e">
        <f>T329-HLOOKUP(V329,Minimas!$C$3:$CD$12,5,FALSE)</f>
        <v>#N/A</v>
      </c>
      <c r="AF329" s="230" t="e">
        <f>T329-HLOOKUP(V329,Minimas!$C$3:$CD$12,6,FALSE)</f>
        <v>#N/A</v>
      </c>
      <c r="AG329" s="230" t="e">
        <f>T329-HLOOKUP(V329,Minimas!$C$3:$CD$12,7,FALSE)</f>
        <v>#N/A</v>
      </c>
      <c r="AH329" s="230" t="e">
        <f>T329-HLOOKUP(V329,Minimas!$C$3:$CD$12,8,FALSE)</f>
        <v>#N/A</v>
      </c>
      <c r="AI329" s="230" t="e">
        <f>T329-HLOOKUP(V329,Minimas!$C$3:$CD$12,9,FALSE)</f>
        <v>#N/A</v>
      </c>
      <c r="AJ329" s="230" t="e">
        <f>T329-HLOOKUP(V329,Minimas!$C$3:$CD$12,10,FALSE)</f>
        <v>#N/A</v>
      </c>
      <c r="AK329" s="231" t="str">
        <f t="shared" si="93"/>
        <v xml:space="preserve"> </v>
      </c>
      <c r="AL329" s="232"/>
      <c r="AM329" s="232" t="str">
        <f t="shared" si="94"/>
        <v xml:space="preserve"> </v>
      </c>
      <c r="AN329" s="232" t="str">
        <f t="shared" si="95"/>
        <v xml:space="preserve"> </v>
      </c>
    </row>
    <row r="330" spans="28:40" x14ac:dyDescent="0.25">
      <c r="AB330" s="230" t="e">
        <f>T330-HLOOKUP(V330,Minimas!$C$3:$CD$12,2,FALSE)</f>
        <v>#N/A</v>
      </c>
      <c r="AC330" s="230" t="e">
        <f>T330-HLOOKUP(V330,Minimas!$C$3:$CD$12,3,FALSE)</f>
        <v>#N/A</v>
      </c>
      <c r="AD330" s="230" t="e">
        <f>T330-HLOOKUP(V330,Minimas!$C$3:$CD$12,4,FALSE)</f>
        <v>#N/A</v>
      </c>
      <c r="AE330" s="230" t="e">
        <f>T330-HLOOKUP(V330,Minimas!$C$3:$CD$12,5,FALSE)</f>
        <v>#N/A</v>
      </c>
      <c r="AF330" s="230" t="e">
        <f>T330-HLOOKUP(V330,Minimas!$C$3:$CD$12,6,FALSE)</f>
        <v>#N/A</v>
      </c>
      <c r="AG330" s="230" t="e">
        <f>T330-HLOOKUP(V330,Minimas!$C$3:$CD$12,7,FALSE)</f>
        <v>#N/A</v>
      </c>
      <c r="AH330" s="230" t="e">
        <f>T330-HLOOKUP(V330,Minimas!$C$3:$CD$12,8,FALSE)</f>
        <v>#N/A</v>
      </c>
      <c r="AI330" s="230" t="e">
        <f>T330-HLOOKUP(V330,Minimas!$C$3:$CD$12,9,FALSE)</f>
        <v>#N/A</v>
      </c>
      <c r="AJ330" s="230" t="e">
        <f>T330-HLOOKUP(V330,Minimas!$C$3:$CD$12,10,FALSE)</f>
        <v>#N/A</v>
      </c>
      <c r="AK330" s="231" t="str">
        <f t="shared" si="93"/>
        <v xml:space="preserve"> </v>
      </c>
      <c r="AL330" s="232"/>
      <c r="AM330" s="232" t="str">
        <f t="shared" si="94"/>
        <v xml:space="preserve"> </v>
      </c>
      <c r="AN330" s="232" t="str">
        <f t="shared" si="95"/>
        <v xml:space="preserve"> </v>
      </c>
    </row>
    <row r="331" spans="28:40" x14ac:dyDescent="0.25">
      <c r="AB331" s="230" t="e">
        <f>T331-HLOOKUP(V331,Minimas!$C$3:$CD$12,2,FALSE)</f>
        <v>#N/A</v>
      </c>
      <c r="AC331" s="230" t="e">
        <f>T331-HLOOKUP(V331,Minimas!$C$3:$CD$12,3,FALSE)</f>
        <v>#N/A</v>
      </c>
      <c r="AD331" s="230" t="e">
        <f>T331-HLOOKUP(V331,Minimas!$C$3:$CD$12,4,FALSE)</f>
        <v>#N/A</v>
      </c>
      <c r="AE331" s="230" t="e">
        <f>T331-HLOOKUP(V331,Minimas!$C$3:$CD$12,5,FALSE)</f>
        <v>#N/A</v>
      </c>
      <c r="AF331" s="230" t="e">
        <f>T331-HLOOKUP(V331,Minimas!$C$3:$CD$12,6,FALSE)</f>
        <v>#N/A</v>
      </c>
      <c r="AG331" s="230" t="e">
        <f>T331-HLOOKUP(V331,Minimas!$C$3:$CD$12,7,FALSE)</f>
        <v>#N/A</v>
      </c>
      <c r="AH331" s="230" t="e">
        <f>T331-HLOOKUP(V331,Minimas!$C$3:$CD$12,8,FALSE)</f>
        <v>#N/A</v>
      </c>
      <c r="AI331" s="230" t="e">
        <f>T331-HLOOKUP(V331,Minimas!$C$3:$CD$12,9,FALSE)</f>
        <v>#N/A</v>
      </c>
      <c r="AJ331" s="230" t="e">
        <f>T331-HLOOKUP(V331,Minimas!$C$3:$CD$12,10,FALSE)</f>
        <v>#N/A</v>
      </c>
      <c r="AK331" s="231" t="str">
        <f t="shared" si="93"/>
        <v xml:space="preserve"> </v>
      </c>
      <c r="AL331" s="232"/>
      <c r="AM331" s="232" t="str">
        <f t="shared" si="94"/>
        <v xml:space="preserve"> </v>
      </c>
      <c r="AN331" s="232" t="str">
        <f t="shared" si="95"/>
        <v xml:space="preserve"> </v>
      </c>
    </row>
    <row r="332" spans="28:40" x14ac:dyDescent="0.25">
      <c r="AB332" s="230" t="e">
        <f>T332-HLOOKUP(V332,Minimas!$C$3:$CD$12,2,FALSE)</f>
        <v>#N/A</v>
      </c>
      <c r="AC332" s="230" t="e">
        <f>T332-HLOOKUP(V332,Minimas!$C$3:$CD$12,3,FALSE)</f>
        <v>#N/A</v>
      </c>
      <c r="AD332" s="230" t="e">
        <f>T332-HLOOKUP(V332,Minimas!$C$3:$CD$12,4,FALSE)</f>
        <v>#N/A</v>
      </c>
      <c r="AE332" s="230" t="e">
        <f>T332-HLOOKUP(V332,Minimas!$C$3:$CD$12,5,FALSE)</f>
        <v>#N/A</v>
      </c>
      <c r="AF332" s="230" t="e">
        <f>T332-HLOOKUP(V332,Minimas!$C$3:$CD$12,6,FALSE)</f>
        <v>#N/A</v>
      </c>
      <c r="AG332" s="230" t="e">
        <f>T332-HLOOKUP(V332,Minimas!$C$3:$CD$12,7,FALSE)</f>
        <v>#N/A</v>
      </c>
      <c r="AH332" s="230" t="e">
        <f>T332-HLOOKUP(V332,Minimas!$C$3:$CD$12,8,FALSE)</f>
        <v>#N/A</v>
      </c>
      <c r="AI332" s="230" t="e">
        <f>T332-HLOOKUP(V332,Minimas!$C$3:$CD$12,9,FALSE)</f>
        <v>#N/A</v>
      </c>
      <c r="AJ332" s="230" t="e">
        <f>T332-HLOOKUP(V332,Minimas!$C$3:$CD$12,10,FALSE)</f>
        <v>#N/A</v>
      </c>
      <c r="AK332" s="231" t="str">
        <f t="shared" si="93"/>
        <v xml:space="preserve"> </v>
      </c>
      <c r="AL332" s="232"/>
      <c r="AM332" s="232" t="str">
        <f t="shared" si="94"/>
        <v xml:space="preserve"> </v>
      </c>
      <c r="AN332" s="232" t="str">
        <f t="shared" si="95"/>
        <v xml:space="preserve"> </v>
      </c>
    </row>
    <row r="333" spans="28:40" x14ac:dyDescent="0.25">
      <c r="AB333" s="230" t="e">
        <f>T333-HLOOKUP(V333,Minimas!$C$3:$CD$12,2,FALSE)</f>
        <v>#N/A</v>
      </c>
      <c r="AC333" s="230" t="e">
        <f>T333-HLOOKUP(V333,Minimas!$C$3:$CD$12,3,FALSE)</f>
        <v>#N/A</v>
      </c>
      <c r="AD333" s="230" t="e">
        <f>T333-HLOOKUP(V333,Minimas!$C$3:$CD$12,4,FALSE)</f>
        <v>#N/A</v>
      </c>
      <c r="AE333" s="230" t="e">
        <f>T333-HLOOKUP(V333,Minimas!$C$3:$CD$12,5,FALSE)</f>
        <v>#N/A</v>
      </c>
      <c r="AF333" s="230" t="e">
        <f>T333-HLOOKUP(V333,Minimas!$C$3:$CD$12,6,FALSE)</f>
        <v>#N/A</v>
      </c>
      <c r="AG333" s="230" t="e">
        <f>T333-HLOOKUP(V333,Minimas!$C$3:$CD$12,7,FALSE)</f>
        <v>#N/A</v>
      </c>
      <c r="AH333" s="230" t="e">
        <f>T333-HLOOKUP(V333,Minimas!$C$3:$CD$12,8,FALSE)</f>
        <v>#N/A</v>
      </c>
      <c r="AI333" s="230" t="e">
        <f>T333-HLOOKUP(V333,Minimas!$C$3:$CD$12,9,FALSE)</f>
        <v>#N/A</v>
      </c>
      <c r="AJ333" s="230" t="e">
        <f>T333-HLOOKUP(V333,Minimas!$C$3:$CD$12,10,FALSE)</f>
        <v>#N/A</v>
      </c>
      <c r="AK333" s="231" t="str">
        <f t="shared" si="93"/>
        <v xml:space="preserve"> </v>
      </c>
      <c r="AL333" s="232"/>
      <c r="AM333" s="232" t="str">
        <f t="shared" si="94"/>
        <v xml:space="preserve"> </v>
      </c>
      <c r="AN333" s="232" t="str">
        <f t="shared" si="95"/>
        <v xml:space="preserve"> </v>
      </c>
    </row>
    <row r="334" spans="28:40" x14ac:dyDescent="0.25">
      <c r="AB334" s="230" t="e">
        <f>T334-HLOOKUP(V334,Minimas!$C$3:$CD$12,2,FALSE)</f>
        <v>#N/A</v>
      </c>
      <c r="AC334" s="230" t="e">
        <f>T334-HLOOKUP(V334,Minimas!$C$3:$CD$12,3,FALSE)</f>
        <v>#N/A</v>
      </c>
      <c r="AD334" s="230" t="e">
        <f>T334-HLOOKUP(V334,Minimas!$C$3:$CD$12,4,FALSE)</f>
        <v>#N/A</v>
      </c>
      <c r="AE334" s="230" t="e">
        <f>T334-HLOOKUP(V334,Minimas!$C$3:$CD$12,5,FALSE)</f>
        <v>#N/A</v>
      </c>
      <c r="AF334" s="230" t="e">
        <f>T334-HLOOKUP(V334,Minimas!$C$3:$CD$12,6,FALSE)</f>
        <v>#N/A</v>
      </c>
      <c r="AG334" s="230" t="e">
        <f>T334-HLOOKUP(V334,Minimas!$C$3:$CD$12,7,FALSE)</f>
        <v>#N/A</v>
      </c>
      <c r="AH334" s="230" t="e">
        <f>T334-HLOOKUP(V334,Minimas!$C$3:$CD$12,8,FALSE)</f>
        <v>#N/A</v>
      </c>
      <c r="AI334" s="230" t="e">
        <f>T334-HLOOKUP(V334,Minimas!$C$3:$CD$12,9,FALSE)</f>
        <v>#N/A</v>
      </c>
      <c r="AJ334" s="230" t="e">
        <f>T334-HLOOKUP(V334,Minimas!$C$3:$CD$12,10,FALSE)</f>
        <v>#N/A</v>
      </c>
      <c r="AK334" s="231" t="str">
        <f t="shared" si="93"/>
        <v xml:space="preserve"> </v>
      </c>
      <c r="AL334" s="232"/>
      <c r="AM334" s="232" t="str">
        <f t="shared" si="94"/>
        <v xml:space="preserve"> </v>
      </c>
      <c r="AN334" s="232" t="str">
        <f t="shared" si="95"/>
        <v xml:space="preserve"> </v>
      </c>
    </row>
    <row r="335" spans="28:40" x14ac:dyDescent="0.25">
      <c r="AB335" s="230" t="e">
        <f>T335-HLOOKUP(V335,Minimas!$C$3:$CD$12,2,FALSE)</f>
        <v>#N/A</v>
      </c>
      <c r="AC335" s="230" t="e">
        <f>T335-HLOOKUP(V335,Minimas!$C$3:$CD$12,3,FALSE)</f>
        <v>#N/A</v>
      </c>
      <c r="AD335" s="230" t="e">
        <f>T335-HLOOKUP(V335,Minimas!$C$3:$CD$12,4,FALSE)</f>
        <v>#N/A</v>
      </c>
      <c r="AE335" s="230" t="e">
        <f>T335-HLOOKUP(V335,Minimas!$C$3:$CD$12,5,FALSE)</f>
        <v>#N/A</v>
      </c>
      <c r="AF335" s="230" t="e">
        <f>T335-HLOOKUP(V335,Minimas!$C$3:$CD$12,6,FALSE)</f>
        <v>#N/A</v>
      </c>
      <c r="AG335" s="230" t="e">
        <f>T335-HLOOKUP(V335,Minimas!$C$3:$CD$12,7,FALSE)</f>
        <v>#N/A</v>
      </c>
      <c r="AH335" s="230" t="e">
        <f>T335-HLOOKUP(V335,Minimas!$C$3:$CD$12,8,FALSE)</f>
        <v>#N/A</v>
      </c>
      <c r="AI335" s="230" t="e">
        <f>T335-HLOOKUP(V335,Minimas!$C$3:$CD$12,9,FALSE)</f>
        <v>#N/A</v>
      </c>
      <c r="AJ335" s="230" t="e">
        <f>T335-HLOOKUP(V335,Minimas!$C$3:$CD$12,10,FALSE)</f>
        <v>#N/A</v>
      </c>
      <c r="AK335" s="231" t="str">
        <f t="shared" si="93"/>
        <v xml:space="preserve"> </v>
      </c>
      <c r="AL335" s="232"/>
      <c r="AM335" s="232" t="str">
        <f t="shared" si="94"/>
        <v xml:space="preserve"> </v>
      </c>
      <c r="AN335" s="232" t="str">
        <f t="shared" si="95"/>
        <v xml:space="preserve"> </v>
      </c>
    </row>
    <row r="336" spans="28:40" x14ac:dyDescent="0.25">
      <c r="AB336" s="230" t="e">
        <f>T336-HLOOKUP(V336,Minimas!$C$3:$CD$12,2,FALSE)</f>
        <v>#N/A</v>
      </c>
      <c r="AC336" s="230" t="e">
        <f>T336-HLOOKUP(V336,Minimas!$C$3:$CD$12,3,FALSE)</f>
        <v>#N/A</v>
      </c>
      <c r="AD336" s="230" t="e">
        <f>T336-HLOOKUP(V336,Minimas!$C$3:$CD$12,4,FALSE)</f>
        <v>#N/A</v>
      </c>
      <c r="AE336" s="230" t="e">
        <f>T336-HLOOKUP(V336,Minimas!$C$3:$CD$12,5,FALSE)</f>
        <v>#N/A</v>
      </c>
      <c r="AF336" s="230" t="e">
        <f>T336-HLOOKUP(V336,Minimas!$C$3:$CD$12,6,FALSE)</f>
        <v>#N/A</v>
      </c>
      <c r="AG336" s="230" t="e">
        <f>T336-HLOOKUP(V336,Minimas!$C$3:$CD$12,7,FALSE)</f>
        <v>#N/A</v>
      </c>
      <c r="AH336" s="230" t="e">
        <f>T336-HLOOKUP(V336,Minimas!$C$3:$CD$12,8,FALSE)</f>
        <v>#N/A</v>
      </c>
      <c r="AI336" s="230" t="e">
        <f>T336-HLOOKUP(V336,Minimas!$C$3:$CD$12,9,FALSE)</f>
        <v>#N/A</v>
      </c>
      <c r="AJ336" s="230" t="e">
        <f>T336-HLOOKUP(V336,Minimas!$C$3:$CD$12,10,FALSE)</f>
        <v>#N/A</v>
      </c>
      <c r="AK336" s="231" t="str">
        <f t="shared" si="93"/>
        <v xml:space="preserve"> </v>
      </c>
      <c r="AL336" s="232"/>
      <c r="AM336" s="232" t="str">
        <f t="shared" si="94"/>
        <v xml:space="preserve"> </v>
      </c>
      <c r="AN336" s="232" t="str">
        <f t="shared" si="95"/>
        <v xml:space="preserve"> </v>
      </c>
    </row>
    <row r="337" spans="28:40" x14ac:dyDescent="0.25">
      <c r="AB337" s="230" t="e">
        <f>T337-HLOOKUP(V337,Minimas!$C$3:$CD$12,2,FALSE)</f>
        <v>#N/A</v>
      </c>
      <c r="AC337" s="230" t="e">
        <f>T337-HLOOKUP(V337,Minimas!$C$3:$CD$12,3,FALSE)</f>
        <v>#N/A</v>
      </c>
      <c r="AD337" s="230" t="e">
        <f>T337-HLOOKUP(V337,Minimas!$C$3:$CD$12,4,FALSE)</f>
        <v>#N/A</v>
      </c>
      <c r="AE337" s="230" t="e">
        <f>T337-HLOOKUP(V337,Minimas!$C$3:$CD$12,5,FALSE)</f>
        <v>#N/A</v>
      </c>
      <c r="AF337" s="230" t="e">
        <f>T337-HLOOKUP(V337,Minimas!$C$3:$CD$12,6,FALSE)</f>
        <v>#N/A</v>
      </c>
      <c r="AG337" s="230" t="e">
        <f>T337-HLOOKUP(V337,Minimas!$C$3:$CD$12,7,FALSE)</f>
        <v>#N/A</v>
      </c>
      <c r="AH337" s="230" t="e">
        <f>T337-HLOOKUP(V337,Minimas!$C$3:$CD$12,8,FALSE)</f>
        <v>#N/A</v>
      </c>
      <c r="AI337" s="230" t="e">
        <f>T337-HLOOKUP(V337,Minimas!$C$3:$CD$12,9,FALSE)</f>
        <v>#N/A</v>
      </c>
      <c r="AJ337" s="230" t="e">
        <f>T337-HLOOKUP(V337,Minimas!$C$3:$CD$12,10,FALSE)</f>
        <v>#N/A</v>
      </c>
      <c r="AK337" s="231" t="str">
        <f t="shared" si="93"/>
        <v xml:space="preserve"> </v>
      </c>
      <c r="AL337" s="232"/>
      <c r="AM337" s="232" t="str">
        <f t="shared" si="94"/>
        <v xml:space="preserve"> </v>
      </c>
      <c r="AN337" s="232" t="str">
        <f t="shared" si="95"/>
        <v xml:space="preserve"> </v>
      </c>
    </row>
    <row r="338" spans="28:40" x14ac:dyDescent="0.25">
      <c r="AB338" s="230" t="e">
        <f>T338-HLOOKUP(V338,Minimas!$C$3:$CD$12,2,FALSE)</f>
        <v>#N/A</v>
      </c>
      <c r="AC338" s="230" t="e">
        <f>T338-HLOOKUP(V338,Minimas!$C$3:$CD$12,3,FALSE)</f>
        <v>#N/A</v>
      </c>
      <c r="AD338" s="230" t="e">
        <f>T338-HLOOKUP(V338,Minimas!$C$3:$CD$12,4,FALSE)</f>
        <v>#N/A</v>
      </c>
      <c r="AE338" s="230" t="e">
        <f>T338-HLOOKUP(V338,Minimas!$C$3:$CD$12,5,FALSE)</f>
        <v>#N/A</v>
      </c>
      <c r="AF338" s="230" t="e">
        <f>T338-HLOOKUP(V338,Minimas!$C$3:$CD$12,6,FALSE)</f>
        <v>#N/A</v>
      </c>
      <c r="AG338" s="230" t="e">
        <f>T338-HLOOKUP(V338,Minimas!$C$3:$CD$12,7,FALSE)</f>
        <v>#N/A</v>
      </c>
      <c r="AH338" s="230" t="e">
        <f>T338-HLOOKUP(V338,Minimas!$C$3:$CD$12,8,FALSE)</f>
        <v>#N/A</v>
      </c>
      <c r="AI338" s="230" t="e">
        <f>T338-HLOOKUP(V338,Minimas!$C$3:$CD$12,9,FALSE)</f>
        <v>#N/A</v>
      </c>
      <c r="AJ338" s="230" t="e">
        <f>T338-HLOOKUP(V338,Minimas!$C$3:$CD$12,10,FALSE)</f>
        <v>#N/A</v>
      </c>
      <c r="AK338" s="231" t="str">
        <f t="shared" si="93"/>
        <v xml:space="preserve"> </v>
      </c>
      <c r="AL338" s="232"/>
      <c r="AM338" s="232" t="str">
        <f t="shared" si="94"/>
        <v xml:space="preserve"> </v>
      </c>
      <c r="AN338" s="232" t="str">
        <f t="shared" si="95"/>
        <v xml:space="preserve"> </v>
      </c>
    </row>
    <row r="339" spans="28:40" x14ac:dyDescent="0.25">
      <c r="AB339" s="230" t="e">
        <f>T339-HLOOKUP(V339,Minimas!$C$3:$CD$12,2,FALSE)</f>
        <v>#N/A</v>
      </c>
      <c r="AC339" s="230" t="e">
        <f>T339-HLOOKUP(V339,Minimas!$C$3:$CD$12,3,FALSE)</f>
        <v>#N/A</v>
      </c>
      <c r="AD339" s="230" t="e">
        <f>T339-HLOOKUP(V339,Minimas!$C$3:$CD$12,4,FALSE)</f>
        <v>#N/A</v>
      </c>
      <c r="AE339" s="230" t="e">
        <f>T339-HLOOKUP(V339,Minimas!$C$3:$CD$12,5,FALSE)</f>
        <v>#N/A</v>
      </c>
      <c r="AF339" s="230" t="e">
        <f>T339-HLOOKUP(V339,Minimas!$C$3:$CD$12,6,FALSE)</f>
        <v>#N/A</v>
      </c>
      <c r="AG339" s="230" t="e">
        <f>T339-HLOOKUP(V339,Minimas!$C$3:$CD$12,7,FALSE)</f>
        <v>#N/A</v>
      </c>
      <c r="AH339" s="230" t="e">
        <f>T339-HLOOKUP(V339,Minimas!$C$3:$CD$12,8,FALSE)</f>
        <v>#N/A</v>
      </c>
      <c r="AI339" s="230" t="e">
        <f>T339-HLOOKUP(V339,Minimas!$C$3:$CD$12,9,FALSE)</f>
        <v>#N/A</v>
      </c>
      <c r="AJ339" s="230" t="e">
        <f>T339-HLOOKUP(V339,Minimas!$C$3:$CD$12,10,FALSE)</f>
        <v>#N/A</v>
      </c>
      <c r="AK339" s="231" t="str">
        <f t="shared" si="93"/>
        <v xml:space="preserve"> </v>
      </c>
      <c r="AL339" s="232"/>
      <c r="AM339" s="232" t="str">
        <f t="shared" si="94"/>
        <v xml:space="preserve"> </v>
      </c>
      <c r="AN339" s="232" t="str">
        <f t="shared" si="95"/>
        <v xml:space="preserve"> </v>
      </c>
    </row>
    <row r="340" spans="28:40" x14ac:dyDescent="0.25">
      <c r="AB340" s="230" t="e">
        <f>T340-HLOOKUP(V340,Minimas!$C$3:$CD$12,2,FALSE)</f>
        <v>#N/A</v>
      </c>
      <c r="AC340" s="230" t="e">
        <f>T340-HLOOKUP(V340,Minimas!$C$3:$CD$12,3,FALSE)</f>
        <v>#N/A</v>
      </c>
      <c r="AD340" s="230" t="e">
        <f>T340-HLOOKUP(V340,Minimas!$C$3:$CD$12,4,FALSE)</f>
        <v>#N/A</v>
      </c>
      <c r="AE340" s="230" t="e">
        <f>T340-HLOOKUP(V340,Minimas!$C$3:$CD$12,5,FALSE)</f>
        <v>#N/A</v>
      </c>
      <c r="AF340" s="230" t="e">
        <f>T340-HLOOKUP(V340,Minimas!$C$3:$CD$12,6,FALSE)</f>
        <v>#N/A</v>
      </c>
      <c r="AG340" s="230" t="e">
        <f>T340-HLOOKUP(V340,Minimas!$C$3:$CD$12,7,FALSE)</f>
        <v>#N/A</v>
      </c>
      <c r="AH340" s="230" t="e">
        <f>T340-HLOOKUP(V340,Minimas!$C$3:$CD$12,8,FALSE)</f>
        <v>#N/A</v>
      </c>
      <c r="AI340" s="230" t="e">
        <f>T340-HLOOKUP(V340,Minimas!$C$3:$CD$12,9,FALSE)</f>
        <v>#N/A</v>
      </c>
      <c r="AJ340" s="230" t="e">
        <f>T340-HLOOKUP(V340,Minimas!$C$3:$CD$12,10,FALSE)</f>
        <v>#N/A</v>
      </c>
      <c r="AK340" s="231" t="str">
        <f t="shared" si="93"/>
        <v xml:space="preserve"> </v>
      </c>
      <c r="AL340" s="232"/>
      <c r="AM340" s="232" t="str">
        <f t="shared" si="94"/>
        <v xml:space="preserve"> </v>
      </c>
      <c r="AN340" s="232" t="str">
        <f t="shared" si="95"/>
        <v xml:space="preserve"> </v>
      </c>
    </row>
    <row r="341" spans="28:40" x14ac:dyDescent="0.25">
      <c r="AB341" s="230" t="e">
        <f>T341-HLOOKUP(V341,Minimas!$C$3:$CD$12,2,FALSE)</f>
        <v>#N/A</v>
      </c>
      <c r="AC341" s="230" t="e">
        <f>T341-HLOOKUP(V341,Minimas!$C$3:$CD$12,3,FALSE)</f>
        <v>#N/A</v>
      </c>
      <c r="AD341" s="230" t="e">
        <f>T341-HLOOKUP(V341,Minimas!$C$3:$CD$12,4,FALSE)</f>
        <v>#N/A</v>
      </c>
      <c r="AE341" s="230" t="e">
        <f>T341-HLOOKUP(V341,Minimas!$C$3:$CD$12,5,FALSE)</f>
        <v>#N/A</v>
      </c>
      <c r="AF341" s="230" t="e">
        <f>T341-HLOOKUP(V341,Minimas!$C$3:$CD$12,6,FALSE)</f>
        <v>#N/A</v>
      </c>
      <c r="AG341" s="230" t="e">
        <f>T341-HLOOKUP(V341,Minimas!$C$3:$CD$12,7,FALSE)</f>
        <v>#N/A</v>
      </c>
      <c r="AH341" s="230" t="e">
        <f>T341-HLOOKUP(V341,Minimas!$C$3:$CD$12,8,FALSE)</f>
        <v>#N/A</v>
      </c>
      <c r="AI341" s="230" t="e">
        <f>T341-HLOOKUP(V341,Minimas!$C$3:$CD$12,9,FALSE)</f>
        <v>#N/A</v>
      </c>
      <c r="AJ341" s="230" t="e">
        <f>T341-HLOOKUP(V341,Minimas!$C$3:$CD$12,10,FALSE)</f>
        <v>#N/A</v>
      </c>
      <c r="AK341" s="231" t="str">
        <f t="shared" si="93"/>
        <v xml:space="preserve"> </v>
      </c>
      <c r="AL341" s="232"/>
      <c r="AM341" s="232" t="str">
        <f t="shared" si="94"/>
        <v xml:space="preserve"> </v>
      </c>
      <c r="AN341" s="232" t="str">
        <f t="shared" si="95"/>
        <v xml:space="preserve"> </v>
      </c>
    </row>
    <row r="342" spans="28:40" x14ac:dyDescent="0.25">
      <c r="AB342" s="230" t="e">
        <f>T342-HLOOKUP(V342,Minimas!$C$3:$CD$12,2,FALSE)</f>
        <v>#N/A</v>
      </c>
      <c r="AC342" s="230" t="e">
        <f>T342-HLOOKUP(V342,Minimas!$C$3:$CD$12,3,FALSE)</f>
        <v>#N/A</v>
      </c>
      <c r="AD342" s="230" t="e">
        <f>T342-HLOOKUP(V342,Minimas!$C$3:$CD$12,4,FALSE)</f>
        <v>#N/A</v>
      </c>
      <c r="AE342" s="230" t="e">
        <f>T342-HLOOKUP(V342,Minimas!$C$3:$CD$12,5,FALSE)</f>
        <v>#N/A</v>
      </c>
      <c r="AF342" s="230" t="e">
        <f>T342-HLOOKUP(V342,Minimas!$C$3:$CD$12,6,FALSE)</f>
        <v>#N/A</v>
      </c>
      <c r="AG342" s="230" t="e">
        <f>T342-HLOOKUP(V342,Minimas!$C$3:$CD$12,7,FALSE)</f>
        <v>#N/A</v>
      </c>
      <c r="AH342" s="230" t="e">
        <f>T342-HLOOKUP(V342,Minimas!$C$3:$CD$12,8,FALSE)</f>
        <v>#N/A</v>
      </c>
      <c r="AI342" s="230" t="e">
        <f>T342-HLOOKUP(V342,Minimas!$C$3:$CD$12,9,FALSE)</f>
        <v>#N/A</v>
      </c>
      <c r="AJ342" s="230" t="e">
        <f>T342-HLOOKUP(V342,Minimas!$C$3:$CD$12,10,FALSE)</f>
        <v>#N/A</v>
      </c>
      <c r="AK342" s="231" t="str">
        <f t="shared" si="93"/>
        <v xml:space="preserve"> </v>
      </c>
      <c r="AL342" s="232"/>
      <c r="AM342" s="232" t="str">
        <f t="shared" si="94"/>
        <v xml:space="preserve"> </v>
      </c>
      <c r="AN342" s="232" t="str">
        <f t="shared" si="95"/>
        <v xml:space="preserve"> </v>
      </c>
    </row>
    <row r="343" spans="28:40" x14ac:dyDescent="0.25">
      <c r="AB343" s="230" t="e">
        <f>T343-HLOOKUP(V343,Minimas!$C$3:$CD$12,2,FALSE)</f>
        <v>#N/A</v>
      </c>
      <c r="AC343" s="230" t="e">
        <f>T343-HLOOKUP(V343,Minimas!$C$3:$CD$12,3,FALSE)</f>
        <v>#N/A</v>
      </c>
      <c r="AD343" s="230" t="e">
        <f>T343-HLOOKUP(V343,Minimas!$C$3:$CD$12,4,FALSE)</f>
        <v>#N/A</v>
      </c>
      <c r="AE343" s="230" t="e">
        <f>T343-HLOOKUP(V343,Minimas!$C$3:$CD$12,5,FALSE)</f>
        <v>#N/A</v>
      </c>
      <c r="AF343" s="230" t="e">
        <f>T343-HLOOKUP(V343,Minimas!$C$3:$CD$12,6,FALSE)</f>
        <v>#N/A</v>
      </c>
      <c r="AG343" s="230" t="e">
        <f>T343-HLOOKUP(V343,Minimas!$C$3:$CD$12,7,FALSE)</f>
        <v>#N/A</v>
      </c>
      <c r="AH343" s="230" t="e">
        <f>T343-HLOOKUP(V343,Minimas!$C$3:$CD$12,8,FALSE)</f>
        <v>#N/A</v>
      </c>
      <c r="AI343" s="230" t="e">
        <f>T343-HLOOKUP(V343,Minimas!$C$3:$CD$12,9,FALSE)</f>
        <v>#N/A</v>
      </c>
      <c r="AJ343" s="230" t="e">
        <f>T343-HLOOKUP(V343,Minimas!$C$3:$CD$12,10,FALSE)</f>
        <v>#N/A</v>
      </c>
      <c r="AK343" s="231" t="str">
        <f t="shared" si="93"/>
        <v xml:space="preserve"> </v>
      </c>
      <c r="AL343" s="232"/>
      <c r="AM343" s="232" t="str">
        <f t="shared" si="94"/>
        <v xml:space="preserve"> </v>
      </c>
      <c r="AN343" s="232" t="str">
        <f t="shared" si="95"/>
        <v xml:space="preserve"> </v>
      </c>
    </row>
    <row r="344" spans="28:40" x14ac:dyDescent="0.25">
      <c r="AB344" s="230" t="e">
        <f>T344-HLOOKUP(V344,Minimas!$C$3:$CD$12,2,FALSE)</f>
        <v>#N/A</v>
      </c>
      <c r="AC344" s="230" t="e">
        <f>T344-HLOOKUP(V344,Minimas!$C$3:$CD$12,3,FALSE)</f>
        <v>#N/A</v>
      </c>
      <c r="AD344" s="230" t="e">
        <f>T344-HLOOKUP(V344,Minimas!$C$3:$CD$12,4,FALSE)</f>
        <v>#N/A</v>
      </c>
      <c r="AE344" s="230" t="e">
        <f>T344-HLOOKUP(V344,Minimas!$C$3:$CD$12,5,FALSE)</f>
        <v>#N/A</v>
      </c>
      <c r="AF344" s="230" t="e">
        <f>T344-HLOOKUP(V344,Minimas!$C$3:$CD$12,6,FALSE)</f>
        <v>#N/A</v>
      </c>
      <c r="AG344" s="230" t="e">
        <f>T344-HLOOKUP(V344,Minimas!$C$3:$CD$12,7,FALSE)</f>
        <v>#N/A</v>
      </c>
      <c r="AH344" s="230" t="e">
        <f>T344-HLOOKUP(V344,Minimas!$C$3:$CD$12,8,FALSE)</f>
        <v>#N/A</v>
      </c>
      <c r="AI344" s="230" t="e">
        <f>T344-HLOOKUP(V344,Minimas!$C$3:$CD$12,9,FALSE)</f>
        <v>#N/A</v>
      </c>
      <c r="AJ344" s="230" t="e">
        <f>T344-HLOOKUP(V344,Minimas!$C$3:$CD$12,10,FALSE)</f>
        <v>#N/A</v>
      </c>
      <c r="AK344" s="231" t="str">
        <f t="shared" si="93"/>
        <v xml:space="preserve"> </v>
      </c>
      <c r="AL344" s="232"/>
      <c r="AM344" s="232" t="str">
        <f t="shared" si="94"/>
        <v xml:space="preserve"> </v>
      </c>
      <c r="AN344" s="232" t="str">
        <f t="shared" si="95"/>
        <v xml:space="preserve"> </v>
      </c>
    </row>
    <row r="345" spans="28:40" x14ac:dyDescent="0.25">
      <c r="AB345" s="230" t="e">
        <f>T345-HLOOKUP(V345,Minimas!$C$3:$CD$12,2,FALSE)</f>
        <v>#N/A</v>
      </c>
      <c r="AC345" s="230" t="e">
        <f>T345-HLOOKUP(V345,Minimas!$C$3:$CD$12,3,FALSE)</f>
        <v>#N/A</v>
      </c>
      <c r="AD345" s="230" t="e">
        <f>T345-HLOOKUP(V345,Minimas!$C$3:$CD$12,4,FALSE)</f>
        <v>#N/A</v>
      </c>
      <c r="AE345" s="230" t="e">
        <f>T345-HLOOKUP(V345,Minimas!$C$3:$CD$12,5,FALSE)</f>
        <v>#N/A</v>
      </c>
      <c r="AF345" s="230" t="e">
        <f>T345-HLOOKUP(V345,Minimas!$C$3:$CD$12,6,FALSE)</f>
        <v>#N/A</v>
      </c>
      <c r="AG345" s="230" t="e">
        <f>T345-HLOOKUP(V345,Minimas!$C$3:$CD$12,7,FALSE)</f>
        <v>#N/A</v>
      </c>
      <c r="AH345" s="230" t="e">
        <f>T345-HLOOKUP(V345,Minimas!$C$3:$CD$12,8,FALSE)</f>
        <v>#N/A</v>
      </c>
      <c r="AI345" s="230" t="e">
        <f>T345-HLOOKUP(V345,Minimas!$C$3:$CD$12,9,FALSE)</f>
        <v>#N/A</v>
      </c>
      <c r="AJ345" s="230" t="e">
        <f>T345-HLOOKUP(V345,Minimas!$C$3:$CD$12,10,FALSE)</f>
        <v>#N/A</v>
      </c>
      <c r="AK345" s="231" t="str">
        <f t="shared" si="93"/>
        <v xml:space="preserve"> </v>
      </c>
      <c r="AL345" s="232"/>
      <c r="AM345" s="232" t="str">
        <f t="shared" si="94"/>
        <v xml:space="preserve"> </v>
      </c>
      <c r="AN345" s="232" t="str">
        <f t="shared" si="95"/>
        <v xml:space="preserve"> </v>
      </c>
    </row>
    <row r="346" spans="28:40" x14ac:dyDescent="0.25">
      <c r="AB346" s="230" t="e">
        <f>T346-HLOOKUP(V346,Minimas!$C$3:$CD$12,2,FALSE)</f>
        <v>#N/A</v>
      </c>
      <c r="AC346" s="230" t="e">
        <f>T346-HLOOKUP(V346,Minimas!$C$3:$CD$12,3,FALSE)</f>
        <v>#N/A</v>
      </c>
      <c r="AD346" s="230" t="e">
        <f>T346-HLOOKUP(V346,Minimas!$C$3:$CD$12,4,FALSE)</f>
        <v>#N/A</v>
      </c>
      <c r="AE346" s="230" t="e">
        <f>T346-HLOOKUP(V346,Minimas!$C$3:$CD$12,5,FALSE)</f>
        <v>#N/A</v>
      </c>
      <c r="AF346" s="230" t="e">
        <f>T346-HLOOKUP(V346,Minimas!$C$3:$CD$12,6,FALSE)</f>
        <v>#N/A</v>
      </c>
      <c r="AG346" s="230" t="e">
        <f>T346-HLOOKUP(V346,Minimas!$C$3:$CD$12,7,FALSE)</f>
        <v>#N/A</v>
      </c>
      <c r="AH346" s="230" t="e">
        <f>T346-HLOOKUP(V346,Minimas!$C$3:$CD$12,8,FALSE)</f>
        <v>#N/A</v>
      </c>
      <c r="AI346" s="230" t="e">
        <f>T346-HLOOKUP(V346,Minimas!$C$3:$CD$12,9,FALSE)</f>
        <v>#N/A</v>
      </c>
      <c r="AJ346" s="230" t="e">
        <f>T346-HLOOKUP(V346,Minimas!$C$3:$CD$12,10,FALSE)</f>
        <v>#N/A</v>
      </c>
      <c r="AK346" s="231" t="str">
        <f t="shared" si="93"/>
        <v xml:space="preserve"> </v>
      </c>
      <c r="AL346" s="232"/>
      <c r="AM346" s="232" t="str">
        <f t="shared" si="94"/>
        <v xml:space="preserve"> </v>
      </c>
      <c r="AN346" s="232" t="str">
        <f t="shared" si="95"/>
        <v xml:space="preserve"> </v>
      </c>
    </row>
    <row r="347" spans="28:40" x14ac:dyDescent="0.25">
      <c r="AB347" s="230" t="e">
        <f>T347-HLOOKUP(V347,Minimas!$C$3:$CD$12,2,FALSE)</f>
        <v>#N/A</v>
      </c>
      <c r="AC347" s="230" t="e">
        <f>T347-HLOOKUP(V347,Minimas!$C$3:$CD$12,3,FALSE)</f>
        <v>#N/A</v>
      </c>
      <c r="AD347" s="230" t="e">
        <f>T347-HLOOKUP(V347,Minimas!$C$3:$CD$12,4,FALSE)</f>
        <v>#N/A</v>
      </c>
      <c r="AE347" s="230" t="e">
        <f>T347-HLOOKUP(V347,Minimas!$C$3:$CD$12,5,FALSE)</f>
        <v>#N/A</v>
      </c>
      <c r="AF347" s="230" t="e">
        <f>T347-HLOOKUP(V347,Minimas!$C$3:$CD$12,6,FALSE)</f>
        <v>#N/A</v>
      </c>
      <c r="AG347" s="230" t="e">
        <f>T347-HLOOKUP(V347,Minimas!$C$3:$CD$12,7,FALSE)</f>
        <v>#N/A</v>
      </c>
      <c r="AH347" s="230" t="e">
        <f>T347-HLOOKUP(V347,Minimas!$C$3:$CD$12,8,FALSE)</f>
        <v>#N/A</v>
      </c>
      <c r="AI347" s="230" t="e">
        <f>T347-HLOOKUP(V347,Minimas!$C$3:$CD$12,9,FALSE)</f>
        <v>#N/A</v>
      </c>
      <c r="AJ347" s="230" t="e">
        <f>T347-HLOOKUP(V347,Minimas!$C$3:$CD$12,10,FALSE)</f>
        <v>#N/A</v>
      </c>
      <c r="AK347" s="231" t="str">
        <f t="shared" si="93"/>
        <v xml:space="preserve"> </v>
      </c>
      <c r="AL347" s="232"/>
      <c r="AM347" s="232" t="str">
        <f t="shared" si="94"/>
        <v xml:space="preserve"> </v>
      </c>
      <c r="AN347" s="232" t="str">
        <f t="shared" si="95"/>
        <v xml:space="preserve"> </v>
      </c>
    </row>
    <row r="348" spans="28:40" x14ac:dyDescent="0.25">
      <c r="AB348" s="230" t="e">
        <f>T348-HLOOKUP(V348,Minimas!$C$3:$CD$12,2,FALSE)</f>
        <v>#N/A</v>
      </c>
      <c r="AC348" s="230" t="e">
        <f>T348-HLOOKUP(V348,Minimas!$C$3:$CD$12,3,FALSE)</f>
        <v>#N/A</v>
      </c>
      <c r="AD348" s="230" t="e">
        <f>T348-HLOOKUP(V348,Minimas!$C$3:$CD$12,4,FALSE)</f>
        <v>#N/A</v>
      </c>
      <c r="AE348" s="230" t="e">
        <f>T348-HLOOKUP(V348,Minimas!$C$3:$CD$12,5,FALSE)</f>
        <v>#N/A</v>
      </c>
      <c r="AF348" s="230" t="e">
        <f>T348-HLOOKUP(V348,Minimas!$C$3:$CD$12,6,FALSE)</f>
        <v>#N/A</v>
      </c>
      <c r="AG348" s="230" t="e">
        <f>T348-HLOOKUP(V348,Minimas!$C$3:$CD$12,7,FALSE)</f>
        <v>#N/A</v>
      </c>
      <c r="AH348" s="230" t="e">
        <f>T348-HLOOKUP(V348,Minimas!$C$3:$CD$12,8,FALSE)</f>
        <v>#N/A</v>
      </c>
      <c r="AI348" s="230" t="e">
        <f>T348-HLOOKUP(V348,Minimas!$C$3:$CD$12,9,FALSE)</f>
        <v>#N/A</v>
      </c>
      <c r="AJ348" s="230" t="e">
        <f>T348-HLOOKUP(V348,Minimas!$C$3:$CD$12,10,FALSE)</f>
        <v>#N/A</v>
      </c>
      <c r="AK348" s="231" t="str">
        <f t="shared" si="93"/>
        <v xml:space="preserve"> </v>
      </c>
      <c r="AL348" s="232"/>
      <c r="AM348" s="232" t="str">
        <f t="shared" si="94"/>
        <v xml:space="preserve"> </v>
      </c>
      <c r="AN348" s="232" t="str">
        <f t="shared" si="95"/>
        <v xml:space="preserve"> </v>
      </c>
    </row>
    <row r="349" spans="28:40" x14ac:dyDescent="0.25">
      <c r="AB349" s="230" t="e">
        <f>T349-HLOOKUP(V349,Minimas!$C$3:$CD$12,2,FALSE)</f>
        <v>#N/A</v>
      </c>
      <c r="AC349" s="230" t="e">
        <f>T349-HLOOKUP(V349,Minimas!$C$3:$CD$12,3,FALSE)</f>
        <v>#N/A</v>
      </c>
      <c r="AD349" s="230" t="e">
        <f>T349-HLOOKUP(V349,Minimas!$C$3:$CD$12,4,FALSE)</f>
        <v>#N/A</v>
      </c>
      <c r="AE349" s="230" t="e">
        <f>T349-HLOOKUP(V349,Minimas!$C$3:$CD$12,5,FALSE)</f>
        <v>#N/A</v>
      </c>
      <c r="AF349" s="230" t="e">
        <f>T349-HLOOKUP(V349,Minimas!$C$3:$CD$12,6,FALSE)</f>
        <v>#N/A</v>
      </c>
      <c r="AG349" s="230" t="e">
        <f>T349-HLOOKUP(V349,Minimas!$C$3:$CD$12,7,FALSE)</f>
        <v>#N/A</v>
      </c>
      <c r="AH349" s="230" t="e">
        <f>T349-HLOOKUP(V349,Minimas!$C$3:$CD$12,8,FALSE)</f>
        <v>#N/A</v>
      </c>
      <c r="AI349" s="230" t="e">
        <f>T349-HLOOKUP(V349,Minimas!$C$3:$CD$12,9,FALSE)</f>
        <v>#N/A</v>
      </c>
      <c r="AJ349" s="230" t="e">
        <f>T349-HLOOKUP(V349,Minimas!$C$3:$CD$12,10,FALSE)</f>
        <v>#N/A</v>
      </c>
      <c r="AK349" s="231" t="str">
        <f t="shared" si="93"/>
        <v xml:space="preserve"> </v>
      </c>
      <c r="AL349" s="232"/>
      <c r="AM349" s="232" t="str">
        <f t="shared" si="94"/>
        <v xml:space="preserve"> </v>
      </c>
      <c r="AN349" s="232" t="str">
        <f t="shared" si="95"/>
        <v xml:space="preserve"> </v>
      </c>
    </row>
    <row r="350" spans="28:40" x14ac:dyDescent="0.25">
      <c r="AB350" s="230" t="e">
        <f>T350-HLOOKUP(V350,Minimas!$C$3:$CD$12,2,FALSE)</f>
        <v>#N/A</v>
      </c>
      <c r="AC350" s="230" t="e">
        <f>T350-HLOOKUP(V350,Minimas!$C$3:$CD$12,3,FALSE)</f>
        <v>#N/A</v>
      </c>
      <c r="AD350" s="230" t="e">
        <f>T350-HLOOKUP(V350,Minimas!$C$3:$CD$12,4,FALSE)</f>
        <v>#N/A</v>
      </c>
      <c r="AE350" s="230" t="e">
        <f>T350-HLOOKUP(V350,Minimas!$C$3:$CD$12,5,FALSE)</f>
        <v>#N/A</v>
      </c>
      <c r="AF350" s="230" t="e">
        <f>T350-HLOOKUP(V350,Minimas!$C$3:$CD$12,6,FALSE)</f>
        <v>#N/A</v>
      </c>
      <c r="AG350" s="230" t="e">
        <f>T350-HLOOKUP(V350,Minimas!$C$3:$CD$12,7,FALSE)</f>
        <v>#N/A</v>
      </c>
      <c r="AH350" s="230" t="e">
        <f>T350-HLOOKUP(V350,Minimas!$C$3:$CD$12,8,FALSE)</f>
        <v>#N/A</v>
      </c>
      <c r="AI350" s="230" t="e">
        <f>T350-HLOOKUP(V350,Minimas!$C$3:$CD$12,9,FALSE)</f>
        <v>#N/A</v>
      </c>
      <c r="AJ350" s="230" t="e">
        <f>T350-HLOOKUP(V350,Minimas!$C$3:$CD$12,10,FALSE)</f>
        <v>#N/A</v>
      </c>
      <c r="AK350" s="231" t="str">
        <f t="shared" si="93"/>
        <v xml:space="preserve"> </v>
      </c>
      <c r="AL350" s="232"/>
      <c r="AM350" s="232" t="str">
        <f t="shared" si="94"/>
        <v xml:space="preserve"> </v>
      </c>
      <c r="AN350" s="232" t="str">
        <f t="shared" si="95"/>
        <v xml:space="preserve"> </v>
      </c>
    </row>
    <row r="351" spans="28:40" x14ac:dyDescent="0.25">
      <c r="AB351" s="230" t="e">
        <f>T351-HLOOKUP(V351,Minimas!$C$3:$CD$12,2,FALSE)</f>
        <v>#N/A</v>
      </c>
      <c r="AC351" s="230" t="e">
        <f>T351-HLOOKUP(V351,Minimas!$C$3:$CD$12,3,FALSE)</f>
        <v>#N/A</v>
      </c>
      <c r="AD351" s="230" t="e">
        <f>T351-HLOOKUP(V351,Minimas!$C$3:$CD$12,4,FALSE)</f>
        <v>#N/A</v>
      </c>
      <c r="AE351" s="230" t="e">
        <f>T351-HLOOKUP(V351,Minimas!$C$3:$CD$12,5,FALSE)</f>
        <v>#N/A</v>
      </c>
      <c r="AF351" s="230" t="e">
        <f>T351-HLOOKUP(V351,Minimas!$C$3:$CD$12,6,FALSE)</f>
        <v>#N/A</v>
      </c>
      <c r="AG351" s="230" t="e">
        <f>T351-HLOOKUP(V351,Minimas!$C$3:$CD$12,7,FALSE)</f>
        <v>#N/A</v>
      </c>
      <c r="AH351" s="230" t="e">
        <f>T351-HLOOKUP(V351,Minimas!$C$3:$CD$12,8,FALSE)</f>
        <v>#N/A</v>
      </c>
      <c r="AI351" s="230" t="e">
        <f>T351-HLOOKUP(V351,Minimas!$C$3:$CD$12,9,FALSE)</f>
        <v>#N/A</v>
      </c>
      <c r="AJ351" s="230" t="e">
        <f>T351-HLOOKUP(V351,Minimas!$C$3:$CD$12,10,FALSE)</f>
        <v>#N/A</v>
      </c>
      <c r="AK351" s="231" t="str">
        <f t="shared" si="93"/>
        <v xml:space="preserve"> </v>
      </c>
      <c r="AL351" s="232"/>
      <c r="AM351" s="232" t="str">
        <f t="shared" si="94"/>
        <v xml:space="preserve"> </v>
      </c>
      <c r="AN351" s="232" t="str">
        <f t="shared" si="95"/>
        <v xml:space="preserve"> </v>
      </c>
    </row>
    <row r="352" spans="28:40" x14ac:dyDescent="0.25">
      <c r="AB352" s="230" t="e">
        <f>T352-HLOOKUP(V352,Minimas!$C$3:$CD$12,2,FALSE)</f>
        <v>#N/A</v>
      </c>
      <c r="AC352" s="230" t="e">
        <f>T352-HLOOKUP(V352,Minimas!$C$3:$CD$12,3,FALSE)</f>
        <v>#N/A</v>
      </c>
      <c r="AD352" s="230" t="e">
        <f>T352-HLOOKUP(V352,Minimas!$C$3:$CD$12,4,FALSE)</f>
        <v>#N/A</v>
      </c>
      <c r="AE352" s="230" t="e">
        <f>T352-HLOOKUP(V352,Minimas!$C$3:$CD$12,5,FALSE)</f>
        <v>#N/A</v>
      </c>
      <c r="AF352" s="230" t="e">
        <f>T352-HLOOKUP(V352,Minimas!$C$3:$CD$12,6,FALSE)</f>
        <v>#N/A</v>
      </c>
      <c r="AG352" s="230" t="e">
        <f>T352-HLOOKUP(V352,Minimas!$C$3:$CD$12,7,FALSE)</f>
        <v>#N/A</v>
      </c>
      <c r="AH352" s="230" t="e">
        <f>T352-HLOOKUP(V352,Minimas!$C$3:$CD$12,8,FALSE)</f>
        <v>#N/A</v>
      </c>
      <c r="AI352" s="230" t="e">
        <f>T352-HLOOKUP(V352,Minimas!$C$3:$CD$12,9,FALSE)</f>
        <v>#N/A</v>
      </c>
      <c r="AJ352" s="230" t="e">
        <f>T352-HLOOKUP(V352,Minimas!$C$3:$CD$12,10,FALSE)</f>
        <v>#N/A</v>
      </c>
      <c r="AK352" s="231" t="str">
        <f t="shared" si="93"/>
        <v xml:space="preserve"> </v>
      </c>
      <c r="AL352" s="232"/>
      <c r="AM352" s="232" t="str">
        <f t="shared" si="94"/>
        <v xml:space="preserve"> </v>
      </c>
      <c r="AN352" s="232" t="str">
        <f t="shared" si="95"/>
        <v xml:space="preserve"> </v>
      </c>
    </row>
    <row r="353" spans="28:40" x14ac:dyDescent="0.25">
      <c r="AB353" s="230" t="e">
        <f>T353-HLOOKUP(V353,Minimas!$C$3:$CD$12,2,FALSE)</f>
        <v>#N/A</v>
      </c>
      <c r="AC353" s="230" t="e">
        <f>T353-HLOOKUP(V353,Minimas!$C$3:$CD$12,3,FALSE)</f>
        <v>#N/A</v>
      </c>
      <c r="AD353" s="230" t="e">
        <f>T353-HLOOKUP(V353,Minimas!$C$3:$CD$12,4,FALSE)</f>
        <v>#N/A</v>
      </c>
      <c r="AE353" s="230" t="e">
        <f>T353-HLOOKUP(V353,Minimas!$C$3:$CD$12,5,FALSE)</f>
        <v>#N/A</v>
      </c>
      <c r="AF353" s="230" t="e">
        <f>T353-HLOOKUP(V353,Minimas!$C$3:$CD$12,6,FALSE)</f>
        <v>#N/A</v>
      </c>
      <c r="AG353" s="230" t="e">
        <f>T353-HLOOKUP(V353,Minimas!$C$3:$CD$12,7,FALSE)</f>
        <v>#N/A</v>
      </c>
      <c r="AH353" s="230" t="e">
        <f>T353-HLOOKUP(V353,Minimas!$C$3:$CD$12,8,FALSE)</f>
        <v>#N/A</v>
      </c>
      <c r="AI353" s="230" t="e">
        <f>T353-HLOOKUP(V353,Minimas!$C$3:$CD$12,9,FALSE)</f>
        <v>#N/A</v>
      </c>
      <c r="AJ353" s="230" t="e">
        <f>T353-HLOOKUP(V353,Minimas!$C$3:$CD$12,10,FALSE)</f>
        <v>#N/A</v>
      </c>
      <c r="AK353" s="231" t="str">
        <f t="shared" si="93"/>
        <v xml:space="preserve"> </v>
      </c>
      <c r="AL353" s="232"/>
      <c r="AM353" s="232" t="str">
        <f t="shared" si="94"/>
        <v xml:space="preserve"> </v>
      </c>
      <c r="AN353" s="232" t="str">
        <f t="shared" si="95"/>
        <v xml:space="preserve"> </v>
      </c>
    </row>
    <row r="354" spans="28:40" x14ac:dyDescent="0.25">
      <c r="AB354" s="230" t="e">
        <f>T354-HLOOKUP(V354,Minimas!$C$3:$CD$12,2,FALSE)</f>
        <v>#N/A</v>
      </c>
      <c r="AC354" s="230" t="e">
        <f>T354-HLOOKUP(V354,Minimas!$C$3:$CD$12,3,FALSE)</f>
        <v>#N/A</v>
      </c>
      <c r="AD354" s="230" t="e">
        <f>T354-HLOOKUP(V354,Minimas!$C$3:$CD$12,4,FALSE)</f>
        <v>#N/A</v>
      </c>
      <c r="AE354" s="230" t="e">
        <f>T354-HLOOKUP(V354,Minimas!$C$3:$CD$12,5,FALSE)</f>
        <v>#N/A</v>
      </c>
      <c r="AF354" s="230" t="e">
        <f>T354-HLOOKUP(V354,Minimas!$C$3:$CD$12,6,FALSE)</f>
        <v>#N/A</v>
      </c>
      <c r="AG354" s="230" t="e">
        <f>T354-HLOOKUP(V354,Minimas!$C$3:$CD$12,7,FALSE)</f>
        <v>#N/A</v>
      </c>
      <c r="AH354" s="230" t="e">
        <f>T354-HLOOKUP(V354,Minimas!$C$3:$CD$12,8,FALSE)</f>
        <v>#N/A</v>
      </c>
      <c r="AI354" s="230" t="e">
        <f>T354-HLOOKUP(V354,Minimas!$C$3:$CD$12,9,FALSE)</f>
        <v>#N/A</v>
      </c>
      <c r="AJ354" s="230" t="e">
        <f>T354-HLOOKUP(V354,Minimas!$C$3:$CD$12,10,FALSE)</f>
        <v>#N/A</v>
      </c>
      <c r="AK354" s="231" t="str">
        <f t="shared" si="93"/>
        <v xml:space="preserve"> </v>
      </c>
      <c r="AL354" s="232"/>
      <c r="AM354" s="232" t="str">
        <f t="shared" si="94"/>
        <v xml:space="preserve"> </v>
      </c>
      <c r="AN354" s="232" t="str">
        <f t="shared" si="95"/>
        <v xml:space="preserve"> </v>
      </c>
    </row>
    <row r="355" spans="28:40" x14ac:dyDescent="0.25">
      <c r="AB355" s="230" t="e">
        <f>T355-HLOOKUP(V355,Minimas!$C$3:$CD$12,2,FALSE)</f>
        <v>#N/A</v>
      </c>
      <c r="AC355" s="230" t="e">
        <f>T355-HLOOKUP(V355,Minimas!$C$3:$CD$12,3,FALSE)</f>
        <v>#N/A</v>
      </c>
      <c r="AD355" s="230" t="e">
        <f>T355-HLOOKUP(V355,Minimas!$C$3:$CD$12,4,FALSE)</f>
        <v>#N/A</v>
      </c>
      <c r="AE355" s="230" t="e">
        <f>T355-HLOOKUP(V355,Minimas!$C$3:$CD$12,5,FALSE)</f>
        <v>#N/A</v>
      </c>
      <c r="AF355" s="230" t="e">
        <f>T355-HLOOKUP(V355,Minimas!$C$3:$CD$12,6,FALSE)</f>
        <v>#N/A</v>
      </c>
      <c r="AG355" s="230" t="e">
        <f>T355-HLOOKUP(V355,Minimas!$C$3:$CD$12,7,FALSE)</f>
        <v>#N/A</v>
      </c>
      <c r="AH355" s="230" t="e">
        <f>T355-HLOOKUP(V355,Minimas!$C$3:$CD$12,8,FALSE)</f>
        <v>#N/A</v>
      </c>
      <c r="AI355" s="230" t="e">
        <f>T355-HLOOKUP(V355,Minimas!$C$3:$CD$12,9,FALSE)</f>
        <v>#N/A</v>
      </c>
      <c r="AJ355" s="230" t="e">
        <f>T355-HLOOKUP(V355,Minimas!$C$3:$CD$12,10,FALSE)</f>
        <v>#N/A</v>
      </c>
      <c r="AK355" s="231" t="str">
        <f t="shared" si="93"/>
        <v xml:space="preserve"> </v>
      </c>
      <c r="AL355" s="232"/>
      <c r="AM355" s="232" t="str">
        <f t="shared" si="94"/>
        <v xml:space="preserve"> </v>
      </c>
      <c r="AN355" s="232" t="str">
        <f t="shared" si="95"/>
        <v xml:space="preserve"> </v>
      </c>
    </row>
    <row r="356" spans="28:40" x14ac:dyDescent="0.25">
      <c r="AB356" s="230" t="e">
        <f>T356-HLOOKUP(V356,Minimas!$C$3:$CD$12,2,FALSE)</f>
        <v>#N/A</v>
      </c>
      <c r="AC356" s="230" t="e">
        <f>T356-HLOOKUP(V356,Minimas!$C$3:$CD$12,3,FALSE)</f>
        <v>#N/A</v>
      </c>
      <c r="AD356" s="230" t="e">
        <f>T356-HLOOKUP(V356,Minimas!$C$3:$CD$12,4,FALSE)</f>
        <v>#N/A</v>
      </c>
      <c r="AE356" s="230" t="e">
        <f>T356-HLOOKUP(V356,Minimas!$C$3:$CD$12,5,FALSE)</f>
        <v>#N/A</v>
      </c>
      <c r="AF356" s="230" t="e">
        <f>T356-HLOOKUP(V356,Minimas!$C$3:$CD$12,6,FALSE)</f>
        <v>#N/A</v>
      </c>
      <c r="AG356" s="230" t="e">
        <f>T356-HLOOKUP(V356,Minimas!$C$3:$CD$12,7,FALSE)</f>
        <v>#N/A</v>
      </c>
      <c r="AH356" s="230" t="e">
        <f>T356-HLOOKUP(V356,Minimas!$C$3:$CD$12,8,FALSE)</f>
        <v>#N/A</v>
      </c>
      <c r="AI356" s="230" t="e">
        <f>T356-HLOOKUP(V356,Minimas!$C$3:$CD$12,9,FALSE)</f>
        <v>#N/A</v>
      </c>
      <c r="AJ356" s="230" t="e">
        <f>T356-HLOOKUP(V356,Minimas!$C$3:$CD$12,10,FALSE)</f>
        <v>#N/A</v>
      </c>
      <c r="AK356" s="231" t="str">
        <f t="shared" si="93"/>
        <v xml:space="preserve"> </v>
      </c>
      <c r="AL356" s="232"/>
      <c r="AM356" s="232" t="str">
        <f t="shared" si="94"/>
        <v xml:space="preserve"> </v>
      </c>
      <c r="AN356" s="232" t="str">
        <f t="shared" si="95"/>
        <v xml:space="preserve"> </v>
      </c>
    </row>
    <row r="357" spans="28:40" x14ac:dyDescent="0.25">
      <c r="AB357" s="230" t="e">
        <f>T357-HLOOKUP(V357,Minimas!$C$3:$CD$12,2,FALSE)</f>
        <v>#N/A</v>
      </c>
      <c r="AC357" s="230" t="e">
        <f>T357-HLOOKUP(V357,Minimas!$C$3:$CD$12,3,FALSE)</f>
        <v>#N/A</v>
      </c>
      <c r="AD357" s="230" t="e">
        <f>T357-HLOOKUP(V357,Minimas!$C$3:$CD$12,4,FALSE)</f>
        <v>#N/A</v>
      </c>
      <c r="AE357" s="230" t="e">
        <f>T357-HLOOKUP(V357,Minimas!$C$3:$CD$12,5,FALSE)</f>
        <v>#N/A</v>
      </c>
      <c r="AF357" s="230" t="e">
        <f>T357-HLOOKUP(V357,Minimas!$C$3:$CD$12,6,FALSE)</f>
        <v>#N/A</v>
      </c>
      <c r="AG357" s="230" t="e">
        <f>T357-HLOOKUP(V357,Minimas!$C$3:$CD$12,7,FALSE)</f>
        <v>#N/A</v>
      </c>
      <c r="AH357" s="230" t="e">
        <f>T357-HLOOKUP(V357,Minimas!$C$3:$CD$12,8,FALSE)</f>
        <v>#N/A</v>
      </c>
      <c r="AI357" s="230" t="e">
        <f>T357-HLOOKUP(V357,Minimas!$C$3:$CD$12,9,FALSE)</f>
        <v>#N/A</v>
      </c>
      <c r="AJ357" s="230" t="e">
        <f>T357-HLOOKUP(V357,Minimas!$C$3:$CD$12,10,FALSE)</f>
        <v>#N/A</v>
      </c>
      <c r="AK357" s="231" t="str">
        <f t="shared" si="93"/>
        <v xml:space="preserve"> </v>
      </c>
      <c r="AL357" s="232"/>
      <c r="AM357" s="232" t="str">
        <f t="shared" si="94"/>
        <v xml:space="preserve"> </v>
      </c>
      <c r="AN357" s="232" t="str">
        <f t="shared" si="95"/>
        <v xml:space="preserve"> </v>
      </c>
    </row>
    <row r="358" spans="28:40" x14ac:dyDescent="0.25">
      <c r="AB358" s="230" t="e">
        <f>T358-HLOOKUP(V358,Minimas!$C$3:$CD$12,2,FALSE)</f>
        <v>#N/A</v>
      </c>
      <c r="AC358" s="230" t="e">
        <f>T358-HLOOKUP(V358,Minimas!$C$3:$CD$12,3,FALSE)</f>
        <v>#N/A</v>
      </c>
      <c r="AD358" s="230" t="e">
        <f>T358-HLOOKUP(V358,Minimas!$C$3:$CD$12,4,FALSE)</f>
        <v>#N/A</v>
      </c>
      <c r="AE358" s="230" t="e">
        <f>T358-HLOOKUP(V358,Minimas!$C$3:$CD$12,5,FALSE)</f>
        <v>#N/A</v>
      </c>
      <c r="AF358" s="230" t="e">
        <f>T358-HLOOKUP(V358,Minimas!$C$3:$CD$12,6,FALSE)</f>
        <v>#N/A</v>
      </c>
      <c r="AG358" s="230" t="e">
        <f>T358-HLOOKUP(V358,Minimas!$C$3:$CD$12,7,FALSE)</f>
        <v>#N/A</v>
      </c>
      <c r="AH358" s="230" t="e">
        <f>T358-HLOOKUP(V358,Minimas!$C$3:$CD$12,8,FALSE)</f>
        <v>#N/A</v>
      </c>
      <c r="AI358" s="230" t="e">
        <f>T358-HLOOKUP(V358,Minimas!$C$3:$CD$12,9,FALSE)</f>
        <v>#N/A</v>
      </c>
      <c r="AJ358" s="230" t="e">
        <f>T358-HLOOKUP(V358,Minimas!$C$3:$CD$12,10,FALSE)</f>
        <v>#N/A</v>
      </c>
      <c r="AK358" s="231" t="str">
        <f t="shared" si="93"/>
        <v xml:space="preserve"> </v>
      </c>
      <c r="AL358" s="232"/>
      <c r="AM358" s="232" t="str">
        <f t="shared" si="94"/>
        <v xml:space="preserve"> </v>
      </c>
      <c r="AN358" s="232" t="str">
        <f t="shared" si="95"/>
        <v xml:space="preserve"> </v>
      </c>
    </row>
    <row r="359" spans="28:40" x14ac:dyDescent="0.25">
      <c r="AB359" s="230" t="e">
        <f>T359-HLOOKUP(V359,Minimas!$C$3:$CD$12,2,FALSE)</f>
        <v>#N/A</v>
      </c>
      <c r="AC359" s="230" t="e">
        <f>T359-HLOOKUP(V359,Minimas!$C$3:$CD$12,3,FALSE)</f>
        <v>#N/A</v>
      </c>
      <c r="AD359" s="230" t="e">
        <f>T359-HLOOKUP(V359,Minimas!$C$3:$CD$12,4,FALSE)</f>
        <v>#N/A</v>
      </c>
      <c r="AE359" s="230" t="e">
        <f>T359-HLOOKUP(V359,Minimas!$C$3:$CD$12,5,FALSE)</f>
        <v>#N/A</v>
      </c>
      <c r="AF359" s="230" t="e">
        <f>T359-HLOOKUP(V359,Minimas!$C$3:$CD$12,6,FALSE)</f>
        <v>#N/A</v>
      </c>
      <c r="AG359" s="230" t="e">
        <f>T359-HLOOKUP(V359,Minimas!$C$3:$CD$12,7,FALSE)</f>
        <v>#N/A</v>
      </c>
      <c r="AH359" s="230" t="e">
        <f>T359-HLOOKUP(V359,Minimas!$C$3:$CD$12,8,FALSE)</f>
        <v>#N/A</v>
      </c>
      <c r="AI359" s="230" t="e">
        <f>T359-HLOOKUP(V359,Minimas!$C$3:$CD$12,9,FALSE)</f>
        <v>#N/A</v>
      </c>
      <c r="AJ359" s="230" t="e">
        <f>T359-HLOOKUP(V359,Minimas!$C$3:$CD$12,10,FALSE)</f>
        <v>#N/A</v>
      </c>
      <c r="AK359" s="231" t="str">
        <f t="shared" si="93"/>
        <v xml:space="preserve"> </v>
      </c>
      <c r="AL359" s="232"/>
      <c r="AM359" s="232" t="str">
        <f t="shared" si="94"/>
        <v xml:space="preserve"> </v>
      </c>
      <c r="AN359" s="232" t="str">
        <f t="shared" si="95"/>
        <v xml:space="preserve"> </v>
      </c>
    </row>
    <row r="360" spans="28:40" x14ac:dyDescent="0.25">
      <c r="AB360" s="230" t="e">
        <f>T360-HLOOKUP(V360,Minimas!$C$3:$CD$12,2,FALSE)</f>
        <v>#N/A</v>
      </c>
      <c r="AC360" s="230" t="e">
        <f>T360-HLOOKUP(V360,Minimas!$C$3:$CD$12,3,FALSE)</f>
        <v>#N/A</v>
      </c>
      <c r="AD360" s="230" t="e">
        <f>T360-HLOOKUP(V360,Minimas!$C$3:$CD$12,4,FALSE)</f>
        <v>#N/A</v>
      </c>
      <c r="AE360" s="230" t="e">
        <f>T360-HLOOKUP(V360,Minimas!$C$3:$CD$12,5,FALSE)</f>
        <v>#N/A</v>
      </c>
      <c r="AF360" s="230" t="e">
        <f>T360-HLOOKUP(V360,Minimas!$C$3:$CD$12,6,FALSE)</f>
        <v>#N/A</v>
      </c>
      <c r="AG360" s="230" t="e">
        <f>T360-HLOOKUP(V360,Minimas!$C$3:$CD$12,7,FALSE)</f>
        <v>#N/A</v>
      </c>
      <c r="AH360" s="230" t="e">
        <f>T360-HLOOKUP(V360,Minimas!$C$3:$CD$12,8,FALSE)</f>
        <v>#N/A</v>
      </c>
      <c r="AI360" s="230" t="e">
        <f>T360-HLOOKUP(V360,Minimas!$C$3:$CD$12,9,FALSE)</f>
        <v>#N/A</v>
      </c>
      <c r="AJ360" s="230" t="e">
        <f>T360-HLOOKUP(V360,Minimas!$C$3:$CD$12,10,FALSE)</f>
        <v>#N/A</v>
      </c>
      <c r="AK360" s="231" t="str">
        <f t="shared" si="93"/>
        <v xml:space="preserve"> </v>
      </c>
      <c r="AL360" s="232"/>
      <c r="AM360" s="232" t="str">
        <f t="shared" si="94"/>
        <v xml:space="preserve"> </v>
      </c>
      <c r="AN360" s="232" t="str">
        <f t="shared" si="95"/>
        <v xml:space="preserve"> </v>
      </c>
    </row>
    <row r="361" spans="28:40" x14ac:dyDescent="0.25">
      <c r="AB361" s="230" t="e">
        <f>T361-HLOOKUP(V361,Minimas!$C$3:$CD$12,2,FALSE)</f>
        <v>#N/A</v>
      </c>
      <c r="AC361" s="230" t="e">
        <f>T361-HLOOKUP(V361,Minimas!$C$3:$CD$12,3,FALSE)</f>
        <v>#N/A</v>
      </c>
      <c r="AD361" s="230" t="e">
        <f>T361-HLOOKUP(V361,Minimas!$C$3:$CD$12,4,FALSE)</f>
        <v>#N/A</v>
      </c>
      <c r="AE361" s="230" t="e">
        <f>T361-HLOOKUP(V361,Minimas!$C$3:$CD$12,5,FALSE)</f>
        <v>#N/A</v>
      </c>
      <c r="AF361" s="230" t="e">
        <f>T361-HLOOKUP(V361,Minimas!$C$3:$CD$12,6,FALSE)</f>
        <v>#N/A</v>
      </c>
      <c r="AG361" s="230" t="e">
        <f>T361-HLOOKUP(V361,Minimas!$C$3:$CD$12,7,FALSE)</f>
        <v>#N/A</v>
      </c>
      <c r="AH361" s="230" t="e">
        <f>T361-HLOOKUP(V361,Minimas!$C$3:$CD$12,8,FALSE)</f>
        <v>#N/A</v>
      </c>
      <c r="AI361" s="230" t="e">
        <f>T361-HLOOKUP(V361,Minimas!$C$3:$CD$12,9,FALSE)</f>
        <v>#N/A</v>
      </c>
      <c r="AJ361" s="230" t="e">
        <f>T361-HLOOKUP(V361,Minimas!$C$3:$CD$12,10,FALSE)</f>
        <v>#N/A</v>
      </c>
      <c r="AK361" s="231" t="str">
        <f t="shared" si="93"/>
        <v xml:space="preserve"> </v>
      </c>
      <c r="AL361" s="232"/>
      <c r="AM361" s="232" t="str">
        <f t="shared" si="94"/>
        <v xml:space="preserve"> </v>
      </c>
      <c r="AN361" s="232" t="str">
        <f t="shared" si="95"/>
        <v xml:space="preserve"> </v>
      </c>
    </row>
    <row r="362" spans="28:40" x14ac:dyDescent="0.25">
      <c r="AB362" s="230" t="e">
        <f>T362-HLOOKUP(V362,Minimas!$C$3:$CD$12,2,FALSE)</f>
        <v>#N/A</v>
      </c>
      <c r="AC362" s="230" t="e">
        <f>T362-HLOOKUP(V362,Minimas!$C$3:$CD$12,3,FALSE)</f>
        <v>#N/A</v>
      </c>
      <c r="AD362" s="230" t="e">
        <f>T362-HLOOKUP(V362,Minimas!$C$3:$CD$12,4,FALSE)</f>
        <v>#N/A</v>
      </c>
      <c r="AE362" s="230" t="e">
        <f>T362-HLOOKUP(V362,Minimas!$C$3:$CD$12,5,FALSE)</f>
        <v>#N/A</v>
      </c>
      <c r="AF362" s="230" t="e">
        <f>T362-HLOOKUP(V362,Minimas!$C$3:$CD$12,6,FALSE)</f>
        <v>#N/A</v>
      </c>
      <c r="AG362" s="230" t="e">
        <f>T362-HLOOKUP(V362,Minimas!$C$3:$CD$12,7,FALSE)</f>
        <v>#N/A</v>
      </c>
      <c r="AH362" s="230" t="e">
        <f>T362-HLOOKUP(V362,Minimas!$C$3:$CD$12,8,FALSE)</f>
        <v>#N/A</v>
      </c>
      <c r="AI362" s="230" t="e">
        <f>T362-HLOOKUP(V362,Minimas!$C$3:$CD$12,9,FALSE)</f>
        <v>#N/A</v>
      </c>
      <c r="AJ362" s="230" t="e">
        <f>T362-HLOOKUP(V362,Minimas!$C$3:$CD$12,10,FALSE)</f>
        <v>#N/A</v>
      </c>
      <c r="AK362" s="231" t="str">
        <f t="shared" si="93"/>
        <v xml:space="preserve"> </v>
      </c>
      <c r="AL362" s="232"/>
      <c r="AM362" s="232" t="str">
        <f t="shared" si="94"/>
        <v xml:space="preserve"> </v>
      </c>
      <c r="AN362" s="232" t="str">
        <f t="shared" si="95"/>
        <v xml:space="preserve"> </v>
      </c>
    </row>
    <row r="363" spans="28:40" x14ac:dyDescent="0.25">
      <c r="AB363" s="230" t="e">
        <f>T363-HLOOKUP(V363,Minimas!$C$3:$CD$12,2,FALSE)</f>
        <v>#N/A</v>
      </c>
      <c r="AC363" s="230" t="e">
        <f>T363-HLOOKUP(V363,Minimas!$C$3:$CD$12,3,FALSE)</f>
        <v>#N/A</v>
      </c>
      <c r="AD363" s="230" t="e">
        <f>T363-HLOOKUP(V363,Minimas!$C$3:$CD$12,4,FALSE)</f>
        <v>#N/A</v>
      </c>
      <c r="AE363" s="230" t="e">
        <f>T363-HLOOKUP(V363,Minimas!$C$3:$CD$12,5,FALSE)</f>
        <v>#N/A</v>
      </c>
      <c r="AF363" s="230" t="e">
        <f>T363-HLOOKUP(V363,Minimas!$C$3:$CD$12,6,FALSE)</f>
        <v>#N/A</v>
      </c>
      <c r="AG363" s="230" t="e">
        <f>T363-HLOOKUP(V363,Minimas!$C$3:$CD$12,7,FALSE)</f>
        <v>#N/A</v>
      </c>
      <c r="AH363" s="230" t="e">
        <f>T363-HLOOKUP(V363,Minimas!$C$3:$CD$12,8,FALSE)</f>
        <v>#N/A</v>
      </c>
      <c r="AI363" s="230" t="e">
        <f>T363-HLOOKUP(V363,Minimas!$C$3:$CD$12,9,FALSE)</f>
        <v>#N/A</v>
      </c>
      <c r="AJ363" s="230" t="e">
        <f>T363-HLOOKUP(V363,Minimas!$C$3:$CD$12,10,FALSE)</f>
        <v>#N/A</v>
      </c>
      <c r="AK363" s="231" t="str">
        <f t="shared" si="93"/>
        <v xml:space="preserve"> </v>
      </c>
      <c r="AL363" s="232"/>
      <c r="AM363" s="232" t="str">
        <f t="shared" si="94"/>
        <v xml:space="preserve"> </v>
      </c>
      <c r="AN363" s="232" t="str">
        <f t="shared" si="95"/>
        <v xml:space="preserve"> </v>
      </c>
    </row>
    <row r="364" spans="28:40" x14ac:dyDescent="0.25">
      <c r="AB364" s="230" t="e">
        <f>T364-HLOOKUP(V364,Minimas!$C$3:$CD$12,2,FALSE)</f>
        <v>#N/A</v>
      </c>
      <c r="AC364" s="230" t="e">
        <f>T364-HLOOKUP(V364,Minimas!$C$3:$CD$12,3,FALSE)</f>
        <v>#N/A</v>
      </c>
      <c r="AD364" s="230" t="e">
        <f>T364-HLOOKUP(V364,Minimas!$C$3:$CD$12,4,FALSE)</f>
        <v>#N/A</v>
      </c>
      <c r="AE364" s="230" t="e">
        <f>T364-HLOOKUP(V364,Minimas!$C$3:$CD$12,5,FALSE)</f>
        <v>#N/A</v>
      </c>
      <c r="AF364" s="230" t="e">
        <f>T364-HLOOKUP(V364,Minimas!$C$3:$CD$12,6,FALSE)</f>
        <v>#N/A</v>
      </c>
      <c r="AG364" s="230" t="e">
        <f>T364-HLOOKUP(V364,Minimas!$C$3:$CD$12,7,FALSE)</f>
        <v>#N/A</v>
      </c>
      <c r="AH364" s="230" t="e">
        <f>T364-HLOOKUP(V364,Minimas!$C$3:$CD$12,8,FALSE)</f>
        <v>#N/A</v>
      </c>
      <c r="AI364" s="230" t="e">
        <f>T364-HLOOKUP(V364,Minimas!$C$3:$CD$12,9,FALSE)</f>
        <v>#N/A</v>
      </c>
      <c r="AJ364" s="230" t="e">
        <f>T364-HLOOKUP(V364,Minimas!$C$3:$CD$12,10,FALSE)</f>
        <v>#N/A</v>
      </c>
      <c r="AK364" s="231" t="str">
        <f t="shared" si="93"/>
        <v xml:space="preserve"> </v>
      </c>
      <c r="AL364" s="232"/>
      <c r="AM364" s="232" t="str">
        <f t="shared" si="94"/>
        <v xml:space="preserve"> </v>
      </c>
      <c r="AN364" s="232" t="str">
        <f t="shared" si="95"/>
        <v xml:space="preserve"> </v>
      </c>
    </row>
    <row r="365" spans="28:40" x14ac:dyDescent="0.25">
      <c r="AB365" s="230" t="e">
        <f>T365-HLOOKUP(V365,Minimas!$C$3:$CD$12,2,FALSE)</f>
        <v>#N/A</v>
      </c>
      <c r="AC365" s="230" t="e">
        <f>T365-HLOOKUP(V365,Minimas!$C$3:$CD$12,3,FALSE)</f>
        <v>#N/A</v>
      </c>
      <c r="AD365" s="230" t="e">
        <f>T365-HLOOKUP(V365,Minimas!$C$3:$CD$12,4,FALSE)</f>
        <v>#N/A</v>
      </c>
      <c r="AE365" s="230" t="e">
        <f>T365-HLOOKUP(V365,Minimas!$C$3:$CD$12,5,FALSE)</f>
        <v>#N/A</v>
      </c>
      <c r="AF365" s="230" t="e">
        <f>T365-HLOOKUP(V365,Minimas!$C$3:$CD$12,6,FALSE)</f>
        <v>#N/A</v>
      </c>
      <c r="AG365" s="230" t="e">
        <f>T365-HLOOKUP(V365,Minimas!$C$3:$CD$12,7,FALSE)</f>
        <v>#N/A</v>
      </c>
      <c r="AH365" s="230" t="e">
        <f>T365-HLOOKUP(V365,Minimas!$C$3:$CD$12,8,FALSE)</f>
        <v>#N/A</v>
      </c>
      <c r="AI365" s="230" t="e">
        <f>T365-HLOOKUP(V365,Minimas!$C$3:$CD$12,9,FALSE)</f>
        <v>#N/A</v>
      </c>
      <c r="AJ365" s="230" t="e">
        <f>T365-HLOOKUP(V365,Minimas!$C$3:$CD$12,10,FALSE)</f>
        <v>#N/A</v>
      </c>
      <c r="AK365" s="231" t="str">
        <f t="shared" si="93"/>
        <v xml:space="preserve"> </v>
      </c>
      <c r="AL365" s="232"/>
      <c r="AM365" s="232" t="str">
        <f t="shared" si="94"/>
        <v xml:space="preserve"> </v>
      </c>
      <c r="AN365" s="232" t="str">
        <f t="shared" si="95"/>
        <v xml:space="preserve"> </v>
      </c>
    </row>
    <row r="366" spans="28:40" x14ac:dyDescent="0.25">
      <c r="AB366" s="230" t="e">
        <f>T366-HLOOKUP(V366,Minimas!$C$3:$CD$12,2,FALSE)</f>
        <v>#N/A</v>
      </c>
      <c r="AC366" s="230" t="e">
        <f>T366-HLOOKUP(V366,Minimas!$C$3:$CD$12,3,FALSE)</f>
        <v>#N/A</v>
      </c>
      <c r="AD366" s="230" t="e">
        <f>T366-HLOOKUP(V366,Minimas!$C$3:$CD$12,4,FALSE)</f>
        <v>#N/A</v>
      </c>
      <c r="AE366" s="230" t="e">
        <f>T366-HLOOKUP(V366,Minimas!$C$3:$CD$12,5,FALSE)</f>
        <v>#N/A</v>
      </c>
      <c r="AF366" s="230" t="e">
        <f>T366-HLOOKUP(V366,Minimas!$C$3:$CD$12,6,FALSE)</f>
        <v>#N/A</v>
      </c>
      <c r="AG366" s="230" t="e">
        <f>T366-HLOOKUP(V366,Minimas!$C$3:$CD$12,7,FALSE)</f>
        <v>#N/A</v>
      </c>
      <c r="AH366" s="230" t="e">
        <f>T366-HLOOKUP(V366,Minimas!$C$3:$CD$12,8,FALSE)</f>
        <v>#N/A</v>
      </c>
      <c r="AI366" s="230" t="e">
        <f>T366-HLOOKUP(V366,Minimas!$C$3:$CD$12,9,FALSE)</f>
        <v>#N/A</v>
      </c>
      <c r="AJ366" s="230" t="e">
        <f>T366-HLOOKUP(V366,Minimas!$C$3:$CD$12,10,FALSE)</f>
        <v>#N/A</v>
      </c>
      <c r="AK366" s="231" t="str">
        <f t="shared" si="93"/>
        <v xml:space="preserve"> </v>
      </c>
      <c r="AL366" s="232"/>
      <c r="AM366" s="232" t="str">
        <f t="shared" si="94"/>
        <v xml:space="preserve"> </v>
      </c>
      <c r="AN366" s="232" t="str">
        <f t="shared" si="95"/>
        <v xml:space="preserve"> </v>
      </c>
    </row>
    <row r="367" spans="28:40" x14ac:dyDescent="0.25">
      <c r="AB367" s="230" t="e">
        <f>T367-HLOOKUP(V367,Minimas!$C$3:$CD$12,2,FALSE)</f>
        <v>#N/A</v>
      </c>
      <c r="AC367" s="230" t="e">
        <f>T367-HLOOKUP(V367,Minimas!$C$3:$CD$12,3,FALSE)</f>
        <v>#N/A</v>
      </c>
      <c r="AD367" s="230" t="e">
        <f>T367-HLOOKUP(V367,Minimas!$C$3:$CD$12,4,FALSE)</f>
        <v>#N/A</v>
      </c>
      <c r="AE367" s="230" t="e">
        <f>T367-HLOOKUP(V367,Minimas!$C$3:$CD$12,5,FALSE)</f>
        <v>#N/A</v>
      </c>
      <c r="AF367" s="230" t="e">
        <f>T367-HLOOKUP(V367,Minimas!$C$3:$CD$12,6,FALSE)</f>
        <v>#N/A</v>
      </c>
      <c r="AG367" s="230" t="e">
        <f>T367-HLOOKUP(V367,Minimas!$C$3:$CD$12,7,FALSE)</f>
        <v>#N/A</v>
      </c>
      <c r="AH367" s="230" t="e">
        <f>T367-HLOOKUP(V367,Minimas!$C$3:$CD$12,8,FALSE)</f>
        <v>#N/A</v>
      </c>
      <c r="AI367" s="230" t="e">
        <f>T367-HLOOKUP(V367,Minimas!$C$3:$CD$12,9,FALSE)</f>
        <v>#N/A</v>
      </c>
      <c r="AJ367" s="230" t="e">
        <f>T367-HLOOKUP(V367,Minimas!$C$3:$CD$12,10,FALSE)</f>
        <v>#N/A</v>
      </c>
      <c r="AK367" s="231" t="str">
        <f t="shared" si="93"/>
        <v xml:space="preserve"> </v>
      </c>
      <c r="AL367" s="232"/>
      <c r="AM367" s="232" t="str">
        <f t="shared" si="94"/>
        <v xml:space="preserve"> </v>
      </c>
      <c r="AN367" s="232" t="str">
        <f t="shared" si="95"/>
        <v xml:space="preserve"> </v>
      </c>
    </row>
    <row r="368" spans="28:40" x14ac:dyDescent="0.25">
      <c r="AB368" s="230" t="e">
        <f>T368-HLOOKUP(V368,Minimas!$C$3:$CD$12,2,FALSE)</f>
        <v>#N/A</v>
      </c>
      <c r="AC368" s="230" t="e">
        <f>T368-HLOOKUP(V368,Minimas!$C$3:$CD$12,3,FALSE)</f>
        <v>#N/A</v>
      </c>
      <c r="AD368" s="230" t="e">
        <f>T368-HLOOKUP(V368,Minimas!$C$3:$CD$12,4,FALSE)</f>
        <v>#N/A</v>
      </c>
      <c r="AE368" s="230" t="e">
        <f>T368-HLOOKUP(V368,Minimas!$C$3:$CD$12,5,FALSE)</f>
        <v>#N/A</v>
      </c>
      <c r="AF368" s="230" t="e">
        <f>T368-HLOOKUP(V368,Minimas!$C$3:$CD$12,6,FALSE)</f>
        <v>#N/A</v>
      </c>
      <c r="AG368" s="230" t="e">
        <f>T368-HLOOKUP(V368,Minimas!$C$3:$CD$12,7,FALSE)</f>
        <v>#N/A</v>
      </c>
      <c r="AH368" s="230" t="e">
        <f>T368-HLOOKUP(V368,Minimas!$C$3:$CD$12,8,FALSE)</f>
        <v>#N/A</v>
      </c>
      <c r="AI368" s="230" t="e">
        <f>T368-HLOOKUP(V368,Minimas!$C$3:$CD$12,9,FALSE)</f>
        <v>#N/A</v>
      </c>
      <c r="AJ368" s="230" t="e">
        <f>T368-HLOOKUP(V368,Minimas!$C$3:$CD$12,10,FALSE)</f>
        <v>#N/A</v>
      </c>
      <c r="AK368" s="231" t="str">
        <f t="shared" si="93"/>
        <v xml:space="preserve"> </v>
      </c>
      <c r="AL368" s="232"/>
      <c r="AM368" s="232" t="str">
        <f t="shared" si="94"/>
        <v xml:space="preserve"> </v>
      </c>
      <c r="AN368" s="232" t="str">
        <f t="shared" si="95"/>
        <v xml:space="preserve"> </v>
      </c>
    </row>
    <row r="369" spans="28:40" x14ac:dyDescent="0.25">
      <c r="AB369" s="230" t="e">
        <f>T369-HLOOKUP(V369,Minimas!$C$3:$CD$12,2,FALSE)</f>
        <v>#N/A</v>
      </c>
      <c r="AC369" s="230" t="e">
        <f>T369-HLOOKUP(V369,Minimas!$C$3:$CD$12,3,FALSE)</f>
        <v>#N/A</v>
      </c>
      <c r="AD369" s="230" t="e">
        <f>T369-HLOOKUP(V369,Minimas!$C$3:$CD$12,4,FALSE)</f>
        <v>#N/A</v>
      </c>
      <c r="AE369" s="230" t="e">
        <f>T369-HLOOKUP(V369,Minimas!$C$3:$CD$12,5,FALSE)</f>
        <v>#N/A</v>
      </c>
      <c r="AF369" s="230" t="e">
        <f>T369-HLOOKUP(V369,Minimas!$C$3:$CD$12,6,FALSE)</f>
        <v>#N/A</v>
      </c>
      <c r="AG369" s="230" t="e">
        <f>T369-HLOOKUP(V369,Minimas!$C$3:$CD$12,7,FALSE)</f>
        <v>#N/A</v>
      </c>
      <c r="AH369" s="230" t="e">
        <f>T369-HLOOKUP(V369,Minimas!$C$3:$CD$12,8,FALSE)</f>
        <v>#N/A</v>
      </c>
      <c r="AI369" s="230" t="e">
        <f>T369-HLOOKUP(V369,Minimas!$C$3:$CD$12,9,FALSE)</f>
        <v>#N/A</v>
      </c>
      <c r="AJ369" s="230" t="e">
        <f>T369-HLOOKUP(V369,Minimas!$C$3:$CD$12,10,FALSE)</f>
        <v>#N/A</v>
      </c>
      <c r="AK369" s="231" t="str">
        <f t="shared" si="93"/>
        <v xml:space="preserve"> </v>
      </c>
      <c r="AL369" s="232"/>
      <c r="AM369" s="232" t="str">
        <f t="shared" si="94"/>
        <v xml:space="preserve"> </v>
      </c>
      <c r="AN369" s="232" t="str">
        <f t="shared" si="95"/>
        <v xml:space="preserve"> </v>
      </c>
    </row>
    <row r="370" spans="28:40" x14ac:dyDescent="0.25">
      <c r="AB370" s="230" t="e">
        <f>T370-HLOOKUP(V370,Minimas!$C$3:$CD$12,2,FALSE)</f>
        <v>#N/A</v>
      </c>
      <c r="AC370" s="230" t="e">
        <f>T370-HLOOKUP(V370,Minimas!$C$3:$CD$12,3,FALSE)</f>
        <v>#N/A</v>
      </c>
      <c r="AD370" s="230" t="e">
        <f>T370-HLOOKUP(V370,Minimas!$C$3:$CD$12,4,FALSE)</f>
        <v>#N/A</v>
      </c>
      <c r="AE370" s="230" t="e">
        <f>T370-HLOOKUP(V370,Minimas!$C$3:$CD$12,5,FALSE)</f>
        <v>#N/A</v>
      </c>
      <c r="AF370" s="230" t="e">
        <f>T370-HLOOKUP(V370,Minimas!$C$3:$CD$12,6,FALSE)</f>
        <v>#N/A</v>
      </c>
      <c r="AG370" s="230" t="e">
        <f>T370-HLOOKUP(V370,Minimas!$C$3:$CD$12,7,FALSE)</f>
        <v>#N/A</v>
      </c>
      <c r="AH370" s="230" t="e">
        <f>T370-HLOOKUP(V370,Minimas!$C$3:$CD$12,8,FALSE)</f>
        <v>#N/A</v>
      </c>
      <c r="AI370" s="230" t="e">
        <f>T370-HLOOKUP(V370,Minimas!$C$3:$CD$12,9,FALSE)</f>
        <v>#N/A</v>
      </c>
      <c r="AJ370" s="230" t="e">
        <f>T370-HLOOKUP(V370,Minimas!$C$3:$CD$12,10,FALSE)</f>
        <v>#N/A</v>
      </c>
      <c r="AK370" s="231" t="str">
        <f t="shared" si="93"/>
        <v xml:space="preserve"> </v>
      </c>
      <c r="AL370" s="232"/>
      <c r="AM370" s="232" t="str">
        <f t="shared" si="94"/>
        <v xml:space="preserve"> </v>
      </c>
      <c r="AN370" s="232" t="str">
        <f t="shared" si="95"/>
        <v xml:space="preserve"> </v>
      </c>
    </row>
    <row r="371" spans="28:40" x14ac:dyDescent="0.25">
      <c r="AB371" s="230" t="e">
        <f>T371-HLOOKUP(V371,Minimas!$C$3:$CD$12,2,FALSE)</f>
        <v>#N/A</v>
      </c>
      <c r="AC371" s="230" t="e">
        <f>T371-HLOOKUP(V371,Minimas!$C$3:$CD$12,3,FALSE)</f>
        <v>#N/A</v>
      </c>
      <c r="AD371" s="230" t="e">
        <f>T371-HLOOKUP(V371,Minimas!$C$3:$CD$12,4,FALSE)</f>
        <v>#N/A</v>
      </c>
      <c r="AE371" s="230" t="e">
        <f>T371-HLOOKUP(V371,Minimas!$C$3:$CD$12,5,FALSE)</f>
        <v>#N/A</v>
      </c>
      <c r="AF371" s="230" t="e">
        <f>T371-HLOOKUP(V371,Minimas!$C$3:$CD$12,6,FALSE)</f>
        <v>#N/A</v>
      </c>
      <c r="AG371" s="230" t="e">
        <f>T371-HLOOKUP(V371,Minimas!$C$3:$CD$12,7,FALSE)</f>
        <v>#N/A</v>
      </c>
      <c r="AH371" s="230" t="e">
        <f>T371-HLOOKUP(V371,Minimas!$C$3:$CD$12,8,FALSE)</f>
        <v>#N/A</v>
      </c>
      <c r="AI371" s="230" t="e">
        <f>T371-HLOOKUP(V371,Minimas!$C$3:$CD$12,9,FALSE)</f>
        <v>#N/A</v>
      </c>
      <c r="AJ371" s="230" t="e">
        <f>T371-HLOOKUP(V371,Minimas!$C$3:$CD$12,10,FALSE)</f>
        <v>#N/A</v>
      </c>
      <c r="AK371" s="231" t="str">
        <f t="shared" si="93"/>
        <v xml:space="preserve"> </v>
      </c>
      <c r="AL371" s="232"/>
      <c r="AM371" s="232" t="str">
        <f t="shared" si="94"/>
        <v xml:space="preserve"> </v>
      </c>
      <c r="AN371" s="232" t="str">
        <f t="shared" si="95"/>
        <v xml:space="preserve"> </v>
      </c>
    </row>
    <row r="372" spans="28:40" x14ac:dyDescent="0.25">
      <c r="AB372" s="230" t="e">
        <f>T372-HLOOKUP(V372,Minimas!$C$3:$CD$12,2,FALSE)</f>
        <v>#N/A</v>
      </c>
      <c r="AC372" s="230" t="e">
        <f>T372-HLOOKUP(V372,Minimas!$C$3:$CD$12,3,FALSE)</f>
        <v>#N/A</v>
      </c>
      <c r="AD372" s="230" t="e">
        <f>T372-HLOOKUP(V372,Minimas!$C$3:$CD$12,4,FALSE)</f>
        <v>#N/A</v>
      </c>
      <c r="AE372" s="230" t="e">
        <f>T372-HLOOKUP(V372,Minimas!$C$3:$CD$12,5,FALSE)</f>
        <v>#N/A</v>
      </c>
      <c r="AF372" s="230" t="e">
        <f>T372-HLOOKUP(V372,Minimas!$C$3:$CD$12,6,FALSE)</f>
        <v>#N/A</v>
      </c>
      <c r="AG372" s="230" t="e">
        <f>T372-HLOOKUP(V372,Minimas!$C$3:$CD$12,7,FALSE)</f>
        <v>#N/A</v>
      </c>
      <c r="AH372" s="230" t="e">
        <f>T372-HLOOKUP(V372,Minimas!$C$3:$CD$12,8,FALSE)</f>
        <v>#N/A</v>
      </c>
      <c r="AI372" s="230" t="e">
        <f>T372-HLOOKUP(V372,Minimas!$C$3:$CD$12,9,FALSE)</f>
        <v>#N/A</v>
      </c>
      <c r="AJ372" s="230" t="e">
        <f>T372-HLOOKUP(V372,Minimas!$C$3:$CD$12,10,FALSE)</f>
        <v>#N/A</v>
      </c>
      <c r="AK372" s="231" t="str">
        <f t="shared" si="93"/>
        <v xml:space="preserve"> </v>
      </c>
      <c r="AL372" s="232"/>
      <c r="AM372" s="232" t="str">
        <f t="shared" si="94"/>
        <v xml:space="preserve"> </v>
      </c>
      <c r="AN372" s="232" t="str">
        <f t="shared" si="95"/>
        <v xml:space="preserve"> </v>
      </c>
    </row>
    <row r="373" spans="28:40" x14ac:dyDescent="0.25">
      <c r="AB373" s="230" t="e">
        <f>T373-HLOOKUP(V373,Minimas!$C$3:$CD$12,2,FALSE)</f>
        <v>#N/A</v>
      </c>
      <c r="AC373" s="230" t="e">
        <f>T373-HLOOKUP(V373,Minimas!$C$3:$CD$12,3,FALSE)</f>
        <v>#N/A</v>
      </c>
      <c r="AD373" s="230" t="e">
        <f>T373-HLOOKUP(V373,Minimas!$C$3:$CD$12,4,FALSE)</f>
        <v>#N/A</v>
      </c>
      <c r="AE373" s="230" t="e">
        <f>T373-HLOOKUP(V373,Minimas!$C$3:$CD$12,5,FALSE)</f>
        <v>#N/A</v>
      </c>
      <c r="AF373" s="230" t="e">
        <f>T373-HLOOKUP(V373,Minimas!$C$3:$CD$12,6,FALSE)</f>
        <v>#N/A</v>
      </c>
      <c r="AG373" s="230" t="e">
        <f>T373-HLOOKUP(V373,Minimas!$C$3:$CD$12,7,FALSE)</f>
        <v>#N/A</v>
      </c>
      <c r="AH373" s="230" t="e">
        <f>T373-HLOOKUP(V373,Minimas!$C$3:$CD$12,8,FALSE)</f>
        <v>#N/A</v>
      </c>
      <c r="AI373" s="230" t="e">
        <f>T373-HLOOKUP(V373,Minimas!$C$3:$CD$12,9,FALSE)</f>
        <v>#N/A</v>
      </c>
      <c r="AJ373" s="230" t="e">
        <f>T373-HLOOKUP(V373,Minimas!$C$3:$CD$12,10,FALSE)</f>
        <v>#N/A</v>
      </c>
      <c r="AK373" s="231" t="str">
        <f t="shared" si="93"/>
        <v xml:space="preserve"> </v>
      </c>
      <c r="AL373" s="232"/>
      <c r="AM373" s="232" t="str">
        <f t="shared" si="94"/>
        <v xml:space="preserve"> </v>
      </c>
      <c r="AN373" s="232" t="str">
        <f t="shared" si="95"/>
        <v xml:space="preserve"> </v>
      </c>
    </row>
    <row r="374" spans="28:40" x14ac:dyDescent="0.25">
      <c r="AB374" s="230" t="e">
        <f>T374-HLOOKUP(V374,Minimas!$C$3:$CD$12,2,FALSE)</f>
        <v>#N/A</v>
      </c>
      <c r="AC374" s="230" t="e">
        <f>T374-HLOOKUP(V374,Minimas!$C$3:$CD$12,3,FALSE)</f>
        <v>#N/A</v>
      </c>
      <c r="AD374" s="230" t="e">
        <f>T374-HLOOKUP(V374,Minimas!$C$3:$CD$12,4,FALSE)</f>
        <v>#N/A</v>
      </c>
      <c r="AE374" s="230" t="e">
        <f>T374-HLOOKUP(V374,Minimas!$C$3:$CD$12,5,FALSE)</f>
        <v>#N/A</v>
      </c>
      <c r="AF374" s="230" t="e">
        <f>T374-HLOOKUP(V374,Minimas!$C$3:$CD$12,6,FALSE)</f>
        <v>#N/A</v>
      </c>
      <c r="AG374" s="230" t="e">
        <f>T374-HLOOKUP(V374,Minimas!$C$3:$CD$12,7,FALSE)</f>
        <v>#N/A</v>
      </c>
      <c r="AH374" s="230" t="e">
        <f>T374-HLOOKUP(V374,Minimas!$C$3:$CD$12,8,FALSE)</f>
        <v>#N/A</v>
      </c>
      <c r="AI374" s="230" t="e">
        <f>T374-HLOOKUP(V374,Minimas!$C$3:$CD$12,9,FALSE)</f>
        <v>#N/A</v>
      </c>
      <c r="AJ374" s="230" t="e">
        <f>T374-HLOOKUP(V374,Minimas!$C$3:$CD$12,10,FALSE)</f>
        <v>#N/A</v>
      </c>
      <c r="AK374" s="231" t="str">
        <f t="shared" si="93"/>
        <v xml:space="preserve"> </v>
      </c>
      <c r="AL374" s="232"/>
      <c r="AM374" s="232" t="str">
        <f t="shared" si="94"/>
        <v xml:space="preserve"> </v>
      </c>
      <c r="AN374" s="232" t="str">
        <f t="shared" si="95"/>
        <v xml:space="preserve"> </v>
      </c>
    </row>
    <row r="375" spans="28:40" x14ac:dyDescent="0.25">
      <c r="AB375" s="230" t="e">
        <f>T375-HLOOKUP(V375,Minimas!$C$3:$CD$12,2,FALSE)</f>
        <v>#N/A</v>
      </c>
      <c r="AC375" s="230" t="e">
        <f>T375-HLOOKUP(V375,Minimas!$C$3:$CD$12,3,FALSE)</f>
        <v>#N/A</v>
      </c>
      <c r="AD375" s="230" t="e">
        <f>T375-HLOOKUP(V375,Minimas!$C$3:$CD$12,4,FALSE)</f>
        <v>#N/A</v>
      </c>
      <c r="AE375" s="230" t="e">
        <f>T375-HLOOKUP(V375,Minimas!$C$3:$CD$12,5,FALSE)</f>
        <v>#N/A</v>
      </c>
      <c r="AF375" s="230" t="e">
        <f>T375-HLOOKUP(V375,Minimas!$C$3:$CD$12,6,FALSE)</f>
        <v>#N/A</v>
      </c>
      <c r="AG375" s="230" t="e">
        <f>T375-HLOOKUP(V375,Minimas!$C$3:$CD$12,7,FALSE)</f>
        <v>#N/A</v>
      </c>
      <c r="AH375" s="230" t="e">
        <f>T375-HLOOKUP(V375,Minimas!$C$3:$CD$12,8,FALSE)</f>
        <v>#N/A</v>
      </c>
      <c r="AI375" s="230" t="e">
        <f>T375-HLOOKUP(V375,Minimas!$C$3:$CD$12,9,FALSE)</f>
        <v>#N/A</v>
      </c>
      <c r="AJ375" s="230" t="e">
        <f>T375-HLOOKUP(V375,Minimas!$C$3:$CD$12,10,FALSE)</f>
        <v>#N/A</v>
      </c>
      <c r="AK375" s="231" t="str">
        <f t="shared" si="93"/>
        <v xml:space="preserve"> </v>
      </c>
      <c r="AL375" s="232"/>
      <c r="AM375" s="232" t="str">
        <f t="shared" si="94"/>
        <v xml:space="preserve"> </v>
      </c>
      <c r="AN375" s="232" t="str">
        <f t="shared" si="95"/>
        <v xml:space="preserve"> </v>
      </c>
    </row>
    <row r="376" spans="28:40" x14ac:dyDescent="0.25">
      <c r="AB376" s="230" t="e">
        <f>T376-HLOOKUP(V376,Minimas!$C$3:$CD$12,2,FALSE)</f>
        <v>#N/A</v>
      </c>
      <c r="AC376" s="230" t="e">
        <f>T376-HLOOKUP(V376,Minimas!$C$3:$CD$12,3,FALSE)</f>
        <v>#N/A</v>
      </c>
      <c r="AD376" s="230" t="e">
        <f>T376-HLOOKUP(V376,Minimas!$C$3:$CD$12,4,FALSE)</f>
        <v>#N/A</v>
      </c>
      <c r="AE376" s="230" t="e">
        <f>T376-HLOOKUP(V376,Minimas!$C$3:$CD$12,5,FALSE)</f>
        <v>#N/A</v>
      </c>
      <c r="AF376" s="230" t="e">
        <f>T376-HLOOKUP(V376,Minimas!$C$3:$CD$12,6,FALSE)</f>
        <v>#N/A</v>
      </c>
      <c r="AG376" s="230" t="e">
        <f>T376-HLOOKUP(V376,Minimas!$C$3:$CD$12,7,FALSE)</f>
        <v>#N/A</v>
      </c>
      <c r="AH376" s="230" t="e">
        <f>T376-HLOOKUP(V376,Minimas!$C$3:$CD$12,8,FALSE)</f>
        <v>#N/A</v>
      </c>
      <c r="AI376" s="230" t="e">
        <f>T376-HLOOKUP(V376,Minimas!$C$3:$CD$12,9,FALSE)</f>
        <v>#N/A</v>
      </c>
      <c r="AJ376" s="230" t="e">
        <f>T376-HLOOKUP(V376,Minimas!$C$3:$CD$12,10,FALSE)</f>
        <v>#N/A</v>
      </c>
      <c r="AK376" s="231" t="str">
        <f t="shared" si="93"/>
        <v xml:space="preserve"> </v>
      </c>
      <c r="AL376" s="232"/>
      <c r="AM376" s="232" t="str">
        <f t="shared" si="94"/>
        <v xml:space="preserve"> </v>
      </c>
      <c r="AN376" s="232" t="str">
        <f t="shared" si="95"/>
        <v xml:space="preserve"> </v>
      </c>
    </row>
    <row r="377" spans="28:40" x14ac:dyDescent="0.25">
      <c r="AB377" s="230" t="e">
        <f>T377-HLOOKUP(V377,Minimas!$C$3:$CD$12,2,FALSE)</f>
        <v>#N/A</v>
      </c>
      <c r="AC377" s="230" t="e">
        <f>T377-HLOOKUP(V377,Minimas!$C$3:$CD$12,3,FALSE)</f>
        <v>#N/A</v>
      </c>
      <c r="AD377" s="230" t="e">
        <f>T377-HLOOKUP(V377,Minimas!$C$3:$CD$12,4,FALSE)</f>
        <v>#N/A</v>
      </c>
      <c r="AE377" s="230" t="e">
        <f>T377-HLOOKUP(V377,Minimas!$C$3:$CD$12,5,FALSE)</f>
        <v>#N/A</v>
      </c>
      <c r="AF377" s="230" t="e">
        <f>T377-HLOOKUP(V377,Minimas!$C$3:$CD$12,6,FALSE)</f>
        <v>#N/A</v>
      </c>
      <c r="AG377" s="230" t="e">
        <f>T377-HLOOKUP(V377,Minimas!$C$3:$CD$12,7,FALSE)</f>
        <v>#N/A</v>
      </c>
      <c r="AH377" s="230" t="e">
        <f>T377-HLOOKUP(V377,Minimas!$C$3:$CD$12,8,FALSE)</f>
        <v>#N/A</v>
      </c>
      <c r="AI377" s="230" t="e">
        <f>T377-HLOOKUP(V377,Minimas!$C$3:$CD$12,9,FALSE)</f>
        <v>#N/A</v>
      </c>
      <c r="AJ377" s="230" t="e">
        <f>T377-HLOOKUP(V377,Minimas!$C$3:$CD$12,10,FALSE)</f>
        <v>#N/A</v>
      </c>
      <c r="AK377" s="231" t="str">
        <f t="shared" si="93"/>
        <v xml:space="preserve"> </v>
      </c>
      <c r="AL377" s="232"/>
      <c r="AM377" s="232" t="str">
        <f t="shared" si="94"/>
        <v xml:space="preserve"> </v>
      </c>
      <c r="AN377" s="232" t="str">
        <f t="shared" si="95"/>
        <v xml:space="preserve"> </v>
      </c>
    </row>
    <row r="378" spans="28:40" x14ac:dyDescent="0.25">
      <c r="AB378" s="230" t="e">
        <f>T378-HLOOKUP(V378,Minimas!$C$3:$CD$12,2,FALSE)</f>
        <v>#N/A</v>
      </c>
      <c r="AC378" s="230" t="e">
        <f>T378-HLOOKUP(V378,Minimas!$C$3:$CD$12,3,FALSE)</f>
        <v>#N/A</v>
      </c>
      <c r="AD378" s="230" t="e">
        <f>T378-HLOOKUP(V378,Minimas!$C$3:$CD$12,4,FALSE)</f>
        <v>#N/A</v>
      </c>
      <c r="AE378" s="230" t="e">
        <f>T378-HLOOKUP(V378,Minimas!$C$3:$CD$12,5,FALSE)</f>
        <v>#N/A</v>
      </c>
      <c r="AF378" s="230" t="e">
        <f>T378-HLOOKUP(V378,Minimas!$C$3:$CD$12,6,FALSE)</f>
        <v>#N/A</v>
      </c>
      <c r="AG378" s="230" t="e">
        <f>T378-HLOOKUP(V378,Minimas!$C$3:$CD$12,7,FALSE)</f>
        <v>#N/A</v>
      </c>
      <c r="AH378" s="230" t="e">
        <f>T378-HLOOKUP(V378,Minimas!$C$3:$CD$12,8,FALSE)</f>
        <v>#N/A</v>
      </c>
      <c r="AI378" s="230" t="e">
        <f>T378-HLOOKUP(V378,Minimas!$C$3:$CD$12,9,FALSE)</f>
        <v>#N/A</v>
      </c>
      <c r="AJ378" s="230" t="e">
        <f>T378-HLOOKUP(V378,Minimas!$C$3:$CD$12,10,FALSE)</f>
        <v>#N/A</v>
      </c>
      <c r="AK378" s="231" t="str">
        <f t="shared" si="93"/>
        <v xml:space="preserve"> </v>
      </c>
      <c r="AL378" s="232"/>
      <c r="AM378" s="232" t="str">
        <f t="shared" si="94"/>
        <v xml:space="preserve"> </v>
      </c>
      <c r="AN378" s="232" t="str">
        <f t="shared" si="95"/>
        <v xml:space="preserve"> </v>
      </c>
    </row>
    <row r="379" spans="28:40" x14ac:dyDescent="0.25">
      <c r="AB379" s="230" t="e">
        <f>T379-HLOOKUP(V379,Minimas!$C$3:$CD$12,2,FALSE)</f>
        <v>#N/A</v>
      </c>
      <c r="AC379" s="230" t="e">
        <f>T379-HLOOKUP(V379,Minimas!$C$3:$CD$12,3,FALSE)</f>
        <v>#N/A</v>
      </c>
      <c r="AD379" s="230" t="e">
        <f>T379-HLOOKUP(V379,Minimas!$C$3:$CD$12,4,FALSE)</f>
        <v>#N/A</v>
      </c>
      <c r="AE379" s="230" t="e">
        <f>T379-HLOOKUP(V379,Minimas!$C$3:$CD$12,5,FALSE)</f>
        <v>#N/A</v>
      </c>
      <c r="AF379" s="230" t="e">
        <f>T379-HLOOKUP(V379,Minimas!$C$3:$CD$12,6,FALSE)</f>
        <v>#N/A</v>
      </c>
      <c r="AG379" s="230" t="e">
        <f>T379-HLOOKUP(V379,Minimas!$C$3:$CD$12,7,FALSE)</f>
        <v>#N/A</v>
      </c>
      <c r="AH379" s="230" t="e">
        <f>T379-HLOOKUP(V379,Minimas!$C$3:$CD$12,8,FALSE)</f>
        <v>#N/A</v>
      </c>
      <c r="AI379" s="230" t="e">
        <f>T379-HLOOKUP(V379,Minimas!$C$3:$CD$12,9,FALSE)</f>
        <v>#N/A</v>
      </c>
      <c r="AJ379" s="230" t="e">
        <f>T379-HLOOKUP(V379,Minimas!$C$3:$CD$12,10,FALSE)</f>
        <v>#N/A</v>
      </c>
      <c r="AK379" s="231" t="str">
        <f t="shared" si="93"/>
        <v xml:space="preserve"> </v>
      </c>
      <c r="AL379" s="232"/>
      <c r="AM379" s="232" t="str">
        <f t="shared" si="94"/>
        <v xml:space="preserve"> </v>
      </c>
      <c r="AN379" s="232" t="str">
        <f t="shared" si="95"/>
        <v xml:space="preserve"> </v>
      </c>
    </row>
    <row r="380" spans="28:40" x14ac:dyDescent="0.25">
      <c r="AB380" s="230" t="e">
        <f>T380-HLOOKUP(V380,Minimas!$C$3:$CD$12,2,FALSE)</f>
        <v>#N/A</v>
      </c>
      <c r="AC380" s="230" t="e">
        <f>T380-HLOOKUP(V380,Minimas!$C$3:$CD$12,3,FALSE)</f>
        <v>#N/A</v>
      </c>
      <c r="AD380" s="230" t="e">
        <f>T380-HLOOKUP(V380,Minimas!$C$3:$CD$12,4,FALSE)</f>
        <v>#N/A</v>
      </c>
      <c r="AE380" s="230" t="e">
        <f>T380-HLOOKUP(V380,Minimas!$C$3:$CD$12,5,FALSE)</f>
        <v>#N/A</v>
      </c>
      <c r="AF380" s="230" t="e">
        <f>T380-HLOOKUP(V380,Minimas!$C$3:$CD$12,6,FALSE)</f>
        <v>#N/A</v>
      </c>
      <c r="AG380" s="230" t="e">
        <f>T380-HLOOKUP(V380,Minimas!$C$3:$CD$12,7,FALSE)</f>
        <v>#N/A</v>
      </c>
      <c r="AH380" s="230" t="e">
        <f>T380-HLOOKUP(V380,Minimas!$C$3:$CD$12,8,FALSE)</f>
        <v>#N/A</v>
      </c>
      <c r="AI380" s="230" t="e">
        <f>T380-HLOOKUP(V380,Minimas!$C$3:$CD$12,9,FALSE)</f>
        <v>#N/A</v>
      </c>
      <c r="AJ380" s="230" t="e">
        <f>T380-HLOOKUP(V380,Minimas!$C$3:$CD$12,10,FALSE)</f>
        <v>#N/A</v>
      </c>
      <c r="AK380" s="231" t="str">
        <f t="shared" si="93"/>
        <v xml:space="preserve"> </v>
      </c>
      <c r="AL380" s="232"/>
      <c r="AM380" s="232" t="str">
        <f t="shared" si="94"/>
        <v xml:space="preserve"> </v>
      </c>
      <c r="AN380" s="232" t="str">
        <f t="shared" si="95"/>
        <v xml:space="preserve"> </v>
      </c>
    </row>
    <row r="381" spans="28:40" x14ac:dyDescent="0.25">
      <c r="AB381" s="230" t="e">
        <f>T381-HLOOKUP(V381,Minimas!$C$3:$CD$12,2,FALSE)</f>
        <v>#N/A</v>
      </c>
      <c r="AC381" s="230" t="e">
        <f>T381-HLOOKUP(V381,Minimas!$C$3:$CD$12,3,FALSE)</f>
        <v>#N/A</v>
      </c>
      <c r="AD381" s="230" t="e">
        <f>T381-HLOOKUP(V381,Minimas!$C$3:$CD$12,4,FALSE)</f>
        <v>#N/A</v>
      </c>
      <c r="AE381" s="230" t="e">
        <f>T381-HLOOKUP(V381,Minimas!$C$3:$CD$12,5,FALSE)</f>
        <v>#N/A</v>
      </c>
      <c r="AF381" s="230" t="e">
        <f>T381-HLOOKUP(V381,Minimas!$C$3:$CD$12,6,FALSE)</f>
        <v>#N/A</v>
      </c>
      <c r="AG381" s="230" t="e">
        <f>T381-HLOOKUP(V381,Minimas!$C$3:$CD$12,7,FALSE)</f>
        <v>#N/A</v>
      </c>
      <c r="AH381" s="230" t="e">
        <f>T381-HLOOKUP(V381,Minimas!$C$3:$CD$12,8,FALSE)</f>
        <v>#N/A</v>
      </c>
      <c r="AI381" s="230" t="e">
        <f>T381-HLOOKUP(V381,Minimas!$C$3:$CD$12,9,FALSE)</f>
        <v>#N/A</v>
      </c>
      <c r="AJ381" s="230" t="e">
        <f>T381-HLOOKUP(V381,Minimas!$C$3:$CD$12,10,FALSE)</f>
        <v>#N/A</v>
      </c>
      <c r="AK381" s="231" t="str">
        <f t="shared" si="93"/>
        <v xml:space="preserve"> </v>
      </c>
      <c r="AL381" s="232"/>
      <c r="AM381" s="232" t="str">
        <f t="shared" si="94"/>
        <v xml:space="preserve"> </v>
      </c>
      <c r="AN381" s="232" t="str">
        <f t="shared" si="95"/>
        <v xml:space="preserve"> </v>
      </c>
    </row>
    <row r="382" spans="28:40" x14ac:dyDescent="0.25">
      <c r="AB382" s="230" t="e">
        <f>T382-HLOOKUP(V382,Minimas!$C$3:$CD$12,2,FALSE)</f>
        <v>#N/A</v>
      </c>
      <c r="AC382" s="230" t="e">
        <f>T382-HLOOKUP(V382,Minimas!$C$3:$CD$12,3,FALSE)</f>
        <v>#N/A</v>
      </c>
      <c r="AD382" s="230" t="e">
        <f>T382-HLOOKUP(V382,Minimas!$C$3:$CD$12,4,FALSE)</f>
        <v>#N/A</v>
      </c>
      <c r="AE382" s="230" t="e">
        <f>T382-HLOOKUP(V382,Minimas!$C$3:$CD$12,5,FALSE)</f>
        <v>#N/A</v>
      </c>
      <c r="AF382" s="230" t="e">
        <f>T382-HLOOKUP(V382,Minimas!$C$3:$CD$12,6,FALSE)</f>
        <v>#N/A</v>
      </c>
      <c r="AG382" s="230" t="e">
        <f>T382-HLOOKUP(V382,Minimas!$C$3:$CD$12,7,FALSE)</f>
        <v>#N/A</v>
      </c>
      <c r="AH382" s="230" t="e">
        <f>T382-HLOOKUP(V382,Minimas!$C$3:$CD$12,8,FALSE)</f>
        <v>#N/A</v>
      </c>
      <c r="AI382" s="230" t="e">
        <f>T382-HLOOKUP(V382,Minimas!$C$3:$CD$12,9,FALSE)</f>
        <v>#N/A</v>
      </c>
      <c r="AJ382" s="230" t="e">
        <f>T382-HLOOKUP(V382,Minimas!$C$3:$CD$12,10,FALSE)</f>
        <v>#N/A</v>
      </c>
      <c r="AK382" s="231" t="str">
        <f t="shared" si="93"/>
        <v xml:space="preserve"> </v>
      </c>
      <c r="AL382" s="232"/>
      <c r="AM382" s="232" t="str">
        <f t="shared" si="94"/>
        <v xml:space="preserve"> </v>
      </c>
      <c r="AN382" s="232" t="str">
        <f t="shared" si="95"/>
        <v xml:space="preserve"> </v>
      </c>
    </row>
    <row r="383" spans="28:40" x14ac:dyDescent="0.25">
      <c r="AB383" s="230" t="e">
        <f>T383-HLOOKUP(V383,Minimas!$C$3:$CD$12,2,FALSE)</f>
        <v>#N/A</v>
      </c>
      <c r="AC383" s="230" t="e">
        <f>T383-HLOOKUP(V383,Minimas!$C$3:$CD$12,3,FALSE)</f>
        <v>#N/A</v>
      </c>
      <c r="AD383" s="230" t="e">
        <f>T383-HLOOKUP(V383,Minimas!$C$3:$CD$12,4,FALSE)</f>
        <v>#N/A</v>
      </c>
      <c r="AE383" s="230" t="e">
        <f>T383-HLOOKUP(V383,Minimas!$C$3:$CD$12,5,FALSE)</f>
        <v>#N/A</v>
      </c>
      <c r="AF383" s="230" t="e">
        <f>T383-HLOOKUP(V383,Minimas!$C$3:$CD$12,6,FALSE)</f>
        <v>#N/A</v>
      </c>
      <c r="AG383" s="230" t="e">
        <f>T383-HLOOKUP(V383,Minimas!$C$3:$CD$12,7,FALSE)</f>
        <v>#N/A</v>
      </c>
      <c r="AH383" s="230" t="e">
        <f>T383-HLOOKUP(V383,Minimas!$C$3:$CD$12,8,FALSE)</f>
        <v>#N/A</v>
      </c>
      <c r="AI383" s="230" t="e">
        <f>T383-HLOOKUP(V383,Minimas!$C$3:$CD$12,9,FALSE)</f>
        <v>#N/A</v>
      </c>
      <c r="AJ383" s="230" t="e">
        <f>T383-HLOOKUP(V383,Minimas!$C$3:$CD$12,10,FALSE)</f>
        <v>#N/A</v>
      </c>
      <c r="AK383" s="231" t="str">
        <f t="shared" si="93"/>
        <v xml:space="preserve"> </v>
      </c>
      <c r="AL383" s="232"/>
      <c r="AM383" s="232" t="str">
        <f t="shared" si="94"/>
        <v xml:space="preserve"> </v>
      </c>
      <c r="AN383" s="232" t="str">
        <f t="shared" si="95"/>
        <v xml:space="preserve"> </v>
      </c>
    </row>
    <row r="384" spans="28:40" x14ac:dyDescent="0.25">
      <c r="AB384" s="230" t="e">
        <f>T384-HLOOKUP(V384,Minimas!$C$3:$CD$12,2,FALSE)</f>
        <v>#N/A</v>
      </c>
      <c r="AC384" s="230" t="e">
        <f>T384-HLOOKUP(V384,Minimas!$C$3:$CD$12,3,FALSE)</f>
        <v>#N/A</v>
      </c>
      <c r="AD384" s="230" t="e">
        <f>T384-HLOOKUP(V384,Minimas!$C$3:$CD$12,4,FALSE)</f>
        <v>#N/A</v>
      </c>
      <c r="AE384" s="230" t="e">
        <f>T384-HLOOKUP(V384,Minimas!$C$3:$CD$12,5,FALSE)</f>
        <v>#N/A</v>
      </c>
      <c r="AF384" s="230" t="e">
        <f>T384-HLOOKUP(V384,Minimas!$C$3:$CD$12,6,FALSE)</f>
        <v>#N/A</v>
      </c>
      <c r="AG384" s="230" t="e">
        <f>T384-HLOOKUP(V384,Minimas!$C$3:$CD$12,7,FALSE)</f>
        <v>#N/A</v>
      </c>
      <c r="AH384" s="230" t="e">
        <f>T384-HLOOKUP(V384,Minimas!$C$3:$CD$12,8,FALSE)</f>
        <v>#N/A</v>
      </c>
      <c r="AI384" s="230" t="e">
        <f>T384-HLOOKUP(V384,Minimas!$C$3:$CD$12,9,FALSE)</f>
        <v>#N/A</v>
      </c>
      <c r="AJ384" s="230" t="e">
        <f>T384-HLOOKUP(V384,Minimas!$C$3:$CD$12,10,FALSE)</f>
        <v>#N/A</v>
      </c>
      <c r="AK384" s="231" t="str">
        <f t="shared" si="93"/>
        <v xml:space="preserve"> </v>
      </c>
      <c r="AL384" s="232"/>
      <c r="AM384" s="232" t="str">
        <f t="shared" si="94"/>
        <v xml:space="preserve"> </v>
      </c>
      <c r="AN384" s="232" t="str">
        <f t="shared" si="95"/>
        <v xml:space="preserve"> </v>
      </c>
    </row>
    <row r="385" spans="28:40" x14ac:dyDescent="0.25">
      <c r="AB385" s="230" t="e">
        <f>T385-HLOOKUP(V385,Minimas!$C$3:$CD$12,2,FALSE)</f>
        <v>#N/A</v>
      </c>
      <c r="AC385" s="230" t="e">
        <f>T385-HLOOKUP(V385,Minimas!$C$3:$CD$12,3,FALSE)</f>
        <v>#N/A</v>
      </c>
      <c r="AD385" s="230" t="e">
        <f>T385-HLOOKUP(V385,Minimas!$C$3:$CD$12,4,FALSE)</f>
        <v>#N/A</v>
      </c>
      <c r="AE385" s="230" t="e">
        <f>T385-HLOOKUP(V385,Minimas!$C$3:$CD$12,5,FALSE)</f>
        <v>#N/A</v>
      </c>
      <c r="AF385" s="230" t="e">
        <f>T385-HLOOKUP(V385,Minimas!$C$3:$CD$12,6,FALSE)</f>
        <v>#N/A</v>
      </c>
      <c r="AG385" s="230" t="e">
        <f>T385-HLOOKUP(V385,Minimas!$C$3:$CD$12,7,FALSE)</f>
        <v>#N/A</v>
      </c>
      <c r="AH385" s="230" t="e">
        <f>T385-HLOOKUP(V385,Minimas!$C$3:$CD$12,8,FALSE)</f>
        <v>#N/A</v>
      </c>
      <c r="AI385" s="230" t="e">
        <f>T385-HLOOKUP(V385,Minimas!$C$3:$CD$12,9,FALSE)</f>
        <v>#N/A</v>
      </c>
      <c r="AJ385" s="230" t="e">
        <f>T385-HLOOKUP(V385,Minimas!$C$3:$CD$12,10,FALSE)</f>
        <v>#N/A</v>
      </c>
      <c r="AK385" s="231" t="str">
        <f t="shared" si="93"/>
        <v xml:space="preserve"> </v>
      </c>
      <c r="AL385" s="232"/>
      <c r="AM385" s="232" t="str">
        <f t="shared" si="94"/>
        <v xml:space="preserve"> </v>
      </c>
      <c r="AN385" s="232" t="str">
        <f t="shared" si="95"/>
        <v xml:space="preserve"> </v>
      </c>
    </row>
    <row r="386" spans="28:40" x14ac:dyDescent="0.25">
      <c r="AB386" s="230" t="e">
        <f>T386-HLOOKUP(V386,Minimas!$C$3:$CD$12,2,FALSE)</f>
        <v>#N/A</v>
      </c>
      <c r="AC386" s="230" t="e">
        <f>T386-HLOOKUP(V386,Minimas!$C$3:$CD$12,3,FALSE)</f>
        <v>#N/A</v>
      </c>
      <c r="AD386" s="230" t="e">
        <f>T386-HLOOKUP(V386,Minimas!$C$3:$CD$12,4,FALSE)</f>
        <v>#N/A</v>
      </c>
      <c r="AE386" s="230" t="e">
        <f>T386-HLOOKUP(V386,Minimas!$C$3:$CD$12,5,FALSE)</f>
        <v>#N/A</v>
      </c>
      <c r="AF386" s="230" t="e">
        <f>T386-HLOOKUP(V386,Minimas!$C$3:$CD$12,6,FALSE)</f>
        <v>#N/A</v>
      </c>
      <c r="AG386" s="230" t="e">
        <f>T386-HLOOKUP(V386,Minimas!$C$3:$CD$12,7,FALSE)</f>
        <v>#N/A</v>
      </c>
      <c r="AH386" s="230" t="e">
        <f>T386-HLOOKUP(V386,Minimas!$C$3:$CD$12,8,FALSE)</f>
        <v>#N/A</v>
      </c>
      <c r="AI386" s="230" t="e">
        <f>T386-HLOOKUP(V386,Minimas!$C$3:$CD$12,9,FALSE)</f>
        <v>#N/A</v>
      </c>
      <c r="AJ386" s="230" t="e">
        <f>T386-HLOOKUP(V386,Minimas!$C$3:$CD$12,10,FALSE)</f>
        <v>#N/A</v>
      </c>
      <c r="AK386" s="231" t="str">
        <f t="shared" si="93"/>
        <v xml:space="preserve"> </v>
      </c>
      <c r="AL386" s="232"/>
      <c r="AM386" s="232" t="str">
        <f t="shared" si="94"/>
        <v xml:space="preserve"> </v>
      </c>
      <c r="AN386" s="232" t="str">
        <f t="shared" si="95"/>
        <v xml:space="preserve"> </v>
      </c>
    </row>
    <row r="387" spans="28:40" x14ac:dyDescent="0.25">
      <c r="AB387" s="230" t="e">
        <f>T387-HLOOKUP(V387,Minimas!$C$3:$CD$12,2,FALSE)</f>
        <v>#N/A</v>
      </c>
      <c r="AC387" s="230" t="e">
        <f>T387-HLOOKUP(V387,Minimas!$C$3:$CD$12,3,FALSE)</f>
        <v>#N/A</v>
      </c>
      <c r="AD387" s="230" t="e">
        <f>T387-HLOOKUP(V387,Minimas!$C$3:$CD$12,4,FALSE)</f>
        <v>#N/A</v>
      </c>
      <c r="AE387" s="230" t="e">
        <f>T387-HLOOKUP(V387,Minimas!$C$3:$CD$12,5,FALSE)</f>
        <v>#N/A</v>
      </c>
      <c r="AF387" s="230" t="e">
        <f>T387-HLOOKUP(V387,Minimas!$C$3:$CD$12,6,FALSE)</f>
        <v>#N/A</v>
      </c>
      <c r="AG387" s="230" t="e">
        <f>T387-HLOOKUP(V387,Minimas!$C$3:$CD$12,7,FALSE)</f>
        <v>#N/A</v>
      </c>
      <c r="AH387" s="230" t="e">
        <f>T387-HLOOKUP(V387,Minimas!$C$3:$CD$12,8,FALSE)</f>
        <v>#N/A</v>
      </c>
      <c r="AI387" s="230" t="e">
        <f>T387-HLOOKUP(V387,Minimas!$C$3:$CD$12,9,FALSE)</f>
        <v>#N/A</v>
      </c>
      <c r="AJ387" s="230" t="e">
        <f>T387-HLOOKUP(V387,Minimas!$C$3:$CD$12,10,FALSE)</f>
        <v>#N/A</v>
      </c>
      <c r="AK387" s="231" t="str">
        <f t="shared" si="93"/>
        <v xml:space="preserve"> </v>
      </c>
      <c r="AL387" s="232"/>
      <c r="AM387" s="232" t="str">
        <f t="shared" si="94"/>
        <v xml:space="preserve"> </v>
      </c>
      <c r="AN387" s="232" t="str">
        <f t="shared" si="95"/>
        <v xml:space="preserve"> </v>
      </c>
    </row>
    <row r="388" spans="28:40" x14ac:dyDescent="0.25">
      <c r="AB388" s="230" t="e">
        <f>T388-HLOOKUP(V388,Minimas!$C$3:$CD$12,2,FALSE)</f>
        <v>#N/A</v>
      </c>
      <c r="AC388" s="230" t="e">
        <f>T388-HLOOKUP(V388,Minimas!$C$3:$CD$12,3,FALSE)</f>
        <v>#N/A</v>
      </c>
      <c r="AD388" s="230" t="e">
        <f>T388-HLOOKUP(V388,Minimas!$C$3:$CD$12,4,FALSE)</f>
        <v>#N/A</v>
      </c>
      <c r="AE388" s="230" t="e">
        <f>T388-HLOOKUP(V388,Minimas!$C$3:$CD$12,5,FALSE)</f>
        <v>#N/A</v>
      </c>
      <c r="AF388" s="230" t="e">
        <f>T388-HLOOKUP(V388,Minimas!$C$3:$CD$12,6,FALSE)</f>
        <v>#N/A</v>
      </c>
      <c r="AG388" s="230" t="e">
        <f>T388-HLOOKUP(V388,Minimas!$C$3:$CD$12,7,FALSE)</f>
        <v>#N/A</v>
      </c>
      <c r="AH388" s="230" t="e">
        <f>T388-HLOOKUP(V388,Minimas!$C$3:$CD$12,8,FALSE)</f>
        <v>#N/A</v>
      </c>
      <c r="AI388" s="230" t="e">
        <f>T388-HLOOKUP(V388,Minimas!$C$3:$CD$12,9,FALSE)</f>
        <v>#N/A</v>
      </c>
      <c r="AJ388" s="230" t="e">
        <f>T388-HLOOKUP(V388,Minimas!$C$3:$CD$12,10,FALSE)</f>
        <v>#N/A</v>
      </c>
      <c r="AK388" s="231" t="str">
        <f t="shared" ref="AK388:AK451" si="96">IF(E388=0," ",IF(AJ388&gt;=0,$AJ$5,IF(AI388&gt;=0,$AI$5,IF(AH388&gt;=0,$AH$5,IF(AG388&gt;=0,$AG$5,IF(AF388&gt;=0,$AF$5,IF(AE388&gt;=0,$AE$5,IF(AD388&gt;=0,$AD$5,IF(AC388&gt;=0,$AC$5,$AB$5)))))))))</f>
        <v xml:space="preserve"> </v>
      </c>
      <c r="AL388" s="232"/>
      <c r="AM388" s="232" t="str">
        <f t="shared" ref="AM388:AM451" si="97">IF(AK388="","",AK388)</f>
        <v xml:space="preserve"> </v>
      </c>
      <c r="AN388" s="232" t="str">
        <f t="shared" ref="AN388:AN451" si="98">IF(E388=0," ",IF(AJ388&gt;=0,AJ388,IF(AI388&gt;=0,AI388,IF(AH388&gt;=0,AH388,IF(AG388&gt;=0,AG388,IF(AF388&gt;=0,AF388,IF(AE388&gt;=0,AE388,IF(AD388&gt;=0,AD388,IF(AC388&gt;=0,AC388,AB388)))))))))</f>
        <v xml:space="preserve"> </v>
      </c>
    </row>
    <row r="389" spans="28:40" x14ac:dyDescent="0.25">
      <c r="AB389" s="230" t="e">
        <f>T389-HLOOKUP(V389,Minimas!$C$3:$CD$12,2,FALSE)</f>
        <v>#N/A</v>
      </c>
      <c r="AC389" s="230" t="e">
        <f>T389-HLOOKUP(V389,Minimas!$C$3:$CD$12,3,FALSE)</f>
        <v>#N/A</v>
      </c>
      <c r="AD389" s="230" t="e">
        <f>T389-HLOOKUP(V389,Minimas!$C$3:$CD$12,4,FALSE)</f>
        <v>#N/A</v>
      </c>
      <c r="AE389" s="230" t="e">
        <f>T389-HLOOKUP(V389,Minimas!$C$3:$CD$12,5,FALSE)</f>
        <v>#N/A</v>
      </c>
      <c r="AF389" s="230" t="e">
        <f>T389-HLOOKUP(V389,Minimas!$C$3:$CD$12,6,FALSE)</f>
        <v>#N/A</v>
      </c>
      <c r="AG389" s="230" t="e">
        <f>T389-HLOOKUP(V389,Minimas!$C$3:$CD$12,7,FALSE)</f>
        <v>#N/A</v>
      </c>
      <c r="AH389" s="230" t="e">
        <f>T389-HLOOKUP(V389,Minimas!$C$3:$CD$12,8,FALSE)</f>
        <v>#N/A</v>
      </c>
      <c r="AI389" s="230" t="e">
        <f>T389-HLOOKUP(V389,Minimas!$C$3:$CD$12,9,FALSE)</f>
        <v>#N/A</v>
      </c>
      <c r="AJ389" s="230" t="e">
        <f>T389-HLOOKUP(V389,Minimas!$C$3:$CD$12,10,FALSE)</f>
        <v>#N/A</v>
      </c>
      <c r="AK389" s="231" t="str">
        <f t="shared" si="96"/>
        <v xml:space="preserve"> </v>
      </c>
      <c r="AL389" s="232"/>
      <c r="AM389" s="232" t="str">
        <f t="shared" si="97"/>
        <v xml:space="preserve"> </v>
      </c>
      <c r="AN389" s="232" t="str">
        <f t="shared" si="98"/>
        <v xml:space="preserve"> </v>
      </c>
    </row>
    <row r="390" spans="28:40" x14ac:dyDescent="0.25">
      <c r="AB390" s="230" t="e">
        <f>T390-HLOOKUP(V390,Minimas!$C$3:$CD$12,2,FALSE)</f>
        <v>#N/A</v>
      </c>
      <c r="AC390" s="230" t="e">
        <f>T390-HLOOKUP(V390,Minimas!$C$3:$CD$12,3,FALSE)</f>
        <v>#N/A</v>
      </c>
      <c r="AD390" s="230" t="e">
        <f>T390-HLOOKUP(V390,Minimas!$C$3:$CD$12,4,FALSE)</f>
        <v>#N/A</v>
      </c>
      <c r="AE390" s="230" t="e">
        <f>T390-HLOOKUP(V390,Minimas!$C$3:$CD$12,5,FALSE)</f>
        <v>#N/A</v>
      </c>
      <c r="AF390" s="230" t="e">
        <f>T390-HLOOKUP(V390,Minimas!$C$3:$CD$12,6,FALSE)</f>
        <v>#N/A</v>
      </c>
      <c r="AG390" s="230" t="e">
        <f>T390-HLOOKUP(V390,Minimas!$C$3:$CD$12,7,FALSE)</f>
        <v>#N/A</v>
      </c>
      <c r="AH390" s="230" t="e">
        <f>T390-HLOOKUP(V390,Minimas!$C$3:$CD$12,8,FALSE)</f>
        <v>#N/A</v>
      </c>
      <c r="AI390" s="230" t="e">
        <f>T390-HLOOKUP(V390,Minimas!$C$3:$CD$12,9,FALSE)</f>
        <v>#N/A</v>
      </c>
      <c r="AJ390" s="230" t="e">
        <f>T390-HLOOKUP(V390,Minimas!$C$3:$CD$12,10,FALSE)</f>
        <v>#N/A</v>
      </c>
      <c r="AK390" s="231" t="str">
        <f t="shared" si="96"/>
        <v xml:space="preserve"> </v>
      </c>
      <c r="AL390" s="232"/>
      <c r="AM390" s="232" t="str">
        <f t="shared" si="97"/>
        <v xml:space="preserve"> </v>
      </c>
      <c r="AN390" s="232" t="str">
        <f t="shared" si="98"/>
        <v xml:space="preserve"> </v>
      </c>
    </row>
    <row r="391" spans="28:40" x14ac:dyDescent="0.25">
      <c r="AB391" s="230" t="e">
        <f>T391-HLOOKUP(V391,Minimas!$C$3:$CD$12,2,FALSE)</f>
        <v>#N/A</v>
      </c>
      <c r="AC391" s="230" t="e">
        <f>T391-HLOOKUP(V391,Minimas!$C$3:$CD$12,3,FALSE)</f>
        <v>#N/A</v>
      </c>
      <c r="AD391" s="230" t="e">
        <f>T391-HLOOKUP(V391,Minimas!$C$3:$CD$12,4,FALSE)</f>
        <v>#N/A</v>
      </c>
      <c r="AE391" s="230" t="e">
        <f>T391-HLOOKUP(V391,Minimas!$C$3:$CD$12,5,FALSE)</f>
        <v>#N/A</v>
      </c>
      <c r="AF391" s="230" t="e">
        <f>T391-HLOOKUP(V391,Minimas!$C$3:$CD$12,6,FALSE)</f>
        <v>#N/A</v>
      </c>
      <c r="AG391" s="230" t="e">
        <f>T391-HLOOKUP(V391,Minimas!$C$3:$CD$12,7,FALSE)</f>
        <v>#N/A</v>
      </c>
      <c r="AH391" s="230" t="e">
        <f>T391-HLOOKUP(V391,Minimas!$C$3:$CD$12,8,FALSE)</f>
        <v>#N/A</v>
      </c>
      <c r="AI391" s="230" t="e">
        <f>T391-HLOOKUP(V391,Minimas!$C$3:$CD$12,9,FALSE)</f>
        <v>#N/A</v>
      </c>
      <c r="AJ391" s="230" t="e">
        <f>T391-HLOOKUP(V391,Minimas!$C$3:$CD$12,10,FALSE)</f>
        <v>#N/A</v>
      </c>
      <c r="AK391" s="231" t="str">
        <f t="shared" si="96"/>
        <v xml:space="preserve"> </v>
      </c>
      <c r="AL391" s="232"/>
      <c r="AM391" s="232" t="str">
        <f t="shared" si="97"/>
        <v xml:space="preserve"> </v>
      </c>
      <c r="AN391" s="232" t="str">
        <f t="shared" si="98"/>
        <v xml:space="preserve"> </v>
      </c>
    </row>
    <row r="392" spans="28:40" x14ac:dyDescent="0.25">
      <c r="AB392" s="230" t="e">
        <f>T392-HLOOKUP(V392,Minimas!$C$3:$CD$12,2,FALSE)</f>
        <v>#N/A</v>
      </c>
      <c r="AC392" s="230" t="e">
        <f>T392-HLOOKUP(V392,Minimas!$C$3:$CD$12,3,FALSE)</f>
        <v>#N/A</v>
      </c>
      <c r="AD392" s="230" t="e">
        <f>T392-HLOOKUP(V392,Minimas!$C$3:$CD$12,4,FALSE)</f>
        <v>#N/A</v>
      </c>
      <c r="AE392" s="230" t="e">
        <f>T392-HLOOKUP(V392,Minimas!$C$3:$CD$12,5,FALSE)</f>
        <v>#N/A</v>
      </c>
      <c r="AF392" s="230" t="e">
        <f>T392-HLOOKUP(V392,Minimas!$C$3:$CD$12,6,FALSE)</f>
        <v>#N/A</v>
      </c>
      <c r="AG392" s="230" t="e">
        <f>T392-HLOOKUP(V392,Minimas!$C$3:$CD$12,7,FALSE)</f>
        <v>#N/A</v>
      </c>
      <c r="AH392" s="230" t="e">
        <f>T392-HLOOKUP(V392,Minimas!$C$3:$CD$12,8,FALSE)</f>
        <v>#N/A</v>
      </c>
      <c r="AI392" s="230" t="e">
        <f>T392-HLOOKUP(V392,Minimas!$C$3:$CD$12,9,FALSE)</f>
        <v>#N/A</v>
      </c>
      <c r="AJ392" s="230" t="e">
        <f>T392-HLOOKUP(V392,Minimas!$C$3:$CD$12,10,FALSE)</f>
        <v>#N/A</v>
      </c>
      <c r="AK392" s="231" t="str">
        <f t="shared" si="96"/>
        <v xml:space="preserve"> </v>
      </c>
      <c r="AL392" s="232"/>
      <c r="AM392" s="232" t="str">
        <f t="shared" si="97"/>
        <v xml:space="preserve"> </v>
      </c>
      <c r="AN392" s="232" t="str">
        <f t="shared" si="98"/>
        <v xml:space="preserve"> </v>
      </c>
    </row>
    <row r="393" spans="28:40" x14ac:dyDescent="0.25">
      <c r="AB393" s="230" t="e">
        <f>T393-HLOOKUP(V393,Minimas!$C$3:$CD$12,2,FALSE)</f>
        <v>#N/A</v>
      </c>
      <c r="AC393" s="230" t="e">
        <f>T393-HLOOKUP(V393,Minimas!$C$3:$CD$12,3,FALSE)</f>
        <v>#N/A</v>
      </c>
      <c r="AD393" s="230" t="e">
        <f>T393-HLOOKUP(V393,Minimas!$C$3:$CD$12,4,FALSE)</f>
        <v>#N/A</v>
      </c>
      <c r="AE393" s="230" t="e">
        <f>T393-HLOOKUP(V393,Minimas!$C$3:$CD$12,5,FALSE)</f>
        <v>#N/A</v>
      </c>
      <c r="AF393" s="230" t="e">
        <f>T393-HLOOKUP(V393,Minimas!$C$3:$CD$12,6,FALSE)</f>
        <v>#N/A</v>
      </c>
      <c r="AG393" s="230" t="e">
        <f>T393-HLOOKUP(V393,Minimas!$C$3:$CD$12,7,FALSE)</f>
        <v>#N/A</v>
      </c>
      <c r="AH393" s="230" t="e">
        <f>T393-HLOOKUP(V393,Minimas!$C$3:$CD$12,8,FALSE)</f>
        <v>#N/A</v>
      </c>
      <c r="AI393" s="230" t="e">
        <f>T393-HLOOKUP(V393,Minimas!$C$3:$CD$12,9,FALSE)</f>
        <v>#N/A</v>
      </c>
      <c r="AJ393" s="230" t="e">
        <f>T393-HLOOKUP(V393,Minimas!$C$3:$CD$12,10,FALSE)</f>
        <v>#N/A</v>
      </c>
      <c r="AK393" s="231" t="str">
        <f t="shared" si="96"/>
        <v xml:space="preserve"> </v>
      </c>
      <c r="AL393" s="232"/>
      <c r="AM393" s="232" t="str">
        <f t="shared" si="97"/>
        <v xml:space="preserve"> </v>
      </c>
      <c r="AN393" s="232" t="str">
        <f t="shared" si="98"/>
        <v xml:space="preserve"> </v>
      </c>
    </row>
    <row r="394" spans="28:40" x14ac:dyDescent="0.25">
      <c r="AB394" s="230" t="e">
        <f>T394-HLOOKUP(V394,Minimas!$C$3:$CD$12,2,FALSE)</f>
        <v>#N/A</v>
      </c>
      <c r="AC394" s="230" t="e">
        <f>T394-HLOOKUP(V394,Minimas!$C$3:$CD$12,3,FALSE)</f>
        <v>#N/A</v>
      </c>
      <c r="AD394" s="230" t="e">
        <f>T394-HLOOKUP(V394,Minimas!$C$3:$CD$12,4,FALSE)</f>
        <v>#N/A</v>
      </c>
      <c r="AE394" s="230" t="e">
        <f>T394-HLOOKUP(V394,Minimas!$C$3:$CD$12,5,FALSE)</f>
        <v>#N/A</v>
      </c>
      <c r="AF394" s="230" t="e">
        <f>T394-HLOOKUP(V394,Minimas!$C$3:$CD$12,6,FALSE)</f>
        <v>#N/A</v>
      </c>
      <c r="AG394" s="230" t="e">
        <f>T394-HLOOKUP(V394,Minimas!$C$3:$CD$12,7,FALSE)</f>
        <v>#N/A</v>
      </c>
      <c r="AH394" s="230" t="e">
        <f>T394-HLOOKUP(V394,Minimas!$C$3:$CD$12,8,FALSE)</f>
        <v>#N/A</v>
      </c>
      <c r="AI394" s="230" t="e">
        <f>T394-HLOOKUP(V394,Minimas!$C$3:$CD$12,9,FALSE)</f>
        <v>#N/A</v>
      </c>
      <c r="AJ394" s="230" t="e">
        <f>T394-HLOOKUP(V394,Minimas!$C$3:$CD$12,10,FALSE)</f>
        <v>#N/A</v>
      </c>
      <c r="AK394" s="231" t="str">
        <f t="shared" si="96"/>
        <v xml:space="preserve"> </v>
      </c>
      <c r="AL394" s="232"/>
      <c r="AM394" s="232" t="str">
        <f t="shared" si="97"/>
        <v xml:space="preserve"> </v>
      </c>
      <c r="AN394" s="232" t="str">
        <f t="shared" si="98"/>
        <v xml:space="preserve"> </v>
      </c>
    </row>
    <row r="395" spans="28:40" x14ac:dyDescent="0.25">
      <c r="AB395" s="230" t="e">
        <f>T395-HLOOKUP(V395,Minimas!$C$3:$CD$12,2,FALSE)</f>
        <v>#N/A</v>
      </c>
      <c r="AC395" s="230" t="e">
        <f>T395-HLOOKUP(V395,Minimas!$C$3:$CD$12,3,FALSE)</f>
        <v>#N/A</v>
      </c>
      <c r="AD395" s="230" t="e">
        <f>T395-HLOOKUP(V395,Minimas!$C$3:$CD$12,4,FALSE)</f>
        <v>#N/A</v>
      </c>
      <c r="AE395" s="230" t="e">
        <f>T395-HLOOKUP(V395,Minimas!$C$3:$CD$12,5,FALSE)</f>
        <v>#N/A</v>
      </c>
      <c r="AF395" s="230" t="e">
        <f>T395-HLOOKUP(V395,Minimas!$C$3:$CD$12,6,FALSE)</f>
        <v>#N/A</v>
      </c>
      <c r="AG395" s="230" t="e">
        <f>T395-HLOOKUP(V395,Minimas!$C$3:$CD$12,7,FALSE)</f>
        <v>#N/A</v>
      </c>
      <c r="AH395" s="230" t="e">
        <f>T395-HLOOKUP(V395,Minimas!$C$3:$CD$12,8,FALSE)</f>
        <v>#N/A</v>
      </c>
      <c r="AI395" s="230" t="e">
        <f>T395-HLOOKUP(V395,Minimas!$C$3:$CD$12,9,FALSE)</f>
        <v>#N/A</v>
      </c>
      <c r="AJ395" s="230" t="e">
        <f>T395-HLOOKUP(V395,Minimas!$C$3:$CD$12,10,FALSE)</f>
        <v>#N/A</v>
      </c>
      <c r="AK395" s="231" t="str">
        <f t="shared" si="96"/>
        <v xml:space="preserve"> </v>
      </c>
      <c r="AL395" s="232"/>
      <c r="AM395" s="232" t="str">
        <f t="shared" si="97"/>
        <v xml:space="preserve"> </v>
      </c>
      <c r="AN395" s="232" t="str">
        <f t="shared" si="98"/>
        <v xml:space="preserve"> </v>
      </c>
    </row>
    <row r="396" spans="28:40" x14ac:dyDescent="0.25">
      <c r="AB396" s="230" t="e">
        <f>T396-HLOOKUP(V396,Minimas!$C$3:$CD$12,2,FALSE)</f>
        <v>#N/A</v>
      </c>
      <c r="AC396" s="230" t="e">
        <f>T396-HLOOKUP(V396,Minimas!$C$3:$CD$12,3,FALSE)</f>
        <v>#N/A</v>
      </c>
      <c r="AD396" s="230" t="e">
        <f>T396-HLOOKUP(V396,Minimas!$C$3:$CD$12,4,FALSE)</f>
        <v>#N/A</v>
      </c>
      <c r="AE396" s="230" t="e">
        <f>T396-HLOOKUP(V396,Minimas!$C$3:$CD$12,5,FALSE)</f>
        <v>#N/A</v>
      </c>
      <c r="AF396" s="230" t="e">
        <f>T396-HLOOKUP(V396,Minimas!$C$3:$CD$12,6,FALSE)</f>
        <v>#N/A</v>
      </c>
      <c r="AG396" s="230" t="e">
        <f>T396-HLOOKUP(V396,Minimas!$C$3:$CD$12,7,FALSE)</f>
        <v>#N/A</v>
      </c>
      <c r="AH396" s="230" t="e">
        <f>T396-HLOOKUP(V396,Minimas!$C$3:$CD$12,8,FALSE)</f>
        <v>#N/A</v>
      </c>
      <c r="AI396" s="230" t="e">
        <f>T396-HLOOKUP(V396,Minimas!$C$3:$CD$12,9,FALSE)</f>
        <v>#N/A</v>
      </c>
      <c r="AJ396" s="230" t="e">
        <f>T396-HLOOKUP(V396,Minimas!$C$3:$CD$12,10,FALSE)</f>
        <v>#N/A</v>
      </c>
      <c r="AK396" s="231" t="str">
        <f t="shared" si="96"/>
        <v xml:space="preserve"> </v>
      </c>
      <c r="AL396" s="232"/>
      <c r="AM396" s="232" t="str">
        <f t="shared" si="97"/>
        <v xml:space="preserve"> </v>
      </c>
      <c r="AN396" s="232" t="str">
        <f t="shared" si="98"/>
        <v xml:space="preserve"> </v>
      </c>
    </row>
    <row r="397" spans="28:40" x14ac:dyDescent="0.25">
      <c r="AB397" s="230" t="e">
        <f>T397-HLOOKUP(V397,Minimas!$C$3:$CD$12,2,FALSE)</f>
        <v>#N/A</v>
      </c>
      <c r="AC397" s="230" t="e">
        <f>T397-HLOOKUP(V397,Minimas!$C$3:$CD$12,3,FALSE)</f>
        <v>#N/A</v>
      </c>
      <c r="AD397" s="230" t="e">
        <f>T397-HLOOKUP(V397,Minimas!$C$3:$CD$12,4,FALSE)</f>
        <v>#N/A</v>
      </c>
      <c r="AE397" s="230" t="e">
        <f>T397-HLOOKUP(V397,Minimas!$C$3:$CD$12,5,FALSE)</f>
        <v>#N/A</v>
      </c>
      <c r="AF397" s="230" t="e">
        <f>T397-HLOOKUP(V397,Minimas!$C$3:$CD$12,6,FALSE)</f>
        <v>#N/A</v>
      </c>
      <c r="AG397" s="230" t="e">
        <f>T397-HLOOKUP(V397,Minimas!$C$3:$CD$12,7,FALSE)</f>
        <v>#N/A</v>
      </c>
      <c r="AH397" s="230" t="e">
        <f>T397-HLOOKUP(V397,Minimas!$C$3:$CD$12,8,FALSE)</f>
        <v>#N/A</v>
      </c>
      <c r="AI397" s="230" t="e">
        <f>T397-HLOOKUP(V397,Minimas!$C$3:$CD$12,9,FALSE)</f>
        <v>#N/A</v>
      </c>
      <c r="AJ397" s="230" t="e">
        <f>T397-HLOOKUP(V397,Minimas!$C$3:$CD$12,10,FALSE)</f>
        <v>#N/A</v>
      </c>
      <c r="AK397" s="231" t="str">
        <f t="shared" si="96"/>
        <v xml:space="preserve"> </v>
      </c>
      <c r="AL397" s="232"/>
      <c r="AM397" s="232" t="str">
        <f t="shared" si="97"/>
        <v xml:space="preserve"> </v>
      </c>
      <c r="AN397" s="232" t="str">
        <f t="shared" si="98"/>
        <v xml:space="preserve"> </v>
      </c>
    </row>
    <row r="398" spans="28:40" x14ac:dyDescent="0.25">
      <c r="AB398" s="230" t="e">
        <f>T398-HLOOKUP(V398,Minimas!$C$3:$CD$12,2,FALSE)</f>
        <v>#N/A</v>
      </c>
      <c r="AC398" s="230" t="e">
        <f>T398-HLOOKUP(V398,Minimas!$C$3:$CD$12,3,FALSE)</f>
        <v>#N/A</v>
      </c>
      <c r="AD398" s="230" t="e">
        <f>T398-HLOOKUP(V398,Minimas!$C$3:$CD$12,4,FALSE)</f>
        <v>#N/A</v>
      </c>
      <c r="AE398" s="230" t="e">
        <f>T398-HLOOKUP(V398,Minimas!$C$3:$CD$12,5,FALSE)</f>
        <v>#N/A</v>
      </c>
      <c r="AF398" s="230" t="e">
        <f>T398-HLOOKUP(V398,Minimas!$C$3:$CD$12,6,FALSE)</f>
        <v>#N/A</v>
      </c>
      <c r="AG398" s="230" t="e">
        <f>T398-HLOOKUP(V398,Minimas!$C$3:$CD$12,7,FALSE)</f>
        <v>#N/A</v>
      </c>
      <c r="AH398" s="230" t="e">
        <f>T398-HLOOKUP(V398,Minimas!$C$3:$CD$12,8,FALSE)</f>
        <v>#N/A</v>
      </c>
      <c r="AI398" s="230" t="e">
        <f>T398-HLOOKUP(V398,Minimas!$C$3:$CD$12,9,FALSE)</f>
        <v>#N/A</v>
      </c>
      <c r="AJ398" s="230" t="e">
        <f>T398-HLOOKUP(V398,Minimas!$C$3:$CD$12,10,FALSE)</f>
        <v>#N/A</v>
      </c>
      <c r="AK398" s="231" t="str">
        <f t="shared" si="96"/>
        <v xml:space="preserve"> </v>
      </c>
      <c r="AL398" s="232"/>
      <c r="AM398" s="232" t="str">
        <f t="shared" si="97"/>
        <v xml:space="preserve"> </v>
      </c>
      <c r="AN398" s="232" t="str">
        <f t="shared" si="98"/>
        <v xml:space="preserve"> </v>
      </c>
    </row>
    <row r="399" spans="28:40" x14ac:dyDescent="0.25">
      <c r="AB399" s="230" t="e">
        <f>T399-HLOOKUP(V399,Minimas!$C$3:$CD$12,2,FALSE)</f>
        <v>#N/A</v>
      </c>
      <c r="AC399" s="230" t="e">
        <f>T399-HLOOKUP(V399,Minimas!$C$3:$CD$12,3,FALSE)</f>
        <v>#N/A</v>
      </c>
      <c r="AD399" s="230" t="e">
        <f>T399-HLOOKUP(V399,Minimas!$C$3:$CD$12,4,FALSE)</f>
        <v>#N/A</v>
      </c>
      <c r="AE399" s="230" t="e">
        <f>T399-HLOOKUP(V399,Minimas!$C$3:$CD$12,5,FALSE)</f>
        <v>#N/A</v>
      </c>
      <c r="AF399" s="230" t="e">
        <f>T399-HLOOKUP(V399,Minimas!$C$3:$CD$12,6,FALSE)</f>
        <v>#N/A</v>
      </c>
      <c r="AG399" s="230" t="e">
        <f>T399-HLOOKUP(V399,Minimas!$C$3:$CD$12,7,FALSE)</f>
        <v>#N/A</v>
      </c>
      <c r="AH399" s="230" t="e">
        <f>T399-HLOOKUP(V399,Minimas!$C$3:$CD$12,8,FALSE)</f>
        <v>#N/A</v>
      </c>
      <c r="AI399" s="230" t="e">
        <f>T399-HLOOKUP(V399,Minimas!$C$3:$CD$12,9,FALSE)</f>
        <v>#N/A</v>
      </c>
      <c r="AJ399" s="230" t="e">
        <f>T399-HLOOKUP(V399,Minimas!$C$3:$CD$12,10,FALSE)</f>
        <v>#N/A</v>
      </c>
      <c r="AK399" s="231" t="str">
        <f t="shared" si="96"/>
        <v xml:space="preserve"> </v>
      </c>
      <c r="AL399" s="232"/>
      <c r="AM399" s="232" t="str">
        <f t="shared" si="97"/>
        <v xml:space="preserve"> </v>
      </c>
      <c r="AN399" s="232" t="str">
        <f t="shared" si="98"/>
        <v xml:space="preserve"> </v>
      </c>
    </row>
    <row r="400" spans="28:40" x14ac:dyDescent="0.25">
      <c r="AB400" s="230" t="e">
        <f>T400-HLOOKUP(V400,Minimas!$C$3:$CD$12,2,FALSE)</f>
        <v>#N/A</v>
      </c>
      <c r="AC400" s="230" t="e">
        <f>T400-HLOOKUP(V400,Minimas!$C$3:$CD$12,3,FALSE)</f>
        <v>#N/A</v>
      </c>
      <c r="AD400" s="230" t="e">
        <f>T400-HLOOKUP(V400,Minimas!$C$3:$CD$12,4,FALSE)</f>
        <v>#N/A</v>
      </c>
      <c r="AE400" s="230" t="e">
        <f>T400-HLOOKUP(V400,Minimas!$C$3:$CD$12,5,FALSE)</f>
        <v>#N/A</v>
      </c>
      <c r="AF400" s="230" t="e">
        <f>T400-HLOOKUP(V400,Minimas!$C$3:$CD$12,6,FALSE)</f>
        <v>#N/A</v>
      </c>
      <c r="AG400" s="230" t="e">
        <f>T400-HLOOKUP(V400,Minimas!$C$3:$CD$12,7,FALSE)</f>
        <v>#N/A</v>
      </c>
      <c r="AH400" s="230" t="e">
        <f>T400-HLOOKUP(V400,Minimas!$C$3:$CD$12,8,FALSE)</f>
        <v>#N/A</v>
      </c>
      <c r="AI400" s="230" t="e">
        <f>T400-HLOOKUP(V400,Minimas!$C$3:$CD$12,9,FALSE)</f>
        <v>#N/A</v>
      </c>
      <c r="AJ400" s="230" t="e">
        <f>T400-HLOOKUP(V400,Minimas!$C$3:$CD$12,10,FALSE)</f>
        <v>#N/A</v>
      </c>
      <c r="AK400" s="231" t="str">
        <f t="shared" si="96"/>
        <v xml:space="preserve"> </v>
      </c>
      <c r="AL400" s="232"/>
      <c r="AM400" s="232" t="str">
        <f t="shared" si="97"/>
        <v xml:space="preserve"> </v>
      </c>
      <c r="AN400" s="232" t="str">
        <f t="shared" si="98"/>
        <v xml:space="preserve"> </v>
      </c>
    </row>
    <row r="401" spans="28:40" x14ac:dyDescent="0.25">
      <c r="AB401" s="230" t="e">
        <f>T401-HLOOKUP(V401,Minimas!$C$3:$CD$12,2,FALSE)</f>
        <v>#N/A</v>
      </c>
      <c r="AC401" s="230" t="e">
        <f>T401-HLOOKUP(V401,Minimas!$C$3:$CD$12,3,FALSE)</f>
        <v>#N/A</v>
      </c>
      <c r="AD401" s="230" t="e">
        <f>T401-HLOOKUP(V401,Minimas!$C$3:$CD$12,4,FALSE)</f>
        <v>#N/A</v>
      </c>
      <c r="AE401" s="230" t="e">
        <f>T401-HLOOKUP(V401,Minimas!$C$3:$CD$12,5,FALSE)</f>
        <v>#N/A</v>
      </c>
      <c r="AF401" s="230" t="e">
        <f>T401-HLOOKUP(V401,Minimas!$C$3:$CD$12,6,FALSE)</f>
        <v>#N/A</v>
      </c>
      <c r="AG401" s="230" t="e">
        <f>T401-HLOOKUP(V401,Minimas!$C$3:$CD$12,7,FALSE)</f>
        <v>#N/A</v>
      </c>
      <c r="AH401" s="230" t="e">
        <f>T401-HLOOKUP(V401,Minimas!$C$3:$CD$12,8,FALSE)</f>
        <v>#N/A</v>
      </c>
      <c r="AI401" s="230" t="e">
        <f>T401-HLOOKUP(V401,Minimas!$C$3:$CD$12,9,FALSE)</f>
        <v>#N/A</v>
      </c>
      <c r="AJ401" s="230" t="e">
        <f>T401-HLOOKUP(V401,Minimas!$C$3:$CD$12,10,FALSE)</f>
        <v>#N/A</v>
      </c>
      <c r="AK401" s="231" t="str">
        <f t="shared" si="96"/>
        <v xml:space="preserve"> </v>
      </c>
      <c r="AL401" s="232"/>
      <c r="AM401" s="232" t="str">
        <f t="shared" si="97"/>
        <v xml:space="preserve"> </v>
      </c>
      <c r="AN401" s="232" t="str">
        <f t="shared" si="98"/>
        <v xml:space="preserve"> </v>
      </c>
    </row>
    <row r="402" spans="28:40" x14ac:dyDescent="0.25">
      <c r="AB402" s="230" t="e">
        <f>T402-HLOOKUP(V402,Minimas!$C$3:$CD$12,2,FALSE)</f>
        <v>#N/A</v>
      </c>
      <c r="AC402" s="230" t="e">
        <f>T402-HLOOKUP(V402,Minimas!$C$3:$CD$12,3,FALSE)</f>
        <v>#N/A</v>
      </c>
      <c r="AD402" s="230" t="e">
        <f>T402-HLOOKUP(V402,Minimas!$C$3:$CD$12,4,FALSE)</f>
        <v>#N/A</v>
      </c>
      <c r="AE402" s="230" t="e">
        <f>T402-HLOOKUP(V402,Minimas!$C$3:$CD$12,5,FALSE)</f>
        <v>#N/A</v>
      </c>
      <c r="AF402" s="230" t="e">
        <f>T402-HLOOKUP(V402,Minimas!$C$3:$CD$12,6,FALSE)</f>
        <v>#N/A</v>
      </c>
      <c r="AG402" s="230" t="e">
        <f>T402-HLOOKUP(V402,Minimas!$C$3:$CD$12,7,FALSE)</f>
        <v>#N/A</v>
      </c>
      <c r="AH402" s="230" t="e">
        <f>T402-HLOOKUP(V402,Minimas!$C$3:$CD$12,8,FALSE)</f>
        <v>#N/A</v>
      </c>
      <c r="AI402" s="230" t="e">
        <f>T402-HLOOKUP(V402,Minimas!$C$3:$CD$12,9,FALSE)</f>
        <v>#N/A</v>
      </c>
      <c r="AJ402" s="230" t="e">
        <f>T402-HLOOKUP(V402,Minimas!$C$3:$CD$12,10,FALSE)</f>
        <v>#N/A</v>
      </c>
      <c r="AK402" s="231" t="str">
        <f t="shared" si="96"/>
        <v xml:space="preserve"> </v>
      </c>
      <c r="AL402" s="232"/>
      <c r="AM402" s="232" t="str">
        <f t="shared" si="97"/>
        <v xml:space="preserve"> </v>
      </c>
      <c r="AN402" s="232" t="str">
        <f t="shared" si="98"/>
        <v xml:space="preserve"> </v>
      </c>
    </row>
    <row r="403" spans="28:40" x14ac:dyDescent="0.25">
      <c r="AB403" s="230" t="e">
        <f>T403-HLOOKUP(V403,Minimas!$C$3:$CD$12,2,FALSE)</f>
        <v>#N/A</v>
      </c>
      <c r="AC403" s="230" t="e">
        <f>T403-HLOOKUP(V403,Minimas!$C$3:$CD$12,3,FALSE)</f>
        <v>#N/A</v>
      </c>
      <c r="AD403" s="230" t="e">
        <f>T403-HLOOKUP(V403,Minimas!$C$3:$CD$12,4,FALSE)</f>
        <v>#N/A</v>
      </c>
      <c r="AE403" s="230" t="e">
        <f>T403-HLOOKUP(V403,Minimas!$C$3:$CD$12,5,FALSE)</f>
        <v>#N/A</v>
      </c>
      <c r="AF403" s="230" t="e">
        <f>T403-HLOOKUP(V403,Minimas!$C$3:$CD$12,6,FALSE)</f>
        <v>#N/A</v>
      </c>
      <c r="AG403" s="230" t="e">
        <f>T403-HLOOKUP(V403,Minimas!$C$3:$CD$12,7,FALSE)</f>
        <v>#N/A</v>
      </c>
      <c r="AH403" s="230" t="e">
        <f>T403-HLOOKUP(V403,Minimas!$C$3:$CD$12,8,FALSE)</f>
        <v>#N/A</v>
      </c>
      <c r="AI403" s="230" t="e">
        <f>T403-HLOOKUP(V403,Minimas!$C$3:$CD$12,9,FALSE)</f>
        <v>#N/A</v>
      </c>
      <c r="AJ403" s="230" t="e">
        <f>T403-HLOOKUP(V403,Minimas!$C$3:$CD$12,10,FALSE)</f>
        <v>#N/A</v>
      </c>
      <c r="AK403" s="231" t="str">
        <f t="shared" si="96"/>
        <v xml:space="preserve"> </v>
      </c>
      <c r="AL403" s="232"/>
      <c r="AM403" s="232" t="str">
        <f t="shared" si="97"/>
        <v xml:space="preserve"> </v>
      </c>
      <c r="AN403" s="232" t="str">
        <f t="shared" si="98"/>
        <v xml:space="preserve"> </v>
      </c>
    </row>
    <row r="404" spans="28:40" x14ac:dyDescent="0.25">
      <c r="AB404" s="230" t="e">
        <f>T404-HLOOKUP(V404,Minimas!$C$3:$CD$12,2,FALSE)</f>
        <v>#N/A</v>
      </c>
      <c r="AC404" s="230" t="e">
        <f>T404-HLOOKUP(V404,Minimas!$C$3:$CD$12,3,FALSE)</f>
        <v>#N/A</v>
      </c>
      <c r="AD404" s="230" t="e">
        <f>T404-HLOOKUP(V404,Minimas!$C$3:$CD$12,4,FALSE)</f>
        <v>#N/A</v>
      </c>
      <c r="AE404" s="230" t="e">
        <f>T404-HLOOKUP(V404,Minimas!$C$3:$CD$12,5,FALSE)</f>
        <v>#N/A</v>
      </c>
      <c r="AF404" s="230" t="e">
        <f>T404-HLOOKUP(V404,Minimas!$C$3:$CD$12,6,FALSE)</f>
        <v>#N/A</v>
      </c>
      <c r="AG404" s="230" t="e">
        <f>T404-HLOOKUP(V404,Minimas!$C$3:$CD$12,7,FALSE)</f>
        <v>#N/A</v>
      </c>
      <c r="AH404" s="230" t="e">
        <f>T404-HLOOKUP(V404,Minimas!$C$3:$CD$12,8,FALSE)</f>
        <v>#N/A</v>
      </c>
      <c r="AI404" s="230" t="e">
        <f>T404-HLOOKUP(V404,Minimas!$C$3:$CD$12,9,FALSE)</f>
        <v>#N/A</v>
      </c>
      <c r="AJ404" s="230" t="e">
        <f>T404-HLOOKUP(V404,Minimas!$C$3:$CD$12,10,FALSE)</f>
        <v>#N/A</v>
      </c>
      <c r="AK404" s="231" t="str">
        <f t="shared" si="96"/>
        <v xml:space="preserve"> </v>
      </c>
      <c r="AL404" s="232"/>
      <c r="AM404" s="232" t="str">
        <f t="shared" si="97"/>
        <v xml:space="preserve"> </v>
      </c>
      <c r="AN404" s="232" t="str">
        <f t="shared" si="98"/>
        <v xml:space="preserve"> </v>
      </c>
    </row>
    <row r="405" spans="28:40" x14ac:dyDescent="0.25">
      <c r="AB405" s="230" t="e">
        <f>T405-HLOOKUP(V405,Minimas!$C$3:$CD$12,2,FALSE)</f>
        <v>#N/A</v>
      </c>
      <c r="AC405" s="230" t="e">
        <f>T405-HLOOKUP(V405,Minimas!$C$3:$CD$12,3,FALSE)</f>
        <v>#N/A</v>
      </c>
      <c r="AD405" s="230" t="e">
        <f>T405-HLOOKUP(V405,Minimas!$C$3:$CD$12,4,FALSE)</f>
        <v>#N/A</v>
      </c>
      <c r="AE405" s="230" t="e">
        <f>T405-HLOOKUP(V405,Minimas!$C$3:$CD$12,5,FALSE)</f>
        <v>#N/A</v>
      </c>
      <c r="AF405" s="230" t="e">
        <f>T405-HLOOKUP(V405,Minimas!$C$3:$CD$12,6,FALSE)</f>
        <v>#N/A</v>
      </c>
      <c r="AG405" s="230" t="e">
        <f>T405-HLOOKUP(V405,Minimas!$C$3:$CD$12,7,FALSE)</f>
        <v>#N/A</v>
      </c>
      <c r="AH405" s="230" t="e">
        <f>T405-HLOOKUP(V405,Minimas!$C$3:$CD$12,8,FALSE)</f>
        <v>#N/A</v>
      </c>
      <c r="AI405" s="230" t="e">
        <f>T405-HLOOKUP(V405,Minimas!$C$3:$CD$12,9,FALSE)</f>
        <v>#N/A</v>
      </c>
      <c r="AJ405" s="230" t="e">
        <f>T405-HLOOKUP(V405,Minimas!$C$3:$CD$12,10,FALSE)</f>
        <v>#N/A</v>
      </c>
      <c r="AK405" s="231" t="str">
        <f t="shared" si="96"/>
        <v xml:space="preserve"> </v>
      </c>
      <c r="AL405" s="232"/>
      <c r="AM405" s="232" t="str">
        <f t="shared" si="97"/>
        <v xml:space="preserve"> </v>
      </c>
      <c r="AN405" s="232" t="str">
        <f t="shared" si="98"/>
        <v xml:space="preserve"> </v>
      </c>
    </row>
    <row r="406" spans="28:40" x14ac:dyDescent="0.25">
      <c r="AB406" s="230" t="e">
        <f>T406-HLOOKUP(V406,Minimas!$C$3:$CD$12,2,FALSE)</f>
        <v>#N/A</v>
      </c>
      <c r="AC406" s="230" t="e">
        <f>T406-HLOOKUP(V406,Minimas!$C$3:$CD$12,3,FALSE)</f>
        <v>#N/A</v>
      </c>
      <c r="AD406" s="230" t="e">
        <f>T406-HLOOKUP(V406,Minimas!$C$3:$CD$12,4,FALSE)</f>
        <v>#N/A</v>
      </c>
      <c r="AE406" s="230" t="e">
        <f>T406-HLOOKUP(V406,Minimas!$C$3:$CD$12,5,FALSE)</f>
        <v>#N/A</v>
      </c>
      <c r="AF406" s="230" t="e">
        <f>T406-HLOOKUP(V406,Minimas!$C$3:$CD$12,6,FALSE)</f>
        <v>#N/A</v>
      </c>
      <c r="AG406" s="230" t="e">
        <f>T406-HLOOKUP(V406,Minimas!$C$3:$CD$12,7,FALSE)</f>
        <v>#N/A</v>
      </c>
      <c r="AH406" s="230" t="e">
        <f>T406-HLOOKUP(V406,Minimas!$C$3:$CD$12,8,FALSE)</f>
        <v>#N/A</v>
      </c>
      <c r="AI406" s="230" t="e">
        <f>T406-HLOOKUP(V406,Minimas!$C$3:$CD$12,9,FALSE)</f>
        <v>#N/A</v>
      </c>
      <c r="AJ406" s="230" t="e">
        <f>T406-HLOOKUP(V406,Minimas!$C$3:$CD$12,10,FALSE)</f>
        <v>#N/A</v>
      </c>
      <c r="AK406" s="231" t="str">
        <f t="shared" si="96"/>
        <v xml:space="preserve"> </v>
      </c>
      <c r="AL406" s="232"/>
      <c r="AM406" s="232" t="str">
        <f t="shared" si="97"/>
        <v xml:space="preserve"> </v>
      </c>
      <c r="AN406" s="232" t="str">
        <f t="shared" si="98"/>
        <v xml:space="preserve"> </v>
      </c>
    </row>
    <row r="407" spans="28:40" x14ac:dyDescent="0.25">
      <c r="AB407" s="230" t="e">
        <f>T407-HLOOKUP(V407,Minimas!$C$3:$CD$12,2,FALSE)</f>
        <v>#N/A</v>
      </c>
      <c r="AC407" s="230" t="e">
        <f>T407-HLOOKUP(V407,Minimas!$C$3:$CD$12,3,FALSE)</f>
        <v>#N/A</v>
      </c>
      <c r="AD407" s="230" t="e">
        <f>T407-HLOOKUP(V407,Minimas!$C$3:$CD$12,4,FALSE)</f>
        <v>#N/A</v>
      </c>
      <c r="AE407" s="230" t="e">
        <f>T407-HLOOKUP(V407,Minimas!$C$3:$CD$12,5,FALSE)</f>
        <v>#N/A</v>
      </c>
      <c r="AF407" s="230" t="e">
        <f>T407-HLOOKUP(V407,Minimas!$C$3:$CD$12,6,FALSE)</f>
        <v>#N/A</v>
      </c>
      <c r="AG407" s="230" t="e">
        <f>T407-HLOOKUP(V407,Minimas!$C$3:$CD$12,7,FALSE)</f>
        <v>#N/A</v>
      </c>
      <c r="AH407" s="230" t="e">
        <f>T407-HLOOKUP(V407,Minimas!$C$3:$CD$12,8,FALSE)</f>
        <v>#N/A</v>
      </c>
      <c r="AI407" s="230" t="e">
        <f>T407-HLOOKUP(V407,Minimas!$C$3:$CD$12,9,FALSE)</f>
        <v>#N/A</v>
      </c>
      <c r="AJ407" s="230" t="e">
        <f>T407-HLOOKUP(V407,Minimas!$C$3:$CD$12,10,FALSE)</f>
        <v>#N/A</v>
      </c>
      <c r="AK407" s="231" t="str">
        <f t="shared" si="96"/>
        <v xml:space="preserve"> </v>
      </c>
      <c r="AL407" s="232"/>
      <c r="AM407" s="232" t="str">
        <f t="shared" si="97"/>
        <v xml:space="preserve"> </v>
      </c>
      <c r="AN407" s="232" t="str">
        <f t="shared" si="98"/>
        <v xml:space="preserve"> </v>
      </c>
    </row>
    <row r="408" spans="28:40" x14ac:dyDescent="0.25">
      <c r="AB408" s="230" t="e">
        <f>T408-HLOOKUP(V408,Minimas!$C$3:$CD$12,2,FALSE)</f>
        <v>#N/A</v>
      </c>
      <c r="AC408" s="230" t="e">
        <f>T408-HLOOKUP(V408,Minimas!$C$3:$CD$12,3,FALSE)</f>
        <v>#N/A</v>
      </c>
      <c r="AD408" s="230" t="e">
        <f>T408-HLOOKUP(V408,Minimas!$C$3:$CD$12,4,FALSE)</f>
        <v>#N/A</v>
      </c>
      <c r="AE408" s="230" t="e">
        <f>T408-HLOOKUP(V408,Minimas!$C$3:$CD$12,5,FALSE)</f>
        <v>#N/A</v>
      </c>
      <c r="AF408" s="230" t="e">
        <f>T408-HLOOKUP(V408,Minimas!$C$3:$CD$12,6,FALSE)</f>
        <v>#N/A</v>
      </c>
      <c r="AG408" s="230" t="e">
        <f>T408-HLOOKUP(V408,Minimas!$C$3:$CD$12,7,FALSE)</f>
        <v>#N/A</v>
      </c>
      <c r="AH408" s="230" t="e">
        <f>T408-HLOOKUP(V408,Minimas!$C$3:$CD$12,8,FALSE)</f>
        <v>#N/A</v>
      </c>
      <c r="AI408" s="230" t="e">
        <f>T408-HLOOKUP(V408,Minimas!$C$3:$CD$12,9,FALSE)</f>
        <v>#N/A</v>
      </c>
      <c r="AJ408" s="230" t="e">
        <f>T408-HLOOKUP(V408,Minimas!$C$3:$CD$12,10,FALSE)</f>
        <v>#N/A</v>
      </c>
      <c r="AK408" s="231" t="str">
        <f t="shared" si="96"/>
        <v xml:space="preserve"> </v>
      </c>
      <c r="AL408" s="232"/>
      <c r="AM408" s="232" t="str">
        <f t="shared" si="97"/>
        <v xml:space="preserve"> </v>
      </c>
      <c r="AN408" s="232" t="str">
        <f t="shared" si="98"/>
        <v xml:space="preserve"> </v>
      </c>
    </row>
    <row r="409" spans="28:40" x14ac:dyDescent="0.25">
      <c r="AB409" s="230" t="e">
        <f>T409-HLOOKUP(V409,Minimas!$C$3:$CD$12,2,FALSE)</f>
        <v>#N/A</v>
      </c>
      <c r="AC409" s="230" t="e">
        <f>T409-HLOOKUP(V409,Minimas!$C$3:$CD$12,3,FALSE)</f>
        <v>#N/A</v>
      </c>
      <c r="AD409" s="230" t="e">
        <f>T409-HLOOKUP(V409,Minimas!$C$3:$CD$12,4,FALSE)</f>
        <v>#N/A</v>
      </c>
      <c r="AE409" s="230" t="e">
        <f>T409-HLOOKUP(V409,Minimas!$C$3:$CD$12,5,FALSE)</f>
        <v>#N/A</v>
      </c>
      <c r="AF409" s="230" t="e">
        <f>T409-HLOOKUP(V409,Minimas!$C$3:$CD$12,6,FALSE)</f>
        <v>#N/A</v>
      </c>
      <c r="AG409" s="230" t="e">
        <f>T409-HLOOKUP(V409,Minimas!$C$3:$CD$12,7,FALSE)</f>
        <v>#N/A</v>
      </c>
      <c r="AH409" s="230" t="e">
        <f>T409-HLOOKUP(V409,Minimas!$C$3:$CD$12,8,FALSE)</f>
        <v>#N/A</v>
      </c>
      <c r="AI409" s="230" t="e">
        <f>T409-HLOOKUP(V409,Minimas!$C$3:$CD$12,9,FALSE)</f>
        <v>#N/A</v>
      </c>
      <c r="AJ409" s="230" t="e">
        <f>T409-HLOOKUP(V409,Minimas!$C$3:$CD$12,10,FALSE)</f>
        <v>#N/A</v>
      </c>
      <c r="AK409" s="231" t="str">
        <f t="shared" si="96"/>
        <v xml:space="preserve"> </v>
      </c>
      <c r="AL409" s="232"/>
      <c r="AM409" s="232" t="str">
        <f t="shared" si="97"/>
        <v xml:space="preserve"> </v>
      </c>
      <c r="AN409" s="232" t="str">
        <f t="shared" si="98"/>
        <v xml:space="preserve"> </v>
      </c>
    </row>
    <row r="410" spans="28:40" x14ac:dyDescent="0.25">
      <c r="AB410" s="230" t="e">
        <f>T410-HLOOKUP(V410,Minimas!$C$3:$CD$12,2,FALSE)</f>
        <v>#N/A</v>
      </c>
      <c r="AC410" s="230" t="e">
        <f>T410-HLOOKUP(V410,Minimas!$C$3:$CD$12,3,FALSE)</f>
        <v>#N/A</v>
      </c>
      <c r="AD410" s="230" t="e">
        <f>T410-HLOOKUP(V410,Minimas!$C$3:$CD$12,4,FALSE)</f>
        <v>#N/A</v>
      </c>
      <c r="AE410" s="230" t="e">
        <f>T410-HLOOKUP(V410,Minimas!$C$3:$CD$12,5,FALSE)</f>
        <v>#N/A</v>
      </c>
      <c r="AF410" s="230" t="e">
        <f>T410-HLOOKUP(V410,Minimas!$C$3:$CD$12,6,FALSE)</f>
        <v>#N/A</v>
      </c>
      <c r="AG410" s="230" t="e">
        <f>T410-HLOOKUP(V410,Minimas!$C$3:$CD$12,7,FALSE)</f>
        <v>#N/A</v>
      </c>
      <c r="AH410" s="230" t="e">
        <f>T410-HLOOKUP(V410,Minimas!$C$3:$CD$12,8,FALSE)</f>
        <v>#N/A</v>
      </c>
      <c r="AI410" s="230" t="e">
        <f>T410-HLOOKUP(V410,Minimas!$C$3:$CD$12,9,FALSE)</f>
        <v>#N/A</v>
      </c>
      <c r="AJ410" s="230" t="e">
        <f>T410-HLOOKUP(V410,Minimas!$C$3:$CD$12,10,FALSE)</f>
        <v>#N/A</v>
      </c>
      <c r="AK410" s="231" t="str">
        <f t="shared" si="96"/>
        <v xml:space="preserve"> </v>
      </c>
      <c r="AL410" s="232"/>
      <c r="AM410" s="232" t="str">
        <f t="shared" si="97"/>
        <v xml:space="preserve"> </v>
      </c>
      <c r="AN410" s="232" t="str">
        <f t="shared" si="98"/>
        <v xml:space="preserve"> </v>
      </c>
    </row>
    <row r="411" spans="28:40" x14ac:dyDescent="0.25">
      <c r="AB411" s="230" t="e">
        <f>T411-HLOOKUP(V411,Minimas!$C$3:$CD$12,2,FALSE)</f>
        <v>#N/A</v>
      </c>
      <c r="AC411" s="230" t="e">
        <f>T411-HLOOKUP(V411,Minimas!$C$3:$CD$12,3,FALSE)</f>
        <v>#N/A</v>
      </c>
      <c r="AD411" s="230" t="e">
        <f>T411-HLOOKUP(V411,Minimas!$C$3:$CD$12,4,FALSE)</f>
        <v>#N/A</v>
      </c>
      <c r="AE411" s="230" t="e">
        <f>T411-HLOOKUP(V411,Minimas!$C$3:$CD$12,5,FALSE)</f>
        <v>#N/A</v>
      </c>
      <c r="AF411" s="230" t="e">
        <f>T411-HLOOKUP(V411,Minimas!$C$3:$CD$12,6,FALSE)</f>
        <v>#N/A</v>
      </c>
      <c r="AG411" s="230" t="e">
        <f>T411-HLOOKUP(V411,Minimas!$C$3:$CD$12,7,FALSE)</f>
        <v>#N/A</v>
      </c>
      <c r="AH411" s="230" t="e">
        <f>T411-HLOOKUP(V411,Minimas!$C$3:$CD$12,8,FALSE)</f>
        <v>#N/A</v>
      </c>
      <c r="AI411" s="230" t="e">
        <f>T411-HLOOKUP(V411,Minimas!$C$3:$CD$12,9,FALSE)</f>
        <v>#N/A</v>
      </c>
      <c r="AJ411" s="230" t="e">
        <f>T411-HLOOKUP(V411,Minimas!$C$3:$CD$12,10,FALSE)</f>
        <v>#N/A</v>
      </c>
      <c r="AK411" s="231" t="str">
        <f t="shared" si="96"/>
        <v xml:space="preserve"> </v>
      </c>
      <c r="AL411" s="232"/>
      <c r="AM411" s="232" t="str">
        <f t="shared" si="97"/>
        <v xml:space="preserve"> </v>
      </c>
      <c r="AN411" s="232" t="str">
        <f t="shared" si="98"/>
        <v xml:space="preserve"> </v>
      </c>
    </row>
    <row r="412" spans="28:40" x14ac:dyDescent="0.25">
      <c r="AB412" s="230" t="e">
        <f>T412-HLOOKUP(V412,Minimas!$C$3:$CD$12,2,FALSE)</f>
        <v>#N/A</v>
      </c>
      <c r="AC412" s="230" t="e">
        <f>T412-HLOOKUP(V412,Minimas!$C$3:$CD$12,3,FALSE)</f>
        <v>#N/A</v>
      </c>
      <c r="AD412" s="230" t="e">
        <f>T412-HLOOKUP(V412,Minimas!$C$3:$CD$12,4,FALSE)</f>
        <v>#N/A</v>
      </c>
      <c r="AE412" s="230" t="e">
        <f>T412-HLOOKUP(V412,Minimas!$C$3:$CD$12,5,FALSE)</f>
        <v>#N/A</v>
      </c>
      <c r="AF412" s="230" t="e">
        <f>T412-HLOOKUP(V412,Minimas!$C$3:$CD$12,6,FALSE)</f>
        <v>#N/A</v>
      </c>
      <c r="AG412" s="230" t="e">
        <f>T412-HLOOKUP(V412,Minimas!$C$3:$CD$12,7,FALSE)</f>
        <v>#N/A</v>
      </c>
      <c r="AH412" s="230" t="e">
        <f>T412-HLOOKUP(V412,Minimas!$C$3:$CD$12,8,FALSE)</f>
        <v>#N/A</v>
      </c>
      <c r="AI412" s="230" t="e">
        <f>T412-HLOOKUP(V412,Minimas!$C$3:$CD$12,9,FALSE)</f>
        <v>#N/A</v>
      </c>
      <c r="AJ412" s="230" t="e">
        <f>T412-HLOOKUP(V412,Minimas!$C$3:$CD$12,10,FALSE)</f>
        <v>#N/A</v>
      </c>
      <c r="AK412" s="231" t="str">
        <f t="shared" si="96"/>
        <v xml:space="preserve"> </v>
      </c>
      <c r="AL412" s="232"/>
      <c r="AM412" s="232" t="str">
        <f t="shared" si="97"/>
        <v xml:space="preserve"> </v>
      </c>
      <c r="AN412" s="232" t="str">
        <f t="shared" si="98"/>
        <v xml:space="preserve"> </v>
      </c>
    </row>
    <row r="413" spans="28:40" x14ac:dyDescent="0.25">
      <c r="AB413" s="230" t="e">
        <f>T413-HLOOKUP(V413,Minimas!$C$3:$CD$12,2,FALSE)</f>
        <v>#N/A</v>
      </c>
      <c r="AC413" s="230" t="e">
        <f>T413-HLOOKUP(V413,Minimas!$C$3:$CD$12,3,FALSE)</f>
        <v>#N/A</v>
      </c>
      <c r="AD413" s="230" t="e">
        <f>T413-HLOOKUP(V413,Minimas!$C$3:$CD$12,4,FALSE)</f>
        <v>#N/A</v>
      </c>
      <c r="AE413" s="230" t="e">
        <f>T413-HLOOKUP(V413,Minimas!$C$3:$CD$12,5,FALSE)</f>
        <v>#N/A</v>
      </c>
      <c r="AF413" s="230" t="e">
        <f>T413-HLOOKUP(V413,Minimas!$C$3:$CD$12,6,FALSE)</f>
        <v>#N/A</v>
      </c>
      <c r="AG413" s="230" t="e">
        <f>T413-HLOOKUP(V413,Minimas!$C$3:$CD$12,7,FALSE)</f>
        <v>#N/A</v>
      </c>
      <c r="AH413" s="230" t="e">
        <f>T413-HLOOKUP(V413,Minimas!$C$3:$CD$12,8,FALSE)</f>
        <v>#N/A</v>
      </c>
      <c r="AI413" s="230" t="e">
        <f>T413-HLOOKUP(V413,Minimas!$C$3:$CD$12,9,FALSE)</f>
        <v>#N/A</v>
      </c>
      <c r="AJ413" s="230" t="e">
        <f>T413-HLOOKUP(V413,Minimas!$C$3:$CD$12,10,FALSE)</f>
        <v>#N/A</v>
      </c>
      <c r="AK413" s="231" t="str">
        <f t="shared" si="96"/>
        <v xml:space="preserve"> </v>
      </c>
      <c r="AL413" s="232"/>
      <c r="AM413" s="232" t="str">
        <f t="shared" si="97"/>
        <v xml:space="preserve"> </v>
      </c>
      <c r="AN413" s="232" t="str">
        <f t="shared" si="98"/>
        <v xml:space="preserve"> </v>
      </c>
    </row>
    <row r="414" spans="28:40" x14ac:dyDescent="0.25">
      <c r="AB414" s="230" t="e">
        <f>T414-HLOOKUP(V414,Minimas!$C$3:$CD$12,2,FALSE)</f>
        <v>#N/A</v>
      </c>
      <c r="AC414" s="230" t="e">
        <f>T414-HLOOKUP(V414,Minimas!$C$3:$CD$12,3,FALSE)</f>
        <v>#N/A</v>
      </c>
      <c r="AD414" s="230" t="e">
        <f>T414-HLOOKUP(V414,Minimas!$C$3:$CD$12,4,FALSE)</f>
        <v>#N/A</v>
      </c>
      <c r="AE414" s="230" t="e">
        <f>T414-HLOOKUP(V414,Minimas!$C$3:$CD$12,5,FALSE)</f>
        <v>#N/A</v>
      </c>
      <c r="AF414" s="230" t="e">
        <f>T414-HLOOKUP(V414,Minimas!$C$3:$CD$12,6,FALSE)</f>
        <v>#N/A</v>
      </c>
      <c r="AG414" s="230" t="e">
        <f>T414-HLOOKUP(V414,Minimas!$C$3:$CD$12,7,FALSE)</f>
        <v>#N/A</v>
      </c>
      <c r="AH414" s="230" t="e">
        <f>T414-HLOOKUP(V414,Minimas!$C$3:$CD$12,8,FALSE)</f>
        <v>#N/A</v>
      </c>
      <c r="AI414" s="230" t="e">
        <f>T414-HLOOKUP(V414,Minimas!$C$3:$CD$12,9,FALSE)</f>
        <v>#N/A</v>
      </c>
      <c r="AJ414" s="230" t="e">
        <f>T414-HLOOKUP(V414,Minimas!$C$3:$CD$12,10,FALSE)</f>
        <v>#N/A</v>
      </c>
      <c r="AK414" s="231" t="str">
        <f t="shared" si="96"/>
        <v xml:space="preserve"> </v>
      </c>
      <c r="AL414" s="232"/>
      <c r="AM414" s="232" t="str">
        <f t="shared" si="97"/>
        <v xml:space="preserve"> </v>
      </c>
      <c r="AN414" s="232" t="str">
        <f t="shared" si="98"/>
        <v xml:space="preserve"> </v>
      </c>
    </row>
    <row r="415" spans="28:40" x14ac:dyDescent="0.25">
      <c r="AB415" s="230" t="e">
        <f>T415-HLOOKUP(V415,Minimas!$C$3:$CD$12,2,FALSE)</f>
        <v>#N/A</v>
      </c>
      <c r="AC415" s="230" t="e">
        <f>T415-HLOOKUP(V415,Minimas!$C$3:$CD$12,3,FALSE)</f>
        <v>#N/A</v>
      </c>
      <c r="AD415" s="230" t="e">
        <f>T415-HLOOKUP(V415,Minimas!$C$3:$CD$12,4,FALSE)</f>
        <v>#N/A</v>
      </c>
      <c r="AE415" s="230" t="e">
        <f>T415-HLOOKUP(V415,Minimas!$C$3:$CD$12,5,FALSE)</f>
        <v>#N/A</v>
      </c>
      <c r="AF415" s="230" t="e">
        <f>T415-HLOOKUP(V415,Minimas!$C$3:$CD$12,6,FALSE)</f>
        <v>#N/A</v>
      </c>
      <c r="AG415" s="230" t="e">
        <f>T415-HLOOKUP(V415,Minimas!$C$3:$CD$12,7,FALSE)</f>
        <v>#N/A</v>
      </c>
      <c r="AH415" s="230" t="e">
        <f>T415-HLOOKUP(V415,Minimas!$C$3:$CD$12,8,FALSE)</f>
        <v>#N/A</v>
      </c>
      <c r="AI415" s="230" t="e">
        <f>T415-HLOOKUP(V415,Minimas!$C$3:$CD$12,9,FALSE)</f>
        <v>#N/A</v>
      </c>
      <c r="AJ415" s="230" t="e">
        <f>T415-HLOOKUP(V415,Minimas!$C$3:$CD$12,10,FALSE)</f>
        <v>#N/A</v>
      </c>
      <c r="AK415" s="231" t="str">
        <f t="shared" si="96"/>
        <v xml:space="preserve"> </v>
      </c>
      <c r="AL415" s="232"/>
      <c r="AM415" s="232" t="str">
        <f t="shared" si="97"/>
        <v xml:space="preserve"> </v>
      </c>
      <c r="AN415" s="232" t="str">
        <f t="shared" si="98"/>
        <v xml:space="preserve"> </v>
      </c>
    </row>
    <row r="416" spans="28:40" x14ac:dyDescent="0.25">
      <c r="AB416" s="230" t="e">
        <f>T416-HLOOKUP(V416,Minimas!$C$3:$CD$12,2,FALSE)</f>
        <v>#N/A</v>
      </c>
      <c r="AC416" s="230" t="e">
        <f>T416-HLOOKUP(V416,Minimas!$C$3:$CD$12,3,FALSE)</f>
        <v>#N/A</v>
      </c>
      <c r="AD416" s="230" t="e">
        <f>T416-HLOOKUP(V416,Minimas!$C$3:$CD$12,4,FALSE)</f>
        <v>#N/A</v>
      </c>
      <c r="AE416" s="230" t="e">
        <f>T416-HLOOKUP(V416,Minimas!$C$3:$CD$12,5,FALSE)</f>
        <v>#N/A</v>
      </c>
      <c r="AF416" s="230" t="e">
        <f>T416-HLOOKUP(V416,Minimas!$C$3:$CD$12,6,FALSE)</f>
        <v>#N/A</v>
      </c>
      <c r="AG416" s="230" t="e">
        <f>T416-HLOOKUP(V416,Minimas!$C$3:$CD$12,7,FALSE)</f>
        <v>#N/A</v>
      </c>
      <c r="AH416" s="230" t="e">
        <f>T416-HLOOKUP(V416,Minimas!$C$3:$CD$12,8,FALSE)</f>
        <v>#N/A</v>
      </c>
      <c r="AI416" s="230" t="e">
        <f>T416-HLOOKUP(V416,Minimas!$C$3:$CD$12,9,FALSE)</f>
        <v>#N/A</v>
      </c>
      <c r="AJ416" s="230" t="e">
        <f>T416-HLOOKUP(V416,Minimas!$C$3:$CD$12,10,FALSE)</f>
        <v>#N/A</v>
      </c>
      <c r="AK416" s="231" t="str">
        <f t="shared" si="96"/>
        <v xml:space="preserve"> </v>
      </c>
      <c r="AL416" s="232"/>
      <c r="AM416" s="232" t="str">
        <f t="shared" si="97"/>
        <v xml:space="preserve"> </v>
      </c>
      <c r="AN416" s="232" t="str">
        <f t="shared" si="98"/>
        <v xml:space="preserve"> </v>
      </c>
    </row>
    <row r="417" spans="28:40" x14ac:dyDescent="0.25">
      <c r="AB417" s="230" t="e">
        <f>T417-HLOOKUP(V417,Minimas!$C$3:$CD$12,2,FALSE)</f>
        <v>#N/A</v>
      </c>
      <c r="AC417" s="230" t="e">
        <f>T417-HLOOKUP(V417,Minimas!$C$3:$CD$12,3,FALSE)</f>
        <v>#N/A</v>
      </c>
      <c r="AD417" s="230" t="e">
        <f>T417-HLOOKUP(V417,Minimas!$C$3:$CD$12,4,FALSE)</f>
        <v>#N/A</v>
      </c>
      <c r="AE417" s="230" t="e">
        <f>T417-HLOOKUP(V417,Minimas!$C$3:$CD$12,5,FALSE)</f>
        <v>#N/A</v>
      </c>
      <c r="AF417" s="230" t="e">
        <f>T417-HLOOKUP(V417,Minimas!$C$3:$CD$12,6,FALSE)</f>
        <v>#N/A</v>
      </c>
      <c r="AG417" s="230" t="e">
        <f>T417-HLOOKUP(V417,Minimas!$C$3:$CD$12,7,FALSE)</f>
        <v>#N/A</v>
      </c>
      <c r="AH417" s="230" t="e">
        <f>T417-HLOOKUP(V417,Minimas!$C$3:$CD$12,8,FALSE)</f>
        <v>#N/A</v>
      </c>
      <c r="AI417" s="230" t="e">
        <f>T417-HLOOKUP(V417,Minimas!$C$3:$CD$12,9,FALSE)</f>
        <v>#N/A</v>
      </c>
      <c r="AJ417" s="230" t="e">
        <f>T417-HLOOKUP(V417,Minimas!$C$3:$CD$12,10,FALSE)</f>
        <v>#N/A</v>
      </c>
      <c r="AK417" s="231" t="str">
        <f t="shared" si="96"/>
        <v xml:space="preserve"> </v>
      </c>
      <c r="AL417" s="232"/>
      <c r="AM417" s="232" t="str">
        <f t="shared" si="97"/>
        <v xml:space="preserve"> </v>
      </c>
      <c r="AN417" s="232" t="str">
        <f t="shared" si="98"/>
        <v xml:space="preserve"> </v>
      </c>
    </row>
    <row r="418" spans="28:40" x14ac:dyDescent="0.25">
      <c r="AB418" s="230" t="e">
        <f>T418-HLOOKUP(V418,Minimas!$C$3:$CD$12,2,FALSE)</f>
        <v>#N/A</v>
      </c>
      <c r="AC418" s="230" t="e">
        <f>T418-HLOOKUP(V418,Minimas!$C$3:$CD$12,3,FALSE)</f>
        <v>#N/A</v>
      </c>
      <c r="AD418" s="230" t="e">
        <f>T418-HLOOKUP(V418,Minimas!$C$3:$CD$12,4,FALSE)</f>
        <v>#N/A</v>
      </c>
      <c r="AE418" s="230" t="e">
        <f>T418-HLOOKUP(V418,Minimas!$C$3:$CD$12,5,FALSE)</f>
        <v>#N/A</v>
      </c>
      <c r="AF418" s="230" t="e">
        <f>T418-HLOOKUP(V418,Minimas!$C$3:$CD$12,6,FALSE)</f>
        <v>#N/A</v>
      </c>
      <c r="AG418" s="230" t="e">
        <f>T418-HLOOKUP(V418,Minimas!$C$3:$CD$12,7,FALSE)</f>
        <v>#N/A</v>
      </c>
      <c r="AH418" s="230" t="e">
        <f>T418-HLOOKUP(V418,Minimas!$C$3:$CD$12,8,FALSE)</f>
        <v>#N/A</v>
      </c>
      <c r="AI418" s="230" t="e">
        <f>T418-HLOOKUP(V418,Minimas!$C$3:$CD$12,9,FALSE)</f>
        <v>#N/A</v>
      </c>
      <c r="AJ418" s="230" t="e">
        <f>T418-HLOOKUP(V418,Minimas!$C$3:$CD$12,10,FALSE)</f>
        <v>#N/A</v>
      </c>
      <c r="AK418" s="231" t="str">
        <f t="shared" si="96"/>
        <v xml:space="preserve"> </v>
      </c>
      <c r="AL418" s="232"/>
      <c r="AM418" s="232" t="str">
        <f t="shared" si="97"/>
        <v xml:space="preserve"> </v>
      </c>
      <c r="AN418" s="232" t="str">
        <f t="shared" si="98"/>
        <v xml:space="preserve"> </v>
      </c>
    </row>
    <row r="419" spans="28:40" x14ac:dyDescent="0.25">
      <c r="AB419" s="230" t="e">
        <f>T419-HLOOKUP(V419,Minimas!$C$3:$CD$12,2,FALSE)</f>
        <v>#N/A</v>
      </c>
      <c r="AC419" s="230" t="e">
        <f>T419-HLOOKUP(V419,Minimas!$C$3:$CD$12,3,FALSE)</f>
        <v>#N/A</v>
      </c>
      <c r="AD419" s="230" t="e">
        <f>T419-HLOOKUP(V419,Minimas!$C$3:$CD$12,4,FALSE)</f>
        <v>#N/A</v>
      </c>
      <c r="AE419" s="230" t="e">
        <f>T419-HLOOKUP(V419,Minimas!$C$3:$CD$12,5,FALSE)</f>
        <v>#N/A</v>
      </c>
      <c r="AF419" s="230" t="e">
        <f>T419-HLOOKUP(V419,Minimas!$C$3:$CD$12,6,FALSE)</f>
        <v>#N/A</v>
      </c>
      <c r="AG419" s="230" t="e">
        <f>T419-HLOOKUP(V419,Minimas!$C$3:$CD$12,7,FALSE)</f>
        <v>#N/A</v>
      </c>
      <c r="AH419" s="230" t="e">
        <f>T419-HLOOKUP(V419,Minimas!$C$3:$CD$12,8,FALSE)</f>
        <v>#N/A</v>
      </c>
      <c r="AI419" s="230" t="e">
        <f>T419-HLOOKUP(V419,Minimas!$C$3:$CD$12,9,FALSE)</f>
        <v>#N/A</v>
      </c>
      <c r="AJ419" s="230" t="e">
        <f>T419-HLOOKUP(V419,Minimas!$C$3:$CD$12,10,FALSE)</f>
        <v>#N/A</v>
      </c>
      <c r="AK419" s="231" t="str">
        <f t="shared" si="96"/>
        <v xml:space="preserve"> </v>
      </c>
      <c r="AL419" s="232"/>
      <c r="AM419" s="232" t="str">
        <f t="shared" si="97"/>
        <v xml:space="preserve"> </v>
      </c>
      <c r="AN419" s="232" t="str">
        <f t="shared" si="98"/>
        <v xml:space="preserve"> </v>
      </c>
    </row>
    <row r="420" spans="28:40" x14ac:dyDescent="0.25">
      <c r="AB420" s="230" t="e">
        <f>T420-HLOOKUP(V420,Minimas!$C$3:$CD$12,2,FALSE)</f>
        <v>#N/A</v>
      </c>
      <c r="AC420" s="230" t="e">
        <f>T420-HLOOKUP(V420,Minimas!$C$3:$CD$12,3,FALSE)</f>
        <v>#N/A</v>
      </c>
      <c r="AD420" s="230" t="e">
        <f>T420-HLOOKUP(V420,Minimas!$C$3:$CD$12,4,FALSE)</f>
        <v>#N/A</v>
      </c>
      <c r="AE420" s="230" t="e">
        <f>T420-HLOOKUP(V420,Minimas!$C$3:$CD$12,5,FALSE)</f>
        <v>#N/A</v>
      </c>
      <c r="AF420" s="230" t="e">
        <f>T420-HLOOKUP(V420,Minimas!$C$3:$CD$12,6,FALSE)</f>
        <v>#N/A</v>
      </c>
      <c r="AG420" s="230" t="e">
        <f>T420-HLOOKUP(V420,Minimas!$C$3:$CD$12,7,FALSE)</f>
        <v>#N/A</v>
      </c>
      <c r="AH420" s="230" t="e">
        <f>T420-HLOOKUP(V420,Minimas!$C$3:$CD$12,8,FALSE)</f>
        <v>#N/A</v>
      </c>
      <c r="AI420" s="230" t="e">
        <f>T420-HLOOKUP(V420,Minimas!$C$3:$CD$12,9,FALSE)</f>
        <v>#N/A</v>
      </c>
      <c r="AJ420" s="230" t="e">
        <f>T420-HLOOKUP(V420,Minimas!$C$3:$CD$12,10,FALSE)</f>
        <v>#N/A</v>
      </c>
      <c r="AK420" s="231" t="str">
        <f t="shared" si="96"/>
        <v xml:space="preserve"> </v>
      </c>
      <c r="AL420" s="232"/>
      <c r="AM420" s="232" t="str">
        <f t="shared" si="97"/>
        <v xml:space="preserve"> </v>
      </c>
      <c r="AN420" s="232" t="str">
        <f t="shared" si="98"/>
        <v xml:space="preserve"> </v>
      </c>
    </row>
    <row r="421" spans="28:40" x14ac:dyDescent="0.25">
      <c r="AB421" s="230" t="e">
        <f>T421-HLOOKUP(V421,Minimas!$C$3:$CD$12,2,FALSE)</f>
        <v>#N/A</v>
      </c>
      <c r="AC421" s="230" t="e">
        <f>T421-HLOOKUP(V421,Minimas!$C$3:$CD$12,3,FALSE)</f>
        <v>#N/A</v>
      </c>
      <c r="AD421" s="230" t="e">
        <f>T421-HLOOKUP(V421,Minimas!$C$3:$CD$12,4,FALSE)</f>
        <v>#N/A</v>
      </c>
      <c r="AE421" s="230" t="e">
        <f>T421-HLOOKUP(V421,Minimas!$C$3:$CD$12,5,FALSE)</f>
        <v>#N/A</v>
      </c>
      <c r="AF421" s="230" t="e">
        <f>T421-HLOOKUP(V421,Minimas!$C$3:$CD$12,6,FALSE)</f>
        <v>#N/A</v>
      </c>
      <c r="AG421" s="230" t="e">
        <f>T421-HLOOKUP(V421,Minimas!$C$3:$CD$12,7,FALSE)</f>
        <v>#N/A</v>
      </c>
      <c r="AH421" s="230" t="e">
        <f>T421-HLOOKUP(V421,Minimas!$C$3:$CD$12,8,FALSE)</f>
        <v>#N/A</v>
      </c>
      <c r="AI421" s="230" t="e">
        <f>T421-HLOOKUP(V421,Minimas!$C$3:$CD$12,9,FALSE)</f>
        <v>#N/A</v>
      </c>
      <c r="AJ421" s="230" t="e">
        <f>T421-HLOOKUP(V421,Minimas!$C$3:$CD$12,10,FALSE)</f>
        <v>#N/A</v>
      </c>
      <c r="AK421" s="231" t="str">
        <f t="shared" si="96"/>
        <v xml:space="preserve"> </v>
      </c>
      <c r="AL421" s="232"/>
      <c r="AM421" s="232" t="str">
        <f t="shared" si="97"/>
        <v xml:space="preserve"> </v>
      </c>
      <c r="AN421" s="232" t="str">
        <f t="shared" si="98"/>
        <v xml:space="preserve"> </v>
      </c>
    </row>
    <row r="422" spans="28:40" x14ac:dyDescent="0.25">
      <c r="AB422" s="230" t="e">
        <f>T422-HLOOKUP(V422,Minimas!$C$3:$CD$12,2,FALSE)</f>
        <v>#N/A</v>
      </c>
      <c r="AC422" s="230" t="e">
        <f>T422-HLOOKUP(V422,Minimas!$C$3:$CD$12,3,FALSE)</f>
        <v>#N/A</v>
      </c>
      <c r="AD422" s="230" t="e">
        <f>T422-HLOOKUP(V422,Minimas!$C$3:$CD$12,4,FALSE)</f>
        <v>#N/A</v>
      </c>
      <c r="AE422" s="230" t="e">
        <f>T422-HLOOKUP(V422,Minimas!$C$3:$CD$12,5,FALSE)</f>
        <v>#N/A</v>
      </c>
      <c r="AF422" s="230" t="e">
        <f>T422-HLOOKUP(V422,Minimas!$C$3:$CD$12,6,FALSE)</f>
        <v>#N/A</v>
      </c>
      <c r="AG422" s="230" t="e">
        <f>T422-HLOOKUP(V422,Minimas!$C$3:$CD$12,7,FALSE)</f>
        <v>#N/A</v>
      </c>
      <c r="AH422" s="230" t="e">
        <f>T422-HLOOKUP(V422,Minimas!$C$3:$CD$12,8,FALSE)</f>
        <v>#N/A</v>
      </c>
      <c r="AI422" s="230" t="e">
        <f>T422-HLOOKUP(V422,Minimas!$C$3:$CD$12,9,FALSE)</f>
        <v>#N/A</v>
      </c>
      <c r="AJ422" s="230" t="e">
        <f>T422-HLOOKUP(V422,Minimas!$C$3:$CD$12,10,FALSE)</f>
        <v>#N/A</v>
      </c>
      <c r="AK422" s="231" t="str">
        <f t="shared" si="96"/>
        <v xml:space="preserve"> </v>
      </c>
      <c r="AL422" s="232"/>
      <c r="AM422" s="232" t="str">
        <f t="shared" si="97"/>
        <v xml:space="preserve"> </v>
      </c>
      <c r="AN422" s="232" t="str">
        <f t="shared" si="98"/>
        <v xml:space="preserve"> </v>
      </c>
    </row>
    <row r="423" spans="28:40" x14ac:dyDescent="0.25">
      <c r="AB423" s="230" t="e">
        <f>T423-HLOOKUP(V423,Minimas!$C$3:$CD$12,2,FALSE)</f>
        <v>#N/A</v>
      </c>
      <c r="AC423" s="230" t="e">
        <f>T423-HLOOKUP(V423,Minimas!$C$3:$CD$12,3,FALSE)</f>
        <v>#N/A</v>
      </c>
      <c r="AD423" s="230" t="e">
        <f>T423-HLOOKUP(V423,Minimas!$C$3:$CD$12,4,FALSE)</f>
        <v>#N/A</v>
      </c>
      <c r="AE423" s="230" t="e">
        <f>T423-HLOOKUP(V423,Minimas!$C$3:$CD$12,5,FALSE)</f>
        <v>#N/A</v>
      </c>
      <c r="AF423" s="230" t="e">
        <f>T423-HLOOKUP(V423,Minimas!$C$3:$CD$12,6,FALSE)</f>
        <v>#N/A</v>
      </c>
      <c r="AG423" s="230" t="e">
        <f>T423-HLOOKUP(V423,Minimas!$C$3:$CD$12,7,FALSE)</f>
        <v>#N/A</v>
      </c>
      <c r="AH423" s="230" t="e">
        <f>T423-HLOOKUP(V423,Minimas!$C$3:$CD$12,8,FALSE)</f>
        <v>#N/A</v>
      </c>
      <c r="AI423" s="230" t="e">
        <f>T423-HLOOKUP(V423,Minimas!$C$3:$CD$12,9,FALSE)</f>
        <v>#N/A</v>
      </c>
      <c r="AJ423" s="230" t="e">
        <f>T423-HLOOKUP(V423,Minimas!$C$3:$CD$12,10,FALSE)</f>
        <v>#N/A</v>
      </c>
      <c r="AK423" s="231" t="str">
        <f t="shared" si="96"/>
        <v xml:space="preserve"> </v>
      </c>
      <c r="AL423" s="232"/>
      <c r="AM423" s="232" t="str">
        <f t="shared" si="97"/>
        <v xml:space="preserve"> </v>
      </c>
      <c r="AN423" s="232" t="str">
        <f t="shared" si="98"/>
        <v xml:space="preserve"> </v>
      </c>
    </row>
    <row r="424" spans="28:40" x14ac:dyDescent="0.25">
      <c r="AB424" s="230" t="e">
        <f>T424-HLOOKUP(V424,Minimas!$C$3:$CD$12,2,FALSE)</f>
        <v>#N/A</v>
      </c>
      <c r="AC424" s="230" t="e">
        <f>T424-HLOOKUP(V424,Minimas!$C$3:$CD$12,3,FALSE)</f>
        <v>#N/A</v>
      </c>
      <c r="AD424" s="230" t="e">
        <f>T424-HLOOKUP(V424,Minimas!$C$3:$CD$12,4,FALSE)</f>
        <v>#N/A</v>
      </c>
      <c r="AE424" s="230" t="e">
        <f>T424-HLOOKUP(V424,Minimas!$C$3:$CD$12,5,FALSE)</f>
        <v>#N/A</v>
      </c>
      <c r="AF424" s="230" t="e">
        <f>T424-HLOOKUP(V424,Minimas!$C$3:$CD$12,6,FALSE)</f>
        <v>#N/A</v>
      </c>
      <c r="AG424" s="230" t="e">
        <f>T424-HLOOKUP(V424,Minimas!$C$3:$CD$12,7,FALSE)</f>
        <v>#N/A</v>
      </c>
      <c r="AH424" s="230" t="e">
        <f>T424-HLOOKUP(V424,Minimas!$C$3:$CD$12,8,FALSE)</f>
        <v>#N/A</v>
      </c>
      <c r="AI424" s="230" t="e">
        <f>T424-HLOOKUP(V424,Minimas!$C$3:$CD$12,9,FALSE)</f>
        <v>#N/A</v>
      </c>
      <c r="AJ424" s="230" t="e">
        <f>T424-HLOOKUP(V424,Minimas!$C$3:$CD$12,10,FALSE)</f>
        <v>#N/A</v>
      </c>
      <c r="AK424" s="231" t="str">
        <f t="shared" si="96"/>
        <v xml:space="preserve"> </v>
      </c>
      <c r="AL424" s="232"/>
      <c r="AM424" s="232" t="str">
        <f t="shared" si="97"/>
        <v xml:space="preserve"> </v>
      </c>
      <c r="AN424" s="232" t="str">
        <f t="shared" si="98"/>
        <v xml:space="preserve"> </v>
      </c>
    </row>
    <row r="425" spans="28:40" x14ac:dyDescent="0.25">
      <c r="AB425" s="230" t="e">
        <f>T425-HLOOKUP(V425,Minimas!$C$3:$CD$12,2,FALSE)</f>
        <v>#N/A</v>
      </c>
      <c r="AC425" s="230" t="e">
        <f>T425-HLOOKUP(V425,Minimas!$C$3:$CD$12,3,FALSE)</f>
        <v>#N/A</v>
      </c>
      <c r="AD425" s="230" t="e">
        <f>T425-HLOOKUP(V425,Minimas!$C$3:$CD$12,4,FALSE)</f>
        <v>#N/A</v>
      </c>
      <c r="AE425" s="230" t="e">
        <f>T425-HLOOKUP(V425,Minimas!$C$3:$CD$12,5,FALSE)</f>
        <v>#N/A</v>
      </c>
      <c r="AF425" s="230" t="e">
        <f>T425-HLOOKUP(V425,Minimas!$C$3:$CD$12,6,FALSE)</f>
        <v>#N/A</v>
      </c>
      <c r="AG425" s="230" t="e">
        <f>T425-HLOOKUP(V425,Minimas!$C$3:$CD$12,7,FALSE)</f>
        <v>#N/A</v>
      </c>
      <c r="AH425" s="230" t="e">
        <f>T425-HLOOKUP(V425,Minimas!$C$3:$CD$12,8,FALSE)</f>
        <v>#N/A</v>
      </c>
      <c r="AI425" s="230" t="e">
        <f>T425-HLOOKUP(V425,Minimas!$C$3:$CD$12,9,FALSE)</f>
        <v>#N/A</v>
      </c>
      <c r="AJ425" s="230" t="e">
        <f>T425-HLOOKUP(V425,Minimas!$C$3:$CD$12,10,FALSE)</f>
        <v>#N/A</v>
      </c>
      <c r="AK425" s="231" t="str">
        <f t="shared" si="96"/>
        <v xml:space="preserve"> </v>
      </c>
      <c r="AL425" s="232"/>
      <c r="AM425" s="232" t="str">
        <f t="shared" si="97"/>
        <v xml:space="preserve"> </v>
      </c>
      <c r="AN425" s="232" t="str">
        <f t="shared" si="98"/>
        <v xml:space="preserve"> </v>
      </c>
    </row>
    <row r="426" spans="28:40" x14ac:dyDescent="0.25">
      <c r="AB426" s="230" t="e">
        <f>T426-HLOOKUP(V426,Minimas!$C$3:$CD$12,2,FALSE)</f>
        <v>#N/A</v>
      </c>
      <c r="AC426" s="230" t="e">
        <f>T426-HLOOKUP(V426,Minimas!$C$3:$CD$12,3,FALSE)</f>
        <v>#N/A</v>
      </c>
      <c r="AD426" s="230" t="e">
        <f>T426-HLOOKUP(V426,Minimas!$C$3:$CD$12,4,FALSE)</f>
        <v>#N/A</v>
      </c>
      <c r="AE426" s="230" t="e">
        <f>T426-HLOOKUP(V426,Minimas!$C$3:$CD$12,5,FALSE)</f>
        <v>#N/A</v>
      </c>
      <c r="AF426" s="230" t="e">
        <f>T426-HLOOKUP(V426,Minimas!$C$3:$CD$12,6,FALSE)</f>
        <v>#N/A</v>
      </c>
      <c r="AG426" s="230" t="e">
        <f>T426-HLOOKUP(V426,Minimas!$C$3:$CD$12,7,FALSE)</f>
        <v>#N/A</v>
      </c>
      <c r="AH426" s="230" t="e">
        <f>T426-HLOOKUP(V426,Minimas!$C$3:$CD$12,8,FALSE)</f>
        <v>#N/A</v>
      </c>
      <c r="AI426" s="230" t="e">
        <f>T426-HLOOKUP(V426,Minimas!$C$3:$CD$12,9,FALSE)</f>
        <v>#N/A</v>
      </c>
      <c r="AJ426" s="230" t="e">
        <f>T426-HLOOKUP(V426,Minimas!$C$3:$CD$12,10,FALSE)</f>
        <v>#N/A</v>
      </c>
      <c r="AK426" s="231" t="str">
        <f t="shared" si="96"/>
        <v xml:space="preserve"> </v>
      </c>
      <c r="AL426" s="232"/>
      <c r="AM426" s="232" t="str">
        <f t="shared" si="97"/>
        <v xml:space="preserve"> </v>
      </c>
      <c r="AN426" s="232" t="str">
        <f t="shared" si="98"/>
        <v xml:space="preserve"> </v>
      </c>
    </row>
    <row r="427" spans="28:40" x14ac:dyDescent="0.25">
      <c r="AB427" s="230" t="e">
        <f>T427-HLOOKUP(V427,Minimas!$C$3:$CD$12,2,FALSE)</f>
        <v>#N/A</v>
      </c>
      <c r="AC427" s="230" t="e">
        <f>T427-HLOOKUP(V427,Minimas!$C$3:$CD$12,3,FALSE)</f>
        <v>#N/A</v>
      </c>
      <c r="AD427" s="230" t="e">
        <f>T427-HLOOKUP(V427,Minimas!$C$3:$CD$12,4,FALSE)</f>
        <v>#N/A</v>
      </c>
      <c r="AE427" s="230" t="e">
        <f>T427-HLOOKUP(V427,Minimas!$C$3:$CD$12,5,FALSE)</f>
        <v>#N/A</v>
      </c>
      <c r="AF427" s="230" t="e">
        <f>T427-HLOOKUP(V427,Minimas!$C$3:$CD$12,6,FALSE)</f>
        <v>#N/A</v>
      </c>
      <c r="AG427" s="230" t="e">
        <f>T427-HLOOKUP(V427,Minimas!$C$3:$CD$12,7,FALSE)</f>
        <v>#N/A</v>
      </c>
      <c r="AH427" s="230" t="e">
        <f>T427-HLOOKUP(V427,Minimas!$C$3:$CD$12,8,FALSE)</f>
        <v>#N/A</v>
      </c>
      <c r="AI427" s="230" t="e">
        <f>T427-HLOOKUP(V427,Minimas!$C$3:$CD$12,9,FALSE)</f>
        <v>#N/A</v>
      </c>
      <c r="AJ427" s="230" t="e">
        <f>T427-HLOOKUP(V427,Minimas!$C$3:$CD$12,10,FALSE)</f>
        <v>#N/A</v>
      </c>
      <c r="AK427" s="231" t="str">
        <f t="shared" si="96"/>
        <v xml:space="preserve"> </v>
      </c>
      <c r="AL427" s="232"/>
      <c r="AM427" s="232" t="str">
        <f t="shared" si="97"/>
        <v xml:space="preserve"> </v>
      </c>
      <c r="AN427" s="232" t="str">
        <f t="shared" si="98"/>
        <v xml:space="preserve"> </v>
      </c>
    </row>
    <row r="428" spans="28:40" x14ac:dyDescent="0.25">
      <c r="AB428" s="230" t="e">
        <f>T428-HLOOKUP(V428,Minimas!$C$3:$CD$12,2,FALSE)</f>
        <v>#N/A</v>
      </c>
      <c r="AC428" s="230" t="e">
        <f>T428-HLOOKUP(V428,Minimas!$C$3:$CD$12,3,FALSE)</f>
        <v>#N/A</v>
      </c>
      <c r="AD428" s="230" t="e">
        <f>T428-HLOOKUP(V428,Minimas!$C$3:$CD$12,4,FALSE)</f>
        <v>#N/A</v>
      </c>
      <c r="AE428" s="230" t="e">
        <f>T428-HLOOKUP(V428,Minimas!$C$3:$CD$12,5,FALSE)</f>
        <v>#N/A</v>
      </c>
      <c r="AF428" s="230" t="e">
        <f>T428-HLOOKUP(V428,Minimas!$C$3:$CD$12,6,FALSE)</f>
        <v>#N/A</v>
      </c>
      <c r="AG428" s="230" t="e">
        <f>T428-HLOOKUP(V428,Minimas!$C$3:$CD$12,7,FALSE)</f>
        <v>#N/A</v>
      </c>
      <c r="AH428" s="230" t="e">
        <f>T428-HLOOKUP(V428,Minimas!$C$3:$CD$12,8,FALSE)</f>
        <v>#N/A</v>
      </c>
      <c r="AI428" s="230" t="e">
        <f>T428-HLOOKUP(V428,Minimas!$C$3:$CD$12,9,FALSE)</f>
        <v>#N/A</v>
      </c>
      <c r="AJ428" s="230" t="e">
        <f>T428-HLOOKUP(V428,Minimas!$C$3:$CD$12,10,FALSE)</f>
        <v>#N/A</v>
      </c>
      <c r="AK428" s="231" t="str">
        <f t="shared" si="96"/>
        <v xml:space="preserve"> </v>
      </c>
      <c r="AL428" s="232"/>
      <c r="AM428" s="232" t="str">
        <f t="shared" si="97"/>
        <v xml:space="preserve"> </v>
      </c>
      <c r="AN428" s="232" t="str">
        <f t="shared" si="98"/>
        <v xml:space="preserve"> </v>
      </c>
    </row>
    <row r="429" spans="28:40" x14ac:dyDescent="0.25">
      <c r="AB429" s="230" t="e">
        <f>T429-HLOOKUP(V429,Minimas!$C$3:$CD$12,2,FALSE)</f>
        <v>#N/A</v>
      </c>
      <c r="AC429" s="230" t="e">
        <f>T429-HLOOKUP(V429,Minimas!$C$3:$CD$12,3,FALSE)</f>
        <v>#N/A</v>
      </c>
      <c r="AD429" s="230" t="e">
        <f>T429-HLOOKUP(V429,Minimas!$C$3:$CD$12,4,FALSE)</f>
        <v>#N/A</v>
      </c>
      <c r="AE429" s="230" t="e">
        <f>T429-HLOOKUP(V429,Minimas!$C$3:$CD$12,5,FALSE)</f>
        <v>#N/A</v>
      </c>
      <c r="AF429" s="230" t="e">
        <f>T429-HLOOKUP(V429,Minimas!$C$3:$CD$12,6,FALSE)</f>
        <v>#N/A</v>
      </c>
      <c r="AG429" s="230" t="e">
        <f>T429-HLOOKUP(V429,Minimas!$C$3:$CD$12,7,FALSE)</f>
        <v>#N/A</v>
      </c>
      <c r="AH429" s="230" t="e">
        <f>T429-HLOOKUP(V429,Minimas!$C$3:$CD$12,8,FALSE)</f>
        <v>#N/A</v>
      </c>
      <c r="AI429" s="230" t="e">
        <f>T429-HLOOKUP(V429,Minimas!$C$3:$CD$12,9,FALSE)</f>
        <v>#N/A</v>
      </c>
      <c r="AJ429" s="230" t="e">
        <f>T429-HLOOKUP(V429,Minimas!$C$3:$CD$12,10,FALSE)</f>
        <v>#N/A</v>
      </c>
      <c r="AK429" s="231" t="str">
        <f t="shared" si="96"/>
        <v xml:space="preserve"> </v>
      </c>
      <c r="AL429" s="232"/>
      <c r="AM429" s="232" t="str">
        <f t="shared" si="97"/>
        <v xml:space="preserve"> </v>
      </c>
      <c r="AN429" s="232" t="str">
        <f t="shared" si="98"/>
        <v xml:space="preserve"> </v>
      </c>
    </row>
    <row r="430" spans="28:40" x14ac:dyDescent="0.25">
      <c r="AB430" s="230" t="e">
        <f>T430-HLOOKUP(V430,Minimas!$C$3:$CD$12,2,FALSE)</f>
        <v>#N/A</v>
      </c>
      <c r="AC430" s="230" t="e">
        <f>T430-HLOOKUP(V430,Minimas!$C$3:$CD$12,3,FALSE)</f>
        <v>#N/A</v>
      </c>
      <c r="AD430" s="230" t="e">
        <f>T430-HLOOKUP(V430,Minimas!$C$3:$CD$12,4,FALSE)</f>
        <v>#N/A</v>
      </c>
      <c r="AE430" s="230" t="e">
        <f>T430-HLOOKUP(V430,Minimas!$C$3:$CD$12,5,FALSE)</f>
        <v>#N/A</v>
      </c>
      <c r="AF430" s="230" t="e">
        <f>T430-HLOOKUP(V430,Minimas!$C$3:$CD$12,6,FALSE)</f>
        <v>#N/A</v>
      </c>
      <c r="AG430" s="230" t="e">
        <f>T430-HLOOKUP(V430,Minimas!$C$3:$CD$12,7,FALSE)</f>
        <v>#N/A</v>
      </c>
      <c r="AH430" s="230" t="e">
        <f>T430-HLOOKUP(V430,Minimas!$C$3:$CD$12,8,FALSE)</f>
        <v>#N/A</v>
      </c>
      <c r="AI430" s="230" t="e">
        <f>T430-HLOOKUP(V430,Minimas!$C$3:$CD$12,9,FALSE)</f>
        <v>#N/A</v>
      </c>
      <c r="AJ430" s="230" t="e">
        <f>T430-HLOOKUP(V430,Minimas!$C$3:$CD$12,10,FALSE)</f>
        <v>#N/A</v>
      </c>
      <c r="AK430" s="231" t="str">
        <f t="shared" si="96"/>
        <v xml:space="preserve"> </v>
      </c>
      <c r="AL430" s="232"/>
      <c r="AM430" s="232" t="str">
        <f t="shared" si="97"/>
        <v xml:space="preserve"> </v>
      </c>
      <c r="AN430" s="232" t="str">
        <f t="shared" si="98"/>
        <v xml:space="preserve"> </v>
      </c>
    </row>
    <row r="431" spans="28:40" x14ac:dyDescent="0.25">
      <c r="AB431" s="230" t="e">
        <f>T431-HLOOKUP(V431,Minimas!$C$3:$CD$12,2,FALSE)</f>
        <v>#N/A</v>
      </c>
      <c r="AC431" s="230" t="e">
        <f>T431-HLOOKUP(V431,Minimas!$C$3:$CD$12,3,FALSE)</f>
        <v>#N/A</v>
      </c>
      <c r="AD431" s="230" t="e">
        <f>T431-HLOOKUP(V431,Minimas!$C$3:$CD$12,4,FALSE)</f>
        <v>#N/A</v>
      </c>
      <c r="AE431" s="230" t="e">
        <f>T431-HLOOKUP(V431,Minimas!$C$3:$CD$12,5,FALSE)</f>
        <v>#N/A</v>
      </c>
      <c r="AF431" s="230" t="e">
        <f>T431-HLOOKUP(V431,Minimas!$C$3:$CD$12,6,FALSE)</f>
        <v>#N/A</v>
      </c>
      <c r="AG431" s="230" t="e">
        <f>T431-HLOOKUP(V431,Minimas!$C$3:$CD$12,7,FALSE)</f>
        <v>#N/A</v>
      </c>
      <c r="AH431" s="230" t="e">
        <f>T431-HLOOKUP(V431,Minimas!$C$3:$CD$12,8,FALSE)</f>
        <v>#N/A</v>
      </c>
      <c r="AI431" s="230" t="e">
        <f>T431-HLOOKUP(V431,Minimas!$C$3:$CD$12,9,FALSE)</f>
        <v>#N/A</v>
      </c>
      <c r="AJ431" s="230" t="e">
        <f>T431-HLOOKUP(V431,Minimas!$C$3:$CD$12,10,FALSE)</f>
        <v>#N/A</v>
      </c>
      <c r="AK431" s="231" t="str">
        <f t="shared" si="96"/>
        <v xml:space="preserve"> </v>
      </c>
      <c r="AL431" s="232"/>
      <c r="AM431" s="232" t="str">
        <f t="shared" si="97"/>
        <v xml:space="preserve"> </v>
      </c>
      <c r="AN431" s="232" t="str">
        <f t="shared" si="98"/>
        <v xml:space="preserve"> </v>
      </c>
    </row>
    <row r="432" spans="28:40" x14ac:dyDescent="0.25">
      <c r="AB432" s="230" t="e">
        <f>T432-HLOOKUP(V432,Minimas!$C$3:$CD$12,2,FALSE)</f>
        <v>#N/A</v>
      </c>
      <c r="AC432" s="230" t="e">
        <f>T432-HLOOKUP(V432,Minimas!$C$3:$CD$12,3,FALSE)</f>
        <v>#N/A</v>
      </c>
      <c r="AD432" s="230" t="e">
        <f>T432-HLOOKUP(V432,Minimas!$C$3:$CD$12,4,FALSE)</f>
        <v>#N/A</v>
      </c>
      <c r="AE432" s="230" t="e">
        <f>T432-HLOOKUP(V432,Minimas!$C$3:$CD$12,5,FALSE)</f>
        <v>#N/A</v>
      </c>
      <c r="AF432" s="230" t="e">
        <f>T432-HLOOKUP(V432,Minimas!$C$3:$CD$12,6,FALSE)</f>
        <v>#N/A</v>
      </c>
      <c r="AG432" s="230" t="e">
        <f>T432-HLOOKUP(V432,Minimas!$C$3:$CD$12,7,FALSE)</f>
        <v>#N/A</v>
      </c>
      <c r="AH432" s="230" t="e">
        <f>T432-HLOOKUP(V432,Minimas!$C$3:$CD$12,8,FALSE)</f>
        <v>#N/A</v>
      </c>
      <c r="AI432" s="230" t="e">
        <f>T432-HLOOKUP(V432,Minimas!$C$3:$CD$12,9,FALSE)</f>
        <v>#N/A</v>
      </c>
      <c r="AJ432" s="230" t="e">
        <f>T432-HLOOKUP(V432,Minimas!$C$3:$CD$12,10,FALSE)</f>
        <v>#N/A</v>
      </c>
      <c r="AK432" s="231" t="str">
        <f t="shared" si="96"/>
        <v xml:space="preserve"> </v>
      </c>
      <c r="AL432" s="232"/>
      <c r="AM432" s="232" t="str">
        <f t="shared" si="97"/>
        <v xml:space="preserve"> </v>
      </c>
      <c r="AN432" s="232" t="str">
        <f t="shared" si="98"/>
        <v xml:space="preserve"> </v>
      </c>
    </row>
    <row r="433" spans="28:40" x14ac:dyDescent="0.25">
      <c r="AB433" s="230" t="e">
        <f>T433-HLOOKUP(V433,Minimas!$C$3:$CD$12,2,FALSE)</f>
        <v>#N/A</v>
      </c>
      <c r="AC433" s="230" t="e">
        <f>T433-HLOOKUP(V433,Minimas!$C$3:$CD$12,3,FALSE)</f>
        <v>#N/A</v>
      </c>
      <c r="AD433" s="230" t="e">
        <f>T433-HLOOKUP(V433,Minimas!$C$3:$CD$12,4,FALSE)</f>
        <v>#N/A</v>
      </c>
      <c r="AE433" s="230" t="e">
        <f>T433-HLOOKUP(V433,Minimas!$C$3:$CD$12,5,FALSE)</f>
        <v>#N/A</v>
      </c>
      <c r="AF433" s="230" t="e">
        <f>T433-HLOOKUP(V433,Minimas!$C$3:$CD$12,6,FALSE)</f>
        <v>#N/A</v>
      </c>
      <c r="AG433" s="230" t="e">
        <f>T433-HLOOKUP(V433,Minimas!$C$3:$CD$12,7,FALSE)</f>
        <v>#N/A</v>
      </c>
      <c r="AH433" s="230" t="e">
        <f>T433-HLOOKUP(V433,Minimas!$C$3:$CD$12,8,FALSE)</f>
        <v>#N/A</v>
      </c>
      <c r="AI433" s="230" t="e">
        <f>T433-HLOOKUP(V433,Minimas!$C$3:$CD$12,9,FALSE)</f>
        <v>#N/A</v>
      </c>
      <c r="AJ433" s="230" t="e">
        <f>T433-HLOOKUP(V433,Minimas!$C$3:$CD$12,10,FALSE)</f>
        <v>#N/A</v>
      </c>
      <c r="AK433" s="231" t="str">
        <f t="shared" si="96"/>
        <v xml:space="preserve"> </v>
      </c>
      <c r="AL433" s="232"/>
      <c r="AM433" s="232" t="str">
        <f t="shared" si="97"/>
        <v xml:space="preserve"> </v>
      </c>
      <c r="AN433" s="232" t="str">
        <f t="shared" si="98"/>
        <v xml:space="preserve"> </v>
      </c>
    </row>
    <row r="434" spans="28:40" x14ac:dyDescent="0.25">
      <c r="AB434" s="230" t="e">
        <f>T434-HLOOKUP(V434,Minimas!$C$3:$CD$12,2,FALSE)</f>
        <v>#N/A</v>
      </c>
      <c r="AC434" s="230" t="e">
        <f>T434-HLOOKUP(V434,Minimas!$C$3:$CD$12,3,FALSE)</f>
        <v>#N/A</v>
      </c>
      <c r="AD434" s="230" t="e">
        <f>T434-HLOOKUP(V434,Minimas!$C$3:$CD$12,4,FALSE)</f>
        <v>#N/A</v>
      </c>
      <c r="AE434" s="230" t="e">
        <f>T434-HLOOKUP(V434,Minimas!$C$3:$CD$12,5,FALSE)</f>
        <v>#N/A</v>
      </c>
      <c r="AF434" s="230" t="e">
        <f>T434-HLOOKUP(V434,Minimas!$C$3:$CD$12,6,FALSE)</f>
        <v>#N/A</v>
      </c>
      <c r="AG434" s="230" t="e">
        <f>T434-HLOOKUP(V434,Minimas!$C$3:$CD$12,7,FALSE)</f>
        <v>#N/A</v>
      </c>
      <c r="AH434" s="230" t="e">
        <f>T434-HLOOKUP(V434,Minimas!$C$3:$CD$12,8,FALSE)</f>
        <v>#N/A</v>
      </c>
      <c r="AI434" s="230" t="e">
        <f>T434-HLOOKUP(V434,Minimas!$C$3:$CD$12,9,FALSE)</f>
        <v>#N/A</v>
      </c>
      <c r="AJ434" s="230" t="e">
        <f>T434-HLOOKUP(V434,Minimas!$C$3:$CD$12,10,FALSE)</f>
        <v>#N/A</v>
      </c>
      <c r="AK434" s="231" t="str">
        <f t="shared" si="96"/>
        <v xml:space="preserve"> </v>
      </c>
      <c r="AL434" s="232"/>
      <c r="AM434" s="232" t="str">
        <f t="shared" si="97"/>
        <v xml:space="preserve"> </v>
      </c>
      <c r="AN434" s="232" t="str">
        <f t="shared" si="98"/>
        <v xml:space="preserve"> </v>
      </c>
    </row>
    <row r="435" spans="28:40" x14ac:dyDescent="0.25">
      <c r="AB435" s="230" t="e">
        <f>T435-HLOOKUP(V435,Minimas!$C$3:$CD$12,2,FALSE)</f>
        <v>#N/A</v>
      </c>
      <c r="AC435" s="230" t="e">
        <f>T435-HLOOKUP(V435,Minimas!$C$3:$CD$12,3,FALSE)</f>
        <v>#N/A</v>
      </c>
      <c r="AD435" s="230" t="e">
        <f>T435-HLOOKUP(V435,Minimas!$C$3:$CD$12,4,FALSE)</f>
        <v>#N/A</v>
      </c>
      <c r="AE435" s="230" t="e">
        <f>T435-HLOOKUP(V435,Minimas!$C$3:$CD$12,5,FALSE)</f>
        <v>#N/A</v>
      </c>
      <c r="AF435" s="230" t="e">
        <f>T435-HLOOKUP(V435,Minimas!$C$3:$CD$12,6,FALSE)</f>
        <v>#N/A</v>
      </c>
      <c r="AG435" s="230" t="e">
        <f>T435-HLOOKUP(V435,Minimas!$C$3:$CD$12,7,FALSE)</f>
        <v>#N/A</v>
      </c>
      <c r="AH435" s="230" t="e">
        <f>T435-HLOOKUP(V435,Minimas!$C$3:$CD$12,8,FALSE)</f>
        <v>#N/A</v>
      </c>
      <c r="AI435" s="230" t="e">
        <f>T435-HLOOKUP(V435,Minimas!$C$3:$CD$12,9,FALSE)</f>
        <v>#N/A</v>
      </c>
      <c r="AJ435" s="230" t="e">
        <f>T435-HLOOKUP(V435,Minimas!$C$3:$CD$12,10,FALSE)</f>
        <v>#N/A</v>
      </c>
      <c r="AK435" s="231" t="str">
        <f t="shared" si="96"/>
        <v xml:space="preserve"> </v>
      </c>
      <c r="AL435" s="232"/>
      <c r="AM435" s="232" t="str">
        <f t="shared" si="97"/>
        <v xml:space="preserve"> </v>
      </c>
      <c r="AN435" s="232" t="str">
        <f t="shared" si="98"/>
        <v xml:space="preserve"> </v>
      </c>
    </row>
    <row r="436" spans="28:40" x14ac:dyDescent="0.25">
      <c r="AB436" s="230" t="e">
        <f>T436-HLOOKUP(V436,Minimas!$C$3:$CD$12,2,FALSE)</f>
        <v>#N/A</v>
      </c>
      <c r="AC436" s="230" t="e">
        <f>T436-HLOOKUP(V436,Minimas!$C$3:$CD$12,3,FALSE)</f>
        <v>#N/A</v>
      </c>
      <c r="AD436" s="230" t="e">
        <f>T436-HLOOKUP(V436,Minimas!$C$3:$CD$12,4,FALSE)</f>
        <v>#N/A</v>
      </c>
      <c r="AE436" s="230" t="e">
        <f>T436-HLOOKUP(V436,Minimas!$C$3:$CD$12,5,FALSE)</f>
        <v>#N/A</v>
      </c>
      <c r="AF436" s="230" t="e">
        <f>T436-HLOOKUP(V436,Minimas!$C$3:$CD$12,6,FALSE)</f>
        <v>#N/A</v>
      </c>
      <c r="AG436" s="230" t="e">
        <f>T436-HLOOKUP(V436,Minimas!$C$3:$CD$12,7,FALSE)</f>
        <v>#N/A</v>
      </c>
      <c r="AH436" s="230" t="e">
        <f>T436-HLOOKUP(V436,Minimas!$C$3:$CD$12,8,FALSE)</f>
        <v>#N/A</v>
      </c>
      <c r="AI436" s="230" t="e">
        <f>T436-HLOOKUP(V436,Minimas!$C$3:$CD$12,9,FALSE)</f>
        <v>#N/A</v>
      </c>
      <c r="AJ436" s="230" t="e">
        <f>T436-HLOOKUP(V436,Minimas!$C$3:$CD$12,10,FALSE)</f>
        <v>#N/A</v>
      </c>
      <c r="AK436" s="231" t="str">
        <f t="shared" si="96"/>
        <v xml:space="preserve"> </v>
      </c>
      <c r="AL436" s="232"/>
      <c r="AM436" s="232" t="str">
        <f t="shared" si="97"/>
        <v xml:space="preserve"> </v>
      </c>
      <c r="AN436" s="232" t="str">
        <f t="shared" si="98"/>
        <v xml:space="preserve"> </v>
      </c>
    </row>
    <row r="437" spans="28:40" x14ac:dyDescent="0.25">
      <c r="AB437" s="230" t="e">
        <f>T437-HLOOKUP(V437,Minimas!$C$3:$CD$12,2,FALSE)</f>
        <v>#N/A</v>
      </c>
      <c r="AC437" s="230" t="e">
        <f>T437-HLOOKUP(V437,Minimas!$C$3:$CD$12,3,FALSE)</f>
        <v>#N/A</v>
      </c>
      <c r="AD437" s="230" t="e">
        <f>T437-HLOOKUP(V437,Minimas!$C$3:$CD$12,4,FALSE)</f>
        <v>#N/A</v>
      </c>
      <c r="AE437" s="230" t="e">
        <f>T437-HLOOKUP(V437,Minimas!$C$3:$CD$12,5,FALSE)</f>
        <v>#N/A</v>
      </c>
      <c r="AF437" s="230" t="e">
        <f>T437-HLOOKUP(V437,Minimas!$C$3:$CD$12,6,FALSE)</f>
        <v>#N/A</v>
      </c>
      <c r="AG437" s="230" t="e">
        <f>T437-HLOOKUP(V437,Minimas!$C$3:$CD$12,7,FALSE)</f>
        <v>#N/A</v>
      </c>
      <c r="AH437" s="230" t="e">
        <f>T437-HLOOKUP(V437,Minimas!$C$3:$CD$12,8,FALSE)</f>
        <v>#N/A</v>
      </c>
      <c r="AI437" s="230" t="e">
        <f>T437-HLOOKUP(V437,Minimas!$C$3:$CD$12,9,FALSE)</f>
        <v>#N/A</v>
      </c>
      <c r="AJ437" s="230" t="e">
        <f>T437-HLOOKUP(V437,Minimas!$C$3:$CD$12,10,FALSE)</f>
        <v>#N/A</v>
      </c>
      <c r="AK437" s="231" t="str">
        <f t="shared" si="96"/>
        <v xml:space="preserve"> </v>
      </c>
      <c r="AL437" s="232"/>
      <c r="AM437" s="232" t="str">
        <f t="shared" si="97"/>
        <v xml:space="preserve"> </v>
      </c>
      <c r="AN437" s="232" t="str">
        <f t="shared" si="98"/>
        <v xml:space="preserve"> </v>
      </c>
    </row>
    <row r="438" spans="28:40" x14ac:dyDescent="0.25">
      <c r="AB438" s="230" t="e">
        <f>T438-HLOOKUP(V438,Minimas!$C$3:$CD$12,2,FALSE)</f>
        <v>#N/A</v>
      </c>
      <c r="AC438" s="230" t="e">
        <f>T438-HLOOKUP(V438,Minimas!$C$3:$CD$12,3,FALSE)</f>
        <v>#N/A</v>
      </c>
      <c r="AD438" s="230" t="e">
        <f>T438-HLOOKUP(V438,Minimas!$C$3:$CD$12,4,FALSE)</f>
        <v>#N/A</v>
      </c>
      <c r="AE438" s="230" t="e">
        <f>T438-HLOOKUP(V438,Minimas!$C$3:$CD$12,5,FALSE)</f>
        <v>#N/A</v>
      </c>
      <c r="AF438" s="230" t="e">
        <f>T438-HLOOKUP(V438,Minimas!$C$3:$CD$12,6,FALSE)</f>
        <v>#N/A</v>
      </c>
      <c r="AG438" s="230" t="e">
        <f>T438-HLOOKUP(V438,Minimas!$C$3:$CD$12,7,FALSE)</f>
        <v>#N/A</v>
      </c>
      <c r="AH438" s="230" t="e">
        <f>T438-HLOOKUP(V438,Minimas!$C$3:$CD$12,8,FALSE)</f>
        <v>#N/A</v>
      </c>
      <c r="AI438" s="230" t="e">
        <f>T438-HLOOKUP(V438,Minimas!$C$3:$CD$12,9,FALSE)</f>
        <v>#N/A</v>
      </c>
      <c r="AJ438" s="230" t="e">
        <f>T438-HLOOKUP(V438,Minimas!$C$3:$CD$12,10,FALSE)</f>
        <v>#N/A</v>
      </c>
      <c r="AK438" s="231" t="str">
        <f t="shared" si="96"/>
        <v xml:space="preserve"> </v>
      </c>
      <c r="AL438" s="232"/>
      <c r="AM438" s="232" t="str">
        <f t="shared" si="97"/>
        <v xml:space="preserve"> </v>
      </c>
      <c r="AN438" s="232" t="str">
        <f t="shared" si="98"/>
        <v xml:space="preserve"> </v>
      </c>
    </row>
    <row r="439" spans="28:40" x14ac:dyDescent="0.25">
      <c r="AB439" s="230" t="e">
        <f>T439-HLOOKUP(V439,Minimas!$C$3:$CD$12,2,FALSE)</f>
        <v>#N/A</v>
      </c>
      <c r="AC439" s="230" t="e">
        <f>T439-HLOOKUP(V439,Minimas!$C$3:$CD$12,3,FALSE)</f>
        <v>#N/A</v>
      </c>
      <c r="AD439" s="230" t="e">
        <f>T439-HLOOKUP(V439,Minimas!$C$3:$CD$12,4,FALSE)</f>
        <v>#N/A</v>
      </c>
      <c r="AE439" s="230" t="e">
        <f>T439-HLOOKUP(V439,Minimas!$C$3:$CD$12,5,FALSE)</f>
        <v>#N/A</v>
      </c>
      <c r="AF439" s="230" t="e">
        <f>T439-HLOOKUP(V439,Minimas!$C$3:$CD$12,6,FALSE)</f>
        <v>#N/A</v>
      </c>
      <c r="AG439" s="230" t="e">
        <f>T439-HLOOKUP(V439,Minimas!$C$3:$CD$12,7,FALSE)</f>
        <v>#N/A</v>
      </c>
      <c r="AH439" s="230" t="e">
        <f>T439-HLOOKUP(V439,Minimas!$C$3:$CD$12,8,FALSE)</f>
        <v>#N/A</v>
      </c>
      <c r="AI439" s="230" t="e">
        <f>T439-HLOOKUP(V439,Minimas!$C$3:$CD$12,9,FALSE)</f>
        <v>#N/A</v>
      </c>
      <c r="AJ439" s="230" t="e">
        <f>T439-HLOOKUP(V439,Minimas!$C$3:$CD$12,10,FALSE)</f>
        <v>#N/A</v>
      </c>
      <c r="AK439" s="231" t="str">
        <f t="shared" si="96"/>
        <v xml:space="preserve"> </v>
      </c>
      <c r="AL439" s="232"/>
      <c r="AM439" s="232" t="str">
        <f t="shared" si="97"/>
        <v xml:space="preserve"> </v>
      </c>
      <c r="AN439" s="232" t="str">
        <f t="shared" si="98"/>
        <v xml:space="preserve"> </v>
      </c>
    </row>
    <row r="440" spans="28:40" x14ac:dyDescent="0.25">
      <c r="AB440" s="230" t="e">
        <f>T440-HLOOKUP(V440,Minimas!$C$3:$CD$12,2,FALSE)</f>
        <v>#N/A</v>
      </c>
      <c r="AC440" s="230" t="e">
        <f>T440-HLOOKUP(V440,Minimas!$C$3:$CD$12,3,FALSE)</f>
        <v>#N/A</v>
      </c>
      <c r="AD440" s="230" t="e">
        <f>T440-HLOOKUP(V440,Minimas!$C$3:$CD$12,4,FALSE)</f>
        <v>#N/A</v>
      </c>
      <c r="AE440" s="230" t="e">
        <f>T440-HLOOKUP(V440,Minimas!$C$3:$CD$12,5,FALSE)</f>
        <v>#N/A</v>
      </c>
      <c r="AF440" s="230" t="e">
        <f>T440-HLOOKUP(V440,Minimas!$C$3:$CD$12,6,FALSE)</f>
        <v>#N/A</v>
      </c>
      <c r="AG440" s="230" t="e">
        <f>T440-HLOOKUP(V440,Minimas!$C$3:$CD$12,7,FALSE)</f>
        <v>#N/A</v>
      </c>
      <c r="AH440" s="230" t="e">
        <f>T440-HLOOKUP(V440,Minimas!$C$3:$CD$12,8,FALSE)</f>
        <v>#N/A</v>
      </c>
      <c r="AI440" s="230" t="e">
        <f>T440-HLOOKUP(V440,Minimas!$C$3:$CD$12,9,FALSE)</f>
        <v>#N/A</v>
      </c>
      <c r="AJ440" s="230" t="e">
        <f>T440-HLOOKUP(V440,Minimas!$C$3:$CD$12,10,FALSE)</f>
        <v>#N/A</v>
      </c>
      <c r="AK440" s="231" t="str">
        <f t="shared" si="96"/>
        <v xml:space="preserve"> </v>
      </c>
      <c r="AL440" s="232"/>
      <c r="AM440" s="232" t="str">
        <f t="shared" si="97"/>
        <v xml:space="preserve"> </v>
      </c>
      <c r="AN440" s="232" t="str">
        <f t="shared" si="98"/>
        <v xml:space="preserve"> </v>
      </c>
    </row>
    <row r="441" spans="28:40" x14ac:dyDescent="0.25">
      <c r="AB441" s="230" t="e">
        <f>T441-HLOOKUP(V441,Minimas!$C$3:$CD$12,2,FALSE)</f>
        <v>#N/A</v>
      </c>
      <c r="AC441" s="230" t="e">
        <f>T441-HLOOKUP(V441,Minimas!$C$3:$CD$12,3,FALSE)</f>
        <v>#N/A</v>
      </c>
      <c r="AD441" s="230" t="e">
        <f>T441-HLOOKUP(V441,Minimas!$C$3:$CD$12,4,FALSE)</f>
        <v>#N/A</v>
      </c>
      <c r="AE441" s="230" t="e">
        <f>T441-HLOOKUP(V441,Minimas!$C$3:$CD$12,5,FALSE)</f>
        <v>#N/A</v>
      </c>
      <c r="AF441" s="230" t="e">
        <f>T441-HLOOKUP(V441,Minimas!$C$3:$CD$12,6,FALSE)</f>
        <v>#N/A</v>
      </c>
      <c r="AG441" s="230" t="e">
        <f>T441-HLOOKUP(V441,Minimas!$C$3:$CD$12,7,FALSE)</f>
        <v>#N/A</v>
      </c>
      <c r="AH441" s="230" t="e">
        <f>T441-HLOOKUP(V441,Minimas!$C$3:$CD$12,8,FALSE)</f>
        <v>#N/A</v>
      </c>
      <c r="AI441" s="230" t="e">
        <f>T441-HLOOKUP(V441,Minimas!$C$3:$CD$12,9,FALSE)</f>
        <v>#N/A</v>
      </c>
      <c r="AJ441" s="230" t="e">
        <f>T441-HLOOKUP(V441,Minimas!$C$3:$CD$12,10,FALSE)</f>
        <v>#N/A</v>
      </c>
      <c r="AK441" s="231" t="str">
        <f t="shared" si="96"/>
        <v xml:space="preserve"> </v>
      </c>
      <c r="AL441" s="232"/>
      <c r="AM441" s="232" t="str">
        <f t="shared" si="97"/>
        <v xml:space="preserve"> </v>
      </c>
      <c r="AN441" s="232" t="str">
        <f t="shared" si="98"/>
        <v xml:space="preserve"> </v>
      </c>
    </row>
    <row r="442" spans="28:40" x14ac:dyDescent="0.25">
      <c r="AB442" s="230" t="e">
        <f>T442-HLOOKUP(V442,Minimas!$C$3:$CD$12,2,FALSE)</f>
        <v>#N/A</v>
      </c>
      <c r="AC442" s="230" t="e">
        <f>T442-HLOOKUP(V442,Minimas!$C$3:$CD$12,3,FALSE)</f>
        <v>#N/A</v>
      </c>
      <c r="AD442" s="230" t="e">
        <f>T442-HLOOKUP(V442,Minimas!$C$3:$CD$12,4,FALSE)</f>
        <v>#N/A</v>
      </c>
      <c r="AE442" s="230" t="e">
        <f>T442-HLOOKUP(V442,Minimas!$C$3:$CD$12,5,FALSE)</f>
        <v>#N/A</v>
      </c>
      <c r="AF442" s="230" t="e">
        <f>T442-HLOOKUP(V442,Minimas!$C$3:$CD$12,6,FALSE)</f>
        <v>#N/A</v>
      </c>
      <c r="AG442" s="230" t="e">
        <f>T442-HLOOKUP(V442,Minimas!$C$3:$CD$12,7,FALSE)</f>
        <v>#N/A</v>
      </c>
      <c r="AH442" s="230" t="e">
        <f>T442-HLOOKUP(V442,Minimas!$C$3:$CD$12,8,FALSE)</f>
        <v>#N/A</v>
      </c>
      <c r="AI442" s="230" t="e">
        <f>T442-HLOOKUP(V442,Minimas!$C$3:$CD$12,9,FALSE)</f>
        <v>#N/A</v>
      </c>
      <c r="AJ442" s="230" t="e">
        <f>T442-HLOOKUP(V442,Minimas!$C$3:$CD$12,10,FALSE)</f>
        <v>#N/A</v>
      </c>
      <c r="AK442" s="231" t="str">
        <f t="shared" si="96"/>
        <v xml:space="preserve"> </v>
      </c>
      <c r="AL442" s="232"/>
      <c r="AM442" s="232" t="str">
        <f t="shared" si="97"/>
        <v xml:space="preserve"> </v>
      </c>
      <c r="AN442" s="232" t="str">
        <f t="shared" si="98"/>
        <v xml:space="preserve"> </v>
      </c>
    </row>
    <row r="443" spans="28:40" x14ac:dyDescent="0.25">
      <c r="AB443" s="230" t="e">
        <f>T443-HLOOKUP(V443,Minimas!$C$3:$CD$12,2,FALSE)</f>
        <v>#N/A</v>
      </c>
      <c r="AC443" s="230" t="e">
        <f>T443-HLOOKUP(V443,Minimas!$C$3:$CD$12,3,FALSE)</f>
        <v>#N/A</v>
      </c>
      <c r="AD443" s="230" t="e">
        <f>T443-HLOOKUP(V443,Minimas!$C$3:$CD$12,4,FALSE)</f>
        <v>#N/A</v>
      </c>
      <c r="AE443" s="230" t="e">
        <f>T443-HLOOKUP(V443,Minimas!$C$3:$CD$12,5,FALSE)</f>
        <v>#N/A</v>
      </c>
      <c r="AF443" s="230" t="e">
        <f>T443-HLOOKUP(V443,Minimas!$C$3:$CD$12,6,FALSE)</f>
        <v>#N/A</v>
      </c>
      <c r="AG443" s="230" t="e">
        <f>T443-HLOOKUP(V443,Minimas!$C$3:$CD$12,7,FALSE)</f>
        <v>#N/A</v>
      </c>
      <c r="AH443" s="230" t="e">
        <f>T443-HLOOKUP(V443,Minimas!$C$3:$CD$12,8,FALSE)</f>
        <v>#N/A</v>
      </c>
      <c r="AI443" s="230" t="e">
        <f>T443-HLOOKUP(V443,Minimas!$C$3:$CD$12,9,FALSE)</f>
        <v>#N/A</v>
      </c>
      <c r="AJ443" s="230" t="e">
        <f>T443-HLOOKUP(V443,Minimas!$C$3:$CD$12,10,FALSE)</f>
        <v>#N/A</v>
      </c>
      <c r="AK443" s="231" t="str">
        <f t="shared" si="96"/>
        <v xml:space="preserve"> </v>
      </c>
      <c r="AL443" s="232"/>
      <c r="AM443" s="232" t="str">
        <f t="shared" si="97"/>
        <v xml:space="preserve"> </v>
      </c>
      <c r="AN443" s="232" t="str">
        <f t="shared" si="98"/>
        <v xml:space="preserve"> </v>
      </c>
    </row>
    <row r="444" spans="28:40" x14ac:dyDescent="0.25">
      <c r="AB444" s="230" t="e">
        <f>T444-HLOOKUP(V444,Minimas!$C$3:$CD$12,2,FALSE)</f>
        <v>#N/A</v>
      </c>
      <c r="AC444" s="230" t="e">
        <f>T444-HLOOKUP(V444,Minimas!$C$3:$CD$12,3,FALSE)</f>
        <v>#N/A</v>
      </c>
      <c r="AD444" s="230" t="e">
        <f>T444-HLOOKUP(V444,Minimas!$C$3:$CD$12,4,FALSE)</f>
        <v>#N/A</v>
      </c>
      <c r="AE444" s="230" t="e">
        <f>T444-HLOOKUP(V444,Minimas!$C$3:$CD$12,5,FALSE)</f>
        <v>#N/A</v>
      </c>
      <c r="AF444" s="230" t="e">
        <f>T444-HLOOKUP(V444,Minimas!$C$3:$CD$12,6,FALSE)</f>
        <v>#N/A</v>
      </c>
      <c r="AG444" s="230" t="e">
        <f>T444-HLOOKUP(V444,Minimas!$C$3:$CD$12,7,FALSE)</f>
        <v>#N/A</v>
      </c>
      <c r="AH444" s="230" t="e">
        <f>T444-HLOOKUP(V444,Minimas!$C$3:$CD$12,8,FALSE)</f>
        <v>#N/A</v>
      </c>
      <c r="AI444" s="230" t="e">
        <f>T444-HLOOKUP(V444,Minimas!$C$3:$CD$12,9,FALSE)</f>
        <v>#N/A</v>
      </c>
      <c r="AJ444" s="230" t="e">
        <f>T444-HLOOKUP(V444,Minimas!$C$3:$CD$12,10,FALSE)</f>
        <v>#N/A</v>
      </c>
      <c r="AK444" s="231" t="str">
        <f t="shared" si="96"/>
        <v xml:space="preserve"> </v>
      </c>
      <c r="AL444" s="232"/>
      <c r="AM444" s="232" t="str">
        <f t="shared" si="97"/>
        <v xml:space="preserve"> </v>
      </c>
      <c r="AN444" s="232" t="str">
        <f t="shared" si="98"/>
        <v xml:space="preserve"> </v>
      </c>
    </row>
    <row r="445" spans="28:40" x14ac:dyDescent="0.25">
      <c r="AB445" s="230" t="e">
        <f>T445-HLOOKUP(V445,Minimas!$C$3:$CD$12,2,FALSE)</f>
        <v>#N/A</v>
      </c>
      <c r="AC445" s="230" t="e">
        <f>T445-HLOOKUP(V445,Minimas!$C$3:$CD$12,3,FALSE)</f>
        <v>#N/A</v>
      </c>
      <c r="AD445" s="230" t="e">
        <f>T445-HLOOKUP(V445,Minimas!$C$3:$CD$12,4,FALSE)</f>
        <v>#N/A</v>
      </c>
      <c r="AE445" s="230" t="e">
        <f>T445-HLOOKUP(V445,Minimas!$C$3:$CD$12,5,FALSE)</f>
        <v>#N/A</v>
      </c>
      <c r="AF445" s="230" t="e">
        <f>T445-HLOOKUP(V445,Minimas!$C$3:$CD$12,6,FALSE)</f>
        <v>#N/A</v>
      </c>
      <c r="AG445" s="230" t="e">
        <f>T445-HLOOKUP(V445,Minimas!$C$3:$CD$12,7,FALSE)</f>
        <v>#N/A</v>
      </c>
      <c r="AH445" s="230" t="e">
        <f>T445-HLOOKUP(V445,Minimas!$C$3:$CD$12,8,FALSE)</f>
        <v>#N/A</v>
      </c>
      <c r="AI445" s="230" t="e">
        <f>T445-HLOOKUP(V445,Minimas!$C$3:$CD$12,9,FALSE)</f>
        <v>#N/A</v>
      </c>
      <c r="AJ445" s="230" t="e">
        <f>T445-HLOOKUP(V445,Minimas!$C$3:$CD$12,10,FALSE)</f>
        <v>#N/A</v>
      </c>
      <c r="AK445" s="231" t="str">
        <f t="shared" si="96"/>
        <v xml:space="preserve"> </v>
      </c>
      <c r="AL445" s="232"/>
      <c r="AM445" s="232" t="str">
        <f t="shared" si="97"/>
        <v xml:space="preserve"> </v>
      </c>
      <c r="AN445" s="232" t="str">
        <f t="shared" si="98"/>
        <v xml:space="preserve"> </v>
      </c>
    </row>
    <row r="446" spans="28:40" x14ac:dyDescent="0.25">
      <c r="AB446" s="230" t="e">
        <f>T446-HLOOKUP(V446,Minimas!$C$3:$CD$12,2,FALSE)</f>
        <v>#N/A</v>
      </c>
      <c r="AC446" s="230" t="e">
        <f>T446-HLOOKUP(V446,Minimas!$C$3:$CD$12,3,FALSE)</f>
        <v>#N/A</v>
      </c>
      <c r="AD446" s="230" t="e">
        <f>T446-HLOOKUP(V446,Minimas!$C$3:$CD$12,4,FALSE)</f>
        <v>#N/A</v>
      </c>
      <c r="AE446" s="230" t="e">
        <f>T446-HLOOKUP(V446,Minimas!$C$3:$CD$12,5,FALSE)</f>
        <v>#N/A</v>
      </c>
      <c r="AF446" s="230" t="e">
        <f>T446-HLOOKUP(V446,Minimas!$C$3:$CD$12,6,FALSE)</f>
        <v>#N/A</v>
      </c>
      <c r="AG446" s="230" t="e">
        <f>T446-HLOOKUP(V446,Minimas!$C$3:$CD$12,7,FALSE)</f>
        <v>#N/A</v>
      </c>
      <c r="AH446" s="230" t="e">
        <f>T446-HLOOKUP(V446,Minimas!$C$3:$CD$12,8,FALSE)</f>
        <v>#N/A</v>
      </c>
      <c r="AI446" s="230" t="e">
        <f>T446-HLOOKUP(V446,Minimas!$C$3:$CD$12,9,FALSE)</f>
        <v>#N/A</v>
      </c>
      <c r="AJ446" s="230" t="e">
        <f>T446-HLOOKUP(V446,Minimas!$C$3:$CD$12,10,FALSE)</f>
        <v>#N/A</v>
      </c>
      <c r="AK446" s="231" t="str">
        <f t="shared" si="96"/>
        <v xml:space="preserve"> </v>
      </c>
      <c r="AL446" s="232"/>
      <c r="AM446" s="232" t="str">
        <f t="shared" si="97"/>
        <v xml:space="preserve"> </v>
      </c>
      <c r="AN446" s="232" t="str">
        <f t="shared" si="98"/>
        <v xml:space="preserve"> </v>
      </c>
    </row>
    <row r="447" spans="28:40" x14ac:dyDescent="0.25">
      <c r="AB447" s="230" t="e">
        <f>T447-HLOOKUP(V447,Minimas!$C$3:$CD$12,2,FALSE)</f>
        <v>#N/A</v>
      </c>
      <c r="AC447" s="230" t="e">
        <f>T447-HLOOKUP(V447,Minimas!$C$3:$CD$12,3,FALSE)</f>
        <v>#N/A</v>
      </c>
      <c r="AD447" s="230" t="e">
        <f>T447-HLOOKUP(V447,Minimas!$C$3:$CD$12,4,FALSE)</f>
        <v>#N/A</v>
      </c>
      <c r="AE447" s="230" t="e">
        <f>T447-HLOOKUP(V447,Minimas!$C$3:$CD$12,5,FALSE)</f>
        <v>#N/A</v>
      </c>
      <c r="AF447" s="230" t="e">
        <f>T447-HLOOKUP(V447,Minimas!$C$3:$CD$12,6,FALSE)</f>
        <v>#N/A</v>
      </c>
      <c r="AG447" s="230" t="e">
        <f>T447-HLOOKUP(V447,Minimas!$C$3:$CD$12,7,FALSE)</f>
        <v>#N/A</v>
      </c>
      <c r="AH447" s="230" t="e">
        <f>T447-HLOOKUP(V447,Minimas!$C$3:$CD$12,8,FALSE)</f>
        <v>#N/A</v>
      </c>
      <c r="AI447" s="230" t="e">
        <f>T447-HLOOKUP(V447,Minimas!$C$3:$CD$12,9,FALSE)</f>
        <v>#N/A</v>
      </c>
      <c r="AJ447" s="230" t="e">
        <f>T447-HLOOKUP(V447,Minimas!$C$3:$CD$12,10,FALSE)</f>
        <v>#N/A</v>
      </c>
      <c r="AK447" s="231" t="str">
        <f t="shared" si="96"/>
        <v xml:space="preserve"> </v>
      </c>
      <c r="AL447" s="232"/>
      <c r="AM447" s="232" t="str">
        <f t="shared" si="97"/>
        <v xml:space="preserve"> </v>
      </c>
      <c r="AN447" s="232" t="str">
        <f t="shared" si="98"/>
        <v xml:space="preserve"> </v>
      </c>
    </row>
    <row r="448" spans="28:40" x14ac:dyDescent="0.25">
      <c r="AB448" s="230" t="e">
        <f>T448-HLOOKUP(V448,Minimas!$C$3:$CD$12,2,FALSE)</f>
        <v>#N/A</v>
      </c>
      <c r="AC448" s="230" t="e">
        <f>T448-HLOOKUP(V448,Minimas!$C$3:$CD$12,3,FALSE)</f>
        <v>#N/A</v>
      </c>
      <c r="AD448" s="230" t="e">
        <f>T448-HLOOKUP(V448,Minimas!$C$3:$CD$12,4,FALSE)</f>
        <v>#N/A</v>
      </c>
      <c r="AE448" s="230" t="e">
        <f>T448-HLOOKUP(V448,Minimas!$C$3:$CD$12,5,FALSE)</f>
        <v>#N/A</v>
      </c>
      <c r="AF448" s="230" t="e">
        <f>T448-HLOOKUP(V448,Minimas!$C$3:$CD$12,6,FALSE)</f>
        <v>#N/A</v>
      </c>
      <c r="AG448" s="230" t="e">
        <f>T448-HLOOKUP(V448,Minimas!$C$3:$CD$12,7,FALSE)</f>
        <v>#N/A</v>
      </c>
      <c r="AH448" s="230" t="e">
        <f>T448-HLOOKUP(V448,Minimas!$C$3:$CD$12,8,FALSE)</f>
        <v>#N/A</v>
      </c>
      <c r="AI448" s="230" t="e">
        <f>T448-HLOOKUP(V448,Minimas!$C$3:$CD$12,9,FALSE)</f>
        <v>#N/A</v>
      </c>
      <c r="AJ448" s="230" t="e">
        <f>T448-HLOOKUP(V448,Minimas!$C$3:$CD$12,10,FALSE)</f>
        <v>#N/A</v>
      </c>
      <c r="AK448" s="231" t="str">
        <f t="shared" si="96"/>
        <v xml:space="preserve"> </v>
      </c>
      <c r="AL448" s="232"/>
      <c r="AM448" s="232" t="str">
        <f t="shared" si="97"/>
        <v xml:space="preserve"> </v>
      </c>
      <c r="AN448" s="232" t="str">
        <f t="shared" si="98"/>
        <v xml:space="preserve"> </v>
      </c>
    </row>
    <row r="449" spans="28:40" x14ac:dyDescent="0.25">
      <c r="AB449" s="230" t="e">
        <f>T449-HLOOKUP(V449,Minimas!$C$3:$CD$12,2,FALSE)</f>
        <v>#N/A</v>
      </c>
      <c r="AC449" s="230" t="e">
        <f>T449-HLOOKUP(V449,Minimas!$C$3:$CD$12,3,FALSE)</f>
        <v>#N/A</v>
      </c>
      <c r="AD449" s="230" t="e">
        <f>T449-HLOOKUP(V449,Minimas!$C$3:$CD$12,4,FALSE)</f>
        <v>#N/A</v>
      </c>
      <c r="AE449" s="230" t="e">
        <f>T449-HLOOKUP(V449,Minimas!$C$3:$CD$12,5,FALSE)</f>
        <v>#N/A</v>
      </c>
      <c r="AF449" s="230" t="e">
        <f>T449-HLOOKUP(V449,Minimas!$C$3:$CD$12,6,FALSE)</f>
        <v>#N/A</v>
      </c>
      <c r="AG449" s="230" t="e">
        <f>T449-HLOOKUP(V449,Minimas!$C$3:$CD$12,7,FALSE)</f>
        <v>#N/A</v>
      </c>
      <c r="AH449" s="230" t="e">
        <f>T449-HLOOKUP(V449,Minimas!$C$3:$CD$12,8,FALSE)</f>
        <v>#N/A</v>
      </c>
      <c r="AI449" s="230" t="e">
        <f>T449-HLOOKUP(V449,Minimas!$C$3:$CD$12,9,FALSE)</f>
        <v>#N/A</v>
      </c>
      <c r="AJ449" s="230" t="e">
        <f>T449-HLOOKUP(V449,Minimas!$C$3:$CD$12,10,FALSE)</f>
        <v>#N/A</v>
      </c>
      <c r="AK449" s="231" t="str">
        <f t="shared" si="96"/>
        <v xml:space="preserve"> </v>
      </c>
      <c r="AL449" s="232"/>
      <c r="AM449" s="232" t="str">
        <f t="shared" si="97"/>
        <v xml:space="preserve"> </v>
      </c>
      <c r="AN449" s="232" t="str">
        <f t="shared" si="98"/>
        <v xml:space="preserve"> </v>
      </c>
    </row>
    <row r="450" spans="28:40" x14ac:dyDescent="0.25">
      <c r="AB450" s="230" t="e">
        <f>T450-HLOOKUP(V450,Minimas!$C$3:$CD$12,2,FALSE)</f>
        <v>#N/A</v>
      </c>
      <c r="AC450" s="230" t="e">
        <f>T450-HLOOKUP(V450,Minimas!$C$3:$CD$12,3,FALSE)</f>
        <v>#N/A</v>
      </c>
      <c r="AD450" s="230" t="e">
        <f>T450-HLOOKUP(V450,Minimas!$C$3:$CD$12,4,FALSE)</f>
        <v>#N/A</v>
      </c>
      <c r="AE450" s="230" t="e">
        <f>T450-HLOOKUP(V450,Minimas!$C$3:$CD$12,5,FALSE)</f>
        <v>#N/A</v>
      </c>
      <c r="AF450" s="230" t="e">
        <f>T450-HLOOKUP(V450,Minimas!$C$3:$CD$12,6,FALSE)</f>
        <v>#N/A</v>
      </c>
      <c r="AG450" s="230" t="e">
        <f>T450-HLOOKUP(V450,Minimas!$C$3:$CD$12,7,FALSE)</f>
        <v>#N/A</v>
      </c>
      <c r="AH450" s="230" t="e">
        <f>T450-HLOOKUP(V450,Minimas!$C$3:$CD$12,8,FALSE)</f>
        <v>#N/A</v>
      </c>
      <c r="AI450" s="230" t="e">
        <f>T450-HLOOKUP(V450,Minimas!$C$3:$CD$12,9,FALSE)</f>
        <v>#N/A</v>
      </c>
      <c r="AJ450" s="230" t="e">
        <f>T450-HLOOKUP(V450,Minimas!$C$3:$CD$12,10,FALSE)</f>
        <v>#N/A</v>
      </c>
      <c r="AK450" s="231" t="str">
        <f t="shared" si="96"/>
        <v xml:space="preserve"> </v>
      </c>
      <c r="AL450" s="232"/>
      <c r="AM450" s="232" t="str">
        <f t="shared" si="97"/>
        <v xml:space="preserve"> </v>
      </c>
      <c r="AN450" s="232" t="str">
        <f t="shared" si="98"/>
        <v xml:space="preserve"> </v>
      </c>
    </row>
    <row r="451" spans="28:40" x14ac:dyDescent="0.25">
      <c r="AB451" s="230" t="e">
        <f>T451-HLOOKUP(V451,Minimas!$C$3:$CD$12,2,FALSE)</f>
        <v>#N/A</v>
      </c>
      <c r="AC451" s="230" t="e">
        <f>T451-HLOOKUP(V451,Minimas!$C$3:$CD$12,3,FALSE)</f>
        <v>#N/A</v>
      </c>
      <c r="AD451" s="230" t="e">
        <f>T451-HLOOKUP(V451,Minimas!$C$3:$CD$12,4,FALSE)</f>
        <v>#N/A</v>
      </c>
      <c r="AE451" s="230" t="e">
        <f>T451-HLOOKUP(V451,Minimas!$C$3:$CD$12,5,FALSE)</f>
        <v>#N/A</v>
      </c>
      <c r="AF451" s="230" t="e">
        <f>T451-HLOOKUP(V451,Minimas!$C$3:$CD$12,6,FALSE)</f>
        <v>#N/A</v>
      </c>
      <c r="AG451" s="230" t="e">
        <f>T451-HLOOKUP(V451,Minimas!$C$3:$CD$12,7,FALSE)</f>
        <v>#N/A</v>
      </c>
      <c r="AH451" s="230" t="e">
        <f>T451-HLOOKUP(V451,Minimas!$C$3:$CD$12,8,FALSE)</f>
        <v>#N/A</v>
      </c>
      <c r="AI451" s="230" t="e">
        <f>T451-HLOOKUP(V451,Minimas!$C$3:$CD$12,9,FALSE)</f>
        <v>#N/A</v>
      </c>
      <c r="AJ451" s="230" t="e">
        <f>T451-HLOOKUP(V451,Minimas!$C$3:$CD$12,10,FALSE)</f>
        <v>#N/A</v>
      </c>
      <c r="AK451" s="231" t="str">
        <f t="shared" si="96"/>
        <v xml:space="preserve"> </v>
      </c>
      <c r="AL451" s="232"/>
      <c r="AM451" s="232" t="str">
        <f t="shared" si="97"/>
        <v xml:space="preserve"> </v>
      </c>
      <c r="AN451" s="232" t="str">
        <f t="shared" si="98"/>
        <v xml:space="preserve"> </v>
      </c>
    </row>
    <row r="452" spans="28:40" x14ac:dyDescent="0.25">
      <c r="AB452" s="230" t="e">
        <f>T452-HLOOKUP(V452,Minimas!$C$3:$CD$12,2,FALSE)</f>
        <v>#N/A</v>
      </c>
      <c r="AC452" s="230" t="e">
        <f>T452-HLOOKUP(V452,Minimas!$C$3:$CD$12,3,FALSE)</f>
        <v>#N/A</v>
      </c>
      <c r="AD452" s="230" t="e">
        <f>T452-HLOOKUP(V452,Minimas!$C$3:$CD$12,4,FALSE)</f>
        <v>#N/A</v>
      </c>
      <c r="AE452" s="230" t="e">
        <f>T452-HLOOKUP(V452,Minimas!$C$3:$CD$12,5,FALSE)</f>
        <v>#N/A</v>
      </c>
      <c r="AF452" s="230" t="e">
        <f>T452-HLOOKUP(V452,Minimas!$C$3:$CD$12,6,FALSE)</f>
        <v>#N/A</v>
      </c>
      <c r="AG452" s="230" t="e">
        <f>T452-HLOOKUP(V452,Minimas!$C$3:$CD$12,7,FALSE)</f>
        <v>#N/A</v>
      </c>
      <c r="AH452" s="230" t="e">
        <f>T452-HLOOKUP(V452,Minimas!$C$3:$CD$12,8,FALSE)</f>
        <v>#N/A</v>
      </c>
      <c r="AI452" s="230" t="e">
        <f>T452-HLOOKUP(V452,Minimas!$C$3:$CD$12,9,FALSE)</f>
        <v>#N/A</v>
      </c>
      <c r="AJ452" s="230" t="e">
        <f>T452-HLOOKUP(V452,Minimas!$C$3:$CD$12,10,FALSE)</f>
        <v>#N/A</v>
      </c>
      <c r="AK452" s="231" t="str">
        <f t="shared" ref="AK452:AK515" si="99">IF(E452=0," ",IF(AJ452&gt;=0,$AJ$5,IF(AI452&gt;=0,$AI$5,IF(AH452&gt;=0,$AH$5,IF(AG452&gt;=0,$AG$5,IF(AF452&gt;=0,$AF$5,IF(AE452&gt;=0,$AE$5,IF(AD452&gt;=0,$AD$5,IF(AC452&gt;=0,$AC$5,$AB$5)))))))))</f>
        <v xml:space="preserve"> </v>
      </c>
      <c r="AL452" s="232"/>
      <c r="AM452" s="232" t="str">
        <f t="shared" ref="AM452:AM515" si="100">IF(AK452="","",AK452)</f>
        <v xml:space="preserve"> </v>
      </c>
      <c r="AN452" s="232" t="str">
        <f t="shared" ref="AN452:AN515" si="101">IF(E452=0," ",IF(AJ452&gt;=0,AJ452,IF(AI452&gt;=0,AI452,IF(AH452&gt;=0,AH452,IF(AG452&gt;=0,AG452,IF(AF452&gt;=0,AF452,IF(AE452&gt;=0,AE452,IF(AD452&gt;=0,AD452,IF(AC452&gt;=0,AC452,AB452)))))))))</f>
        <v xml:space="preserve"> </v>
      </c>
    </row>
    <row r="453" spans="28:40" x14ac:dyDescent="0.25">
      <c r="AB453" s="230" t="e">
        <f>T453-HLOOKUP(V453,Minimas!$C$3:$CD$12,2,FALSE)</f>
        <v>#N/A</v>
      </c>
      <c r="AC453" s="230" t="e">
        <f>T453-HLOOKUP(V453,Minimas!$C$3:$CD$12,3,FALSE)</f>
        <v>#N/A</v>
      </c>
      <c r="AD453" s="230" t="e">
        <f>T453-HLOOKUP(V453,Minimas!$C$3:$CD$12,4,FALSE)</f>
        <v>#N/A</v>
      </c>
      <c r="AE453" s="230" t="e">
        <f>T453-HLOOKUP(V453,Minimas!$C$3:$CD$12,5,FALSE)</f>
        <v>#N/A</v>
      </c>
      <c r="AF453" s="230" t="e">
        <f>T453-HLOOKUP(V453,Minimas!$C$3:$CD$12,6,FALSE)</f>
        <v>#N/A</v>
      </c>
      <c r="AG453" s="230" t="e">
        <f>T453-HLOOKUP(V453,Minimas!$C$3:$CD$12,7,FALSE)</f>
        <v>#N/A</v>
      </c>
      <c r="AH453" s="230" t="e">
        <f>T453-HLOOKUP(V453,Minimas!$C$3:$CD$12,8,FALSE)</f>
        <v>#N/A</v>
      </c>
      <c r="AI453" s="230" t="e">
        <f>T453-HLOOKUP(V453,Minimas!$C$3:$CD$12,9,FALSE)</f>
        <v>#N/A</v>
      </c>
      <c r="AJ453" s="230" t="e">
        <f>T453-HLOOKUP(V453,Minimas!$C$3:$CD$12,10,FALSE)</f>
        <v>#N/A</v>
      </c>
      <c r="AK453" s="231" t="str">
        <f t="shared" si="99"/>
        <v xml:space="preserve"> </v>
      </c>
      <c r="AL453" s="232"/>
      <c r="AM453" s="232" t="str">
        <f t="shared" si="100"/>
        <v xml:space="preserve"> </v>
      </c>
      <c r="AN453" s="232" t="str">
        <f t="shared" si="101"/>
        <v xml:space="preserve"> </v>
      </c>
    </row>
    <row r="454" spans="28:40" x14ac:dyDescent="0.25">
      <c r="AB454" s="230" t="e">
        <f>T454-HLOOKUP(V454,Minimas!$C$3:$CD$12,2,FALSE)</f>
        <v>#N/A</v>
      </c>
      <c r="AC454" s="230" t="e">
        <f>T454-HLOOKUP(V454,Minimas!$C$3:$CD$12,3,FALSE)</f>
        <v>#N/A</v>
      </c>
      <c r="AD454" s="230" t="e">
        <f>T454-HLOOKUP(V454,Minimas!$C$3:$CD$12,4,FALSE)</f>
        <v>#N/A</v>
      </c>
      <c r="AE454" s="230" t="e">
        <f>T454-HLOOKUP(V454,Minimas!$C$3:$CD$12,5,FALSE)</f>
        <v>#N/A</v>
      </c>
      <c r="AF454" s="230" t="e">
        <f>T454-HLOOKUP(V454,Minimas!$C$3:$CD$12,6,FALSE)</f>
        <v>#N/A</v>
      </c>
      <c r="AG454" s="230" t="e">
        <f>T454-HLOOKUP(V454,Minimas!$C$3:$CD$12,7,FALSE)</f>
        <v>#N/A</v>
      </c>
      <c r="AH454" s="230" t="e">
        <f>T454-HLOOKUP(V454,Minimas!$C$3:$CD$12,8,FALSE)</f>
        <v>#N/A</v>
      </c>
      <c r="AI454" s="230" t="e">
        <f>T454-HLOOKUP(V454,Minimas!$C$3:$CD$12,9,FALSE)</f>
        <v>#N/A</v>
      </c>
      <c r="AJ454" s="230" t="e">
        <f>T454-HLOOKUP(V454,Minimas!$C$3:$CD$12,10,FALSE)</f>
        <v>#N/A</v>
      </c>
      <c r="AK454" s="231" t="str">
        <f t="shared" si="99"/>
        <v xml:space="preserve"> </v>
      </c>
      <c r="AL454" s="232"/>
      <c r="AM454" s="232" t="str">
        <f t="shared" si="100"/>
        <v xml:space="preserve"> </v>
      </c>
      <c r="AN454" s="232" t="str">
        <f t="shared" si="101"/>
        <v xml:space="preserve"> </v>
      </c>
    </row>
    <row r="455" spans="28:40" x14ac:dyDescent="0.25">
      <c r="AB455" s="230" t="e">
        <f>T455-HLOOKUP(V455,Minimas!$C$3:$CD$12,2,FALSE)</f>
        <v>#N/A</v>
      </c>
      <c r="AC455" s="230" t="e">
        <f>T455-HLOOKUP(V455,Minimas!$C$3:$CD$12,3,FALSE)</f>
        <v>#N/A</v>
      </c>
      <c r="AD455" s="230" t="e">
        <f>T455-HLOOKUP(V455,Minimas!$C$3:$CD$12,4,FALSE)</f>
        <v>#N/A</v>
      </c>
      <c r="AE455" s="230" t="e">
        <f>T455-HLOOKUP(V455,Minimas!$C$3:$CD$12,5,FALSE)</f>
        <v>#N/A</v>
      </c>
      <c r="AF455" s="230" t="e">
        <f>T455-HLOOKUP(V455,Minimas!$C$3:$CD$12,6,FALSE)</f>
        <v>#N/A</v>
      </c>
      <c r="AG455" s="230" t="e">
        <f>T455-HLOOKUP(V455,Minimas!$C$3:$CD$12,7,FALSE)</f>
        <v>#N/A</v>
      </c>
      <c r="AH455" s="230" t="e">
        <f>T455-HLOOKUP(V455,Minimas!$C$3:$CD$12,8,FALSE)</f>
        <v>#N/A</v>
      </c>
      <c r="AI455" s="230" t="e">
        <f>T455-HLOOKUP(V455,Minimas!$C$3:$CD$12,9,FALSE)</f>
        <v>#N/A</v>
      </c>
      <c r="AJ455" s="230" t="e">
        <f>T455-HLOOKUP(V455,Minimas!$C$3:$CD$12,10,FALSE)</f>
        <v>#N/A</v>
      </c>
      <c r="AK455" s="231" t="str">
        <f t="shared" si="99"/>
        <v xml:space="preserve"> </v>
      </c>
      <c r="AL455" s="232"/>
      <c r="AM455" s="232" t="str">
        <f t="shared" si="100"/>
        <v xml:space="preserve"> </v>
      </c>
      <c r="AN455" s="232" t="str">
        <f t="shared" si="101"/>
        <v xml:space="preserve"> </v>
      </c>
    </row>
    <row r="456" spans="28:40" x14ac:dyDescent="0.25">
      <c r="AB456" s="230" t="e">
        <f>T456-HLOOKUP(V456,Minimas!$C$3:$CD$12,2,FALSE)</f>
        <v>#N/A</v>
      </c>
      <c r="AC456" s="230" t="e">
        <f>T456-HLOOKUP(V456,Minimas!$C$3:$CD$12,3,FALSE)</f>
        <v>#N/A</v>
      </c>
      <c r="AD456" s="230" t="e">
        <f>T456-HLOOKUP(V456,Minimas!$C$3:$CD$12,4,FALSE)</f>
        <v>#N/A</v>
      </c>
      <c r="AE456" s="230" t="e">
        <f>T456-HLOOKUP(V456,Minimas!$C$3:$CD$12,5,FALSE)</f>
        <v>#N/A</v>
      </c>
      <c r="AF456" s="230" t="e">
        <f>T456-HLOOKUP(V456,Minimas!$C$3:$CD$12,6,FALSE)</f>
        <v>#N/A</v>
      </c>
      <c r="AG456" s="230" t="e">
        <f>T456-HLOOKUP(V456,Minimas!$C$3:$CD$12,7,FALSE)</f>
        <v>#N/A</v>
      </c>
      <c r="AH456" s="230" t="e">
        <f>T456-HLOOKUP(V456,Minimas!$C$3:$CD$12,8,FALSE)</f>
        <v>#N/A</v>
      </c>
      <c r="AI456" s="230" t="e">
        <f>T456-HLOOKUP(V456,Minimas!$C$3:$CD$12,9,FALSE)</f>
        <v>#N/A</v>
      </c>
      <c r="AJ456" s="230" t="e">
        <f>T456-HLOOKUP(V456,Minimas!$C$3:$CD$12,10,FALSE)</f>
        <v>#N/A</v>
      </c>
      <c r="AK456" s="231" t="str">
        <f t="shared" si="99"/>
        <v xml:space="preserve"> </v>
      </c>
      <c r="AL456" s="232"/>
      <c r="AM456" s="232" t="str">
        <f t="shared" si="100"/>
        <v xml:space="preserve"> </v>
      </c>
      <c r="AN456" s="232" t="str">
        <f t="shared" si="101"/>
        <v xml:space="preserve"> </v>
      </c>
    </row>
    <row r="457" spans="28:40" x14ac:dyDescent="0.25">
      <c r="AB457" s="230" t="e">
        <f>T457-HLOOKUP(V457,Minimas!$C$3:$CD$12,2,FALSE)</f>
        <v>#N/A</v>
      </c>
      <c r="AC457" s="230" t="e">
        <f>T457-HLOOKUP(V457,Minimas!$C$3:$CD$12,3,FALSE)</f>
        <v>#N/A</v>
      </c>
      <c r="AD457" s="230" t="e">
        <f>T457-HLOOKUP(V457,Minimas!$C$3:$CD$12,4,FALSE)</f>
        <v>#N/A</v>
      </c>
      <c r="AE457" s="230" t="e">
        <f>T457-HLOOKUP(V457,Minimas!$C$3:$CD$12,5,FALSE)</f>
        <v>#N/A</v>
      </c>
      <c r="AF457" s="230" t="e">
        <f>T457-HLOOKUP(V457,Minimas!$C$3:$CD$12,6,FALSE)</f>
        <v>#N/A</v>
      </c>
      <c r="AG457" s="230" t="e">
        <f>T457-HLOOKUP(V457,Minimas!$C$3:$CD$12,7,FALSE)</f>
        <v>#N/A</v>
      </c>
      <c r="AH457" s="230" t="e">
        <f>T457-HLOOKUP(V457,Minimas!$C$3:$CD$12,8,FALSE)</f>
        <v>#N/A</v>
      </c>
      <c r="AI457" s="230" t="e">
        <f>T457-HLOOKUP(V457,Minimas!$C$3:$CD$12,9,FALSE)</f>
        <v>#N/A</v>
      </c>
      <c r="AJ457" s="230" t="e">
        <f>T457-HLOOKUP(V457,Minimas!$C$3:$CD$12,10,FALSE)</f>
        <v>#N/A</v>
      </c>
      <c r="AK457" s="231" t="str">
        <f t="shared" si="99"/>
        <v xml:space="preserve"> </v>
      </c>
      <c r="AL457" s="232"/>
      <c r="AM457" s="232" t="str">
        <f t="shared" si="100"/>
        <v xml:space="preserve"> </v>
      </c>
      <c r="AN457" s="232" t="str">
        <f t="shared" si="101"/>
        <v xml:space="preserve"> </v>
      </c>
    </row>
    <row r="458" spans="28:40" x14ac:dyDescent="0.25">
      <c r="AB458" s="230" t="e">
        <f>T458-HLOOKUP(V458,Minimas!$C$3:$CD$12,2,FALSE)</f>
        <v>#N/A</v>
      </c>
      <c r="AC458" s="230" t="e">
        <f>T458-HLOOKUP(V458,Minimas!$C$3:$CD$12,3,FALSE)</f>
        <v>#N/A</v>
      </c>
      <c r="AD458" s="230" t="e">
        <f>T458-HLOOKUP(V458,Minimas!$C$3:$CD$12,4,FALSE)</f>
        <v>#N/A</v>
      </c>
      <c r="AE458" s="230" t="e">
        <f>T458-HLOOKUP(V458,Minimas!$C$3:$CD$12,5,FALSE)</f>
        <v>#N/A</v>
      </c>
      <c r="AF458" s="230" t="e">
        <f>T458-HLOOKUP(V458,Minimas!$C$3:$CD$12,6,FALSE)</f>
        <v>#N/A</v>
      </c>
      <c r="AG458" s="230" t="e">
        <f>T458-HLOOKUP(V458,Minimas!$C$3:$CD$12,7,FALSE)</f>
        <v>#N/A</v>
      </c>
      <c r="AH458" s="230" t="e">
        <f>T458-HLOOKUP(V458,Minimas!$C$3:$CD$12,8,FALSE)</f>
        <v>#N/A</v>
      </c>
      <c r="AI458" s="230" t="e">
        <f>T458-HLOOKUP(V458,Minimas!$C$3:$CD$12,9,FALSE)</f>
        <v>#N/A</v>
      </c>
      <c r="AJ458" s="230" t="e">
        <f>T458-HLOOKUP(V458,Minimas!$C$3:$CD$12,10,FALSE)</f>
        <v>#N/A</v>
      </c>
      <c r="AK458" s="231" t="str">
        <f t="shared" si="99"/>
        <v xml:space="preserve"> </v>
      </c>
      <c r="AL458" s="232"/>
      <c r="AM458" s="232" t="str">
        <f t="shared" si="100"/>
        <v xml:space="preserve"> </v>
      </c>
      <c r="AN458" s="232" t="str">
        <f t="shared" si="101"/>
        <v xml:space="preserve"> </v>
      </c>
    </row>
    <row r="459" spans="28:40" x14ac:dyDescent="0.25">
      <c r="AB459" s="230" t="e">
        <f>T459-HLOOKUP(V459,Minimas!$C$3:$CD$12,2,FALSE)</f>
        <v>#N/A</v>
      </c>
      <c r="AC459" s="230" t="e">
        <f>T459-HLOOKUP(V459,Minimas!$C$3:$CD$12,3,FALSE)</f>
        <v>#N/A</v>
      </c>
      <c r="AD459" s="230" t="e">
        <f>T459-HLOOKUP(V459,Minimas!$C$3:$CD$12,4,FALSE)</f>
        <v>#N/A</v>
      </c>
      <c r="AE459" s="230" t="e">
        <f>T459-HLOOKUP(V459,Minimas!$C$3:$CD$12,5,FALSE)</f>
        <v>#N/A</v>
      </c>
      <c r="AF459" s="230" t="e">
        <f>T459-HLOOKUP(V459,Minimas!$C$3:$CD$12,6,FALSE)</f>
        <v>#N/A</v>
      </c>
      <c r="AG459" s="230" t="e">
        <f>T459-HLOOKUP(V459,Minimas!$C$3:$CD$12,7,FALSE)</f>
        <v>#N/A</v>
      </c>
      <c r="AH459" s="230" t="e">
        <f>T459-HLOOKUP(V459,Minimas!$C$3:$CD$12,8,FALSE)</f>
        <v>#N/A</v>
      </c>
      <c r="AI459" s="230" t="e">
        <f>T459-HLOOKUP(V459,Minimas!$C$3:$CD$12,9,FALSE)</f>
        <v>#N/A</v>
      </c>
      <c r="AJ459" s="230" t="e">
        <f>T459-HLOOKUP(V459,Minimas!$C$3:$CD$12,10,FALSE)</f>
        <v>#N/A</v>
      </c>
      <c r="AK459" s="231" t="str">
        <f t="shared" si="99"/>
        <v xml:space="preserve"> </v>
      </c>
      <c r="AL459" s="232"/>
      <c r="AM459" s="232" t="str">
        <f t="shared" si="100"/>
        <v xml:space="preserve"> </v>
      </c>
      <c r="AN459" s="232" t="str">
        <f t="shared" si="101"/>
        <v xml:space="preserve"> </v>
      </c>
    </row>
    <row r="460" spans="28:40" x14ac:dyDescent="0.25">
      <c r="AB460" s="230" t="e">
        <f>T460-HLOOKUP(V460,Minimas!$C$3:$CD$12,2,FALSE)</f>
        <v>#N/A</v>
      </c>
      <c r="AC460" s="230" t="e">
        <f>T460-HLOOKUP(V460,Minimas!$C$3:$CD$12,3,FALSE)</f>
        <v>#N/A</v>
      </c>
      <c r="AD460" s="230" t="e">
        <f>T460-HLOOKUP(V460,Minimas!$C$3:$CD$12,4,FALSE)</f>
        <v>#N/A</v>
      </c>
      <c r="AE460" s="230" t="e">
        <f>T460-HLOOKUP(V460,Minimas!$C$3:$CD$12,5,FALSE)</f>
        <v>#N/A</v>
      </c>
      <c r="AF460" s="230" t="e">
        <f>T460-HLOOKUP(V460,Minimas!$C$3:$CD$12,6,FALSE)</f>
        <v>#N/A</v>
      </c>
      <c r="AG460" s="230" t="e">
        <f>T460-HLOOKUP(V460,Minimas!$C$3:$CD$12,7,FALSE)</f>
        <v>#N/A</v>
      </c>
      <c r="AH460" s="230" t="e">
        <f>T460-HLOOKUP(V460,Minimas!$C$3:$CD$12,8,FALSE)</f>
        <v>#N/A</v>
      </c>
      <c r="AI460" s="230" t="e">
        <f>T460-HLOOKUP(V460,Minimas!$C$3:$CD$12,9,FALSE)</f>
        <v>#N/A</v>
      </c>
      <c r="AJ460" s="230" t="e">
        <f>T460-HLOOKUP(V460,Minimas!$C$3:$CD$12,10,FALSE)</f>
        <v>#N/A</v>
      </c>
      <c r="AK460" s="231" t="str">
        <f t="shared" si="99"/>
        <v xml:space="preserve"> </v>
      </c>
      <c r="AL460" s="232"/>
      <c r="AM460" s="232" t="str">
        <f t="shared" si="100"/>
        <v xml:space="preserve"> </v>
      </c>
      <c r="AN460" s="232" t="str">
        <f t="shared" si="101"/>
        <v xml:space="preserve"> </v>
      </c>
    </row>
    <row r="461" spans="28:40" x14ac:dyDescent="0.25">
      <c r="AB461" s="230" t="e">
        <f>T461-HLOOKUP(V461,Minimas!$C$3:$CD$12,2,FALSE)</f>
        <v>#N/A</v>
      </c>
      <c r="AC461" s="230" t="e">
        <f>T461-HLOOKUP(V461,Minimas!$C$3:$CD$12,3,FALSE)</f>
        <v>#N/A</v>
      </c>
      <c r="AD461" s="230" t="e">
        <f>T461-HLOOKUP(V461,Minimas!$C$3:$CD$12,4,FALSE)</f>
        <v>#N/A</v>
      </c>
      <c r="AE461" s="230" t="e">
        <f>T461-HLOOKUP(V461,Minimas!$C$3:$CD$12,5,FALSE)</f>
        <v>#N/A</v>
      </c>
      <c r="AF461" s="230" t="e">
        <f>T461-HLOOKUP(V461,Minimas!$C$3:$CD$12,6,FALSE)</f>
        <v>#N/A</v>
      </c>
      <c r="AG461" s="230" t="e">
        <f>T461-HLOOKUP(V461,Minimas!$C$3:$CD$12,7,FALSE)</f>
        <v>#N/A</v>
      </c>
      <c r="AH461" s="230" t="e">
        <f>T461-HLOOKUP(V461,Minimas!$C$3:$CD$12,8,FALSE)</f>
        <v>#N/A</v>
      </c>
      <c r="AI461" s="230" t="e">
        <f>T461-HLOOKUP(V461,Minimas!$C$3:$CD$12,9,FALSE)</f>
        <v>#N/A</v>
      </c>
      <c r="AJ461" s="230" t="e">
        <f>T461-HLOOKUP(V461,Minimas!$C$3:$CD$12,10,FALSE)</f>
        <v>#N/A</v>
      </c>
      <c r="AK461" s="231" t="str">
        <f t="shared" si="99"/>
        <v xml:space="preserve"> </v>
      </c>
      <c r="AL461" s="232"/>
      <c r="AM461" s="232" t="str">
        <f t="shared" si="100"/>
        <v xml:space="preserve"> </v>
      </c>
      <c r="AN461" s="232" t="str">
        <f t="shared" si="101"/>
        <v xml:space="preserve"> </v>
      </c>
    </row>
    <row r="462" spans="28:40" x14ac:dyDescent="0.25">
      <c r="AB462" s="230" t="e">
        <f>T462-HLOOKUP(V462,Minimas!$C$3:$CD$12,2,FALSE)</f>
        <v>#N/A</v>
      </c>
      <c r="AC462" s="230" t="e">
        <f>T462-HLOOKUP(V462,Minimas!$C$3:$CD$12,3,FALSE)</f>
        <v>#N/A</v>
      </c>
      <c r="AD462" s="230" t="e">
        <f>T462-HLOOKUP(V462,Minimas!$C$3:$CD$12,4,FALSE)</f>
        <v>#N/A</v>
      </c>
      <c r="AE462" s="230" t="e">
        <f>T462-HLOOKUP(V462,Minimas!$C$3:$CD$12,5,FALSE)</f>
        <v>#N/A</v>
      </c>
      <c r="AF462" s="230" t="e">
        <f>T462-HLOOKUP(V462,Minimas!$C$3:$CD$12,6,FALSE)</f>
        <v>#N/A</v>
      </c>
      <c r="AG462" s="230" t="e">
        <f>T462-HLOOKUP(V462,Minimas!$C$3:$CD$12,7,FALSE)</f>
        <v>#N/A</v>
      </c>
      <c r="AH462" s="230" t="e">
        <f>T462-HLOOKUP(V462,Minimas!$C$3:$CD$12,8,FALSE)</f>
        <v>#N/A</v>
      </c>
      <c r="AI462" s="230" t="e">
        <f>T462-HLOOKUP(V462,Minimas!$C$3:$CD$12,9,FALSE)</f>
        <v>#N/A</v>
      </c>
      <c r="AJ462" s="230" t="e">
        <f>T462-HLOOKUP(V462,Minimas!$C$3:$CD$12,10,FALSE)</f>
        <v>#N/A</v>
      </c>
      <c r="AK462" s="231" t="str">
        <f t="shared" si="99"/>
        <v xml:space="preserve"> </v>
      </c>
      <c r="AL462" s="232"/>
      <c r="AM462" s="232" t="str">
        <f t="shared" si="100"/>
        <v xml:space="preserve"> </v>
      </c>
      <c r="AN462" s="232" t="str">
        <f t="shared" si="101"/>
        <v xml:space="preserve"> </v>
      </c>
    </row>
    <row r="463" spans="28:40" x14ac:dyDescent="0.25">
      <c r="AB463" s="230" t="e">
        <f>T463-HLOOKUP(V463,Minimas!$C$3:$CD$12,2,FALSE)</f>
        <v>#N/A</v>
      </c>
      <c r="AC463" s="230" t="e">
        <f>T463-HLOOKUP(V463,Minimas!$C$3:$CD$12,3,FALSE)</f>
        <v>#N/A</v>
      </c>
      <c r="AD463" s="230" t="e">
        <f>T463-HLOOKUP(V463,Minimas!$C$3:$CD$12,4,FALSE)</f>
        <v>#N/A</v>
      </c>
      <c r="AE463" s="230" t="e">
        <f>T463-HLOOKUP(V463,Minimas!$C$3:$CD$12,5,FALSE)</f>
        <v>#N/A</v>
      </c>
      <c r="AF463" s="230" t="e">
        <f>T463-HLOOKUP(V463,Minimas!$C$3:$CD$12,6,FALSE)</f>
        <v>#N/A</v>
      </c>
      <c r="AG463" s="230" t="e">
        <f>T463-HLOOKUP(V463,Minimas!$C$3:$CD$12,7,FALSE)</f>
        <v>#N/A</v>
      </c>
      <c r="AH463" s="230" t="e">
        <f>T463-HLOOKUP(V463,Minimas!$C$3:$CD$12,8,FALSE)</f>
        <v>#N/A</v>
      </c>
      <c r="AI463" s="230" t="e">
        <f>T463-HLOOKUP(V463,Minimas!$C$3:$CD$12,9,FALSE)</f>
        <v>#N/A</v>
      </c>
      <c r="AJ463" s="230" t="e">
        <f>T463-HLOOKUP(V463,Minimas!$C$3:$CD$12,10,FALSE)</f>
        <v>#N/A</v>
      </c>
      <c r="AK463" s="231" t="str">
        <f t="shared" si="99"/>
        <v xml:space="preserve"> </v>
      </c>
      <c r="AL463" s="232"/>
      <c r="AM463" s="232" t="str">
        <f t="shared" si="100"/>
        <v xml:space="preserve"> </v>
      </c>
      <c r="AN463" s="232" t="str">
        <f t="shared" si="101"/>
        <v xml:space="preserve"> </v>
      </c>
    </row>
    <row r="464" spans="28:40" x14ac:dyDescent="0.25">
      <c r="AB464" s="230" t="e">
        <f>T464-HLOOKUP(V464,Minimas!$C$3:$CD$12,2,FALSE)</f>
        <v>#N/A</v>
      </c>
      <c r="AC464" s="230" t="e">
        <f>T464-HLOOKUP(V464,Minimas!$C$3:$CD$12,3,FALSE)</f>
        <v>#N/A</v>
      </c>
      <c r="AD464" s="230" t="e">
        <f>T464-HLOOKUP(V464,Minimas!$C$3:$CD$12,4,FALSE)</f>
        <v>#N/A</v>
      </c>
      <c r="AE464" s="230" t="e">
        <f>T464-HLOOKUP(V464,Minimas!$C$3:$CD$12,5,FALSE)</f>
        <v>#N/A</v>
      </c>
      <c r="AF464" s="230" t="e">
        <f>T464-HLOOKUP(V464,Minimas!$C$3:$CD$12,6,FALSE)</f>
        <v>#N/A</v>
      </c>
      <c r="AG464" s="230" t="e">
        <f>T464-HLOOKUP(V464,Minimas!$C$3:$CD$12,7,FALSE)</f>
        <v>#N/A</v>
      </c>
      <c r="AH464" s="230" t="e">
        <f>T464-HLOOKUP(V464,Minimas!$C$3:$CD$12,8,FALSE)</f>
        <v>#N/A</v>
      </c>
      <c r="AI464" s="230" t="e">
        <f>T464-HLOOKUP(V464,Minimas!$C$3:$CD$12,9,FALSE)</f>
        <v>#N/A</v>
      </c>
      <c r="AJ464" s="230" t="e">
        <f>T464-HLOOKUP(V464,Minimas!$C$3:$CD$12,10,FALSE)</f>
        <v>#N/A</v>
      </c>
      <c r="AK464" s="231" t="str">
        <f t="shared" si="99"/>
        <v xml:space="preserve"> </v>
      </c>
      <c r="AL464" s="232"/>
      <c r="AM464" s="232" t="str">
        <f t="shared" si="100"/>
        <v xml:space="preserve"> </v>
      </c>
      <c r="AN464" s="232" t="str">
        <f t="shared" si="101"/>
        <v xml:space="preserve"> </v>
      </c>
    </row>
    <row r="465" spans="28:40" x14ac:dyDescent="0.25">
      <c r="AB465" s="230" t="e">
        <f>T465-HLOOKUP(V465,Minimas!$C$3:$CD$12,2,FALSE)</f>
        <v>#N/A</v>
      </c>
      <c r="AC465" s="230" t="e">
        <f>T465-HLOOKUP(V465,Minimas!$C$3:$CD$12,3,FALSE)</f>
        <v>#N/A</v>
      </c>
      <c r="AD465" s="230" t="e">
        <f>T465-HLOOKUP(V465,Minimas!$C$3:$CD$12,4,FALSE)</f>
        <v>#N/A</v>
      </c>
      <c r="AE465" s="230" t="e">
        <f>T465-HLOOKUP(V465,Minimas!$C$3:$CD$12,5,FALSE)</f>
        <v>#N/A</v>
      </c>
      <c r="AF465" s="230" t="e">
        <f>T465-HLOOKUP(V465,Minimas!$C$3:$CD$12,6,FALSE)</f>
        <v>#N/A</v>
      </c>
      <c r="AG465" s="230" t="e">
        <f>T465-HLOOKUP(V465,Minimas!$C$3:$CD$12,7,FALSE)</f>
        <v>#N/A</v>
      </c>
      <c r="AH465" s="230" t="e">
        <f>T465-HLOOKUP(V465,Minimas!$C$3:$CD$12,8,FALSE)</f>
        <v>#N/A</v>
      </c>
      <c r="AI465" s="230" t="e">
        <f>T465-HLOOKUP(V465,Minimas!$C$3:$CD$12,9,FALSE)</f>
        <v>#N/A</v>
      </c>
      <c r="AJ465" s="230" t="e">
        <f>T465-HLOOKUP(V465,Minimas!$C$3:$CD$12,10,FALSE)</f>
        <v>#N/A</v>
      </c>
      <c r="AK465" s="231" t="str">
        <f t="shared" si="99"/>
        <v xml:space="preserve"> </v>
      </c>
      <c r="AL465" s="232"/>
      <c r="AM465" s="232" t="str">
        <f t="shared" si="100"/>
        <v xml:space="preserve"> </v>
      </c>
      <c r="AN465" s="232" t="str">
        <f t="shared" si="101"/>
        <v xml:space="preserve"> </v>
      </c>
    </row>
    <row r="466" spans="28:40" x14ac:dyDescent="0.25">
      <c r="AB466" s="230" t="e">
        <f>T466-HLOOKUP(V466,Minimas!$C$3:$CD$12,2,FALSE)</f>
        <v>#N/A</v>
      </c>
      <c r="AC466" s="230" t="e">
        <f>T466-HLOOKUP(V466,Minimas!$C$3:$CD$12,3,FALSE)</f>
        <v>#N/A</v>
      </c>
      <c r="AD466" s="230" t="e">
        <f>T466-HLOOKUP(V466,Minimas!$C$3:$CD$12,4,FALSE)</f>
        <v>#N/A</v>
      </c>
      <c r="AE466" s="230" t="e">
        <f>T466-HLOOKUP(V466,Minimas!$C$3:$CD$12,5,FALSE)</f>
        <v>#N/A</v>
      </c>
      <c r="AF466" s="230" t="e">
        <f>T466-HLOOKUP(V466,Minimas!$C$3:$CD$12,6,FALSE)</f>
        <v>#N/A</v>
      </c>
      <c r="AG466" s="230" t="e">
        <f>T466-HLOOKUP(V466,Minimas!$C$3:$CD$12,7,FALSE)</f>
        <v>#N/A</v>
      </c>
      <c r="AH466" s="230" t="e">
        <f>T466-HLOOKUP(V466,Minimas!$C$3:$CD$12,8,FALSE)</f>
        <v>#N/A</v>
      </c>
      <c r="AI466" s="230" t="e">
        <f>T466-HLOOKUP(V466,Minimas!$C$3:$CD$12,9,FALSE)</f>
        <v>#N/A</v>
      </c>
      <c r="AJ466" s="230" t="e">
        <f>T466-HLOOKUP(V466,Minimas!$C$3:$CD$12,10,FALSE)</f>
        <v>#N/A</v>
      </c>
      <c r="AK466" s="231" t="str">
        <f t="shared" si="99"/>
        <v xml:space="preserve"> </v>
      </c>
      <c r="AL466" s="232"/>
      <c r="AM466" s="232" t="str">
        <f t="shared" si="100"/>
        <v xml:space="preserve"> </v>
      </c>
      <c r="AN466" s="232" t="str">
        <f t="shared" si="101"/>
        <v xml:space="preserve"> </v>
      </c>
    </row>
    <row r="467" spans="28:40" x14ac:dyDescent="0.25">
      <c r="AB467" s="230" t="e">
        <f>T467-HLOOKUP(V467,Minimas!$C$3:$CD$12,2,FALSE)</f>
        <v>#N/A</v>
      </c>
      <c r="AC467" s="230" t="e">
        <f>T467-HLOOKUP(V467,Minimas!$C$3:$CD$12,3,FALSE)</f>
        <v>#N/A</v>
      </c>
      <c r="AD467" s="230" t="e">
        <f>T467-HLOOKUP(V467,Minimas!$C$3:$CD$12,4,FALSE)</f>
        <v>#N/A</v>
      </c>
      <c r="AE467" s="230" t="e">
        <f>T467-HLOOKUP(V467,Minimas!$C$3:$CD$12,5,FALSE)</f>
        <v>#N/A</v>
      </c>
      <c r="AF467" s="230" t="e">
        <f>T467-HLOOKUP(V467,Minimas!$C$3:$CD$12,6,FALSE)</f>
        <v>#N/A</v>
      </c>
      <c r="AG467" s="230" t="e">
        <f>T467-HLOOKUP(V467,Minimas!$C$3:$CD$12,7,FALSE)</f>
        <v>#N/A</v>
      </c>
      <c r="AH467" s="230" t="e">
        <f>T467-HLOOKUP(V467,Minimas!$C$3:$CD$12,8,FALSE)</f>
        <v>#N/A</v>
      </c>
      <c r="AI467" s="230" t="e">
        <f>T467-HLOOKUP(V467,Minimas!$C$3:$CD$12,9,FALSE)</f>
        <v>#N/A</v>
      </c>
      <c r="AJ467" s="230" t="e">
        <f>T467-HLOOKUP(V467,Minimas!$C$3:$CD$12,10,FALSE)</f>
        <v>#N/A</v>
      </c>
      <c r="AK467" s="231" t="str">
        <f t="shared" si="99"/>
        <v xml:space="preserve"> </v>
      </c>
      <c r="AL467" s="232"/>
      <c r="AM467" s="232" t="str">
        <f t="shared" si="100"/>
        <v xml:space="preserve"> </v>
      </c>
      <c r="AN467" s="232" t="str">
        <f t="shared" si="101"/>
        <v xml:space="preserve"> </v>
      </c>
    </row>
    <row r="468" spans="28:40" x14ac:dyDescent="0.25">
      <c r="AB468" s="230" t="e">
        <f>T468-HLOOKUP(V468,Minimas!$C$3:$CD$12,2,FALSE)</f>
        <v>#N/A</v>
      </c>
      <c r="AC468" s="230" t="e">
        <f>T468-HLOOKUP(V468,Minimas!$C$3:$CD$12,3,FALSE)</f>
        <v>#N/A</v>
      </c>
      <c r="AD468" s="230" t="e">
        <f>T468-HLOOKUP(V468,Minimas!$C$3:$CD$12,4,FALSE)</f>
        <v>#N/A</v>
      </c>
      <c r="AE468" s="230" t="e">
        <f>T468-HLOOKUP(V468,Minimas!$C$3:$CD$12,5,FALSE)</f>
        <v>#N/A</v>
      </c>
      <c r="AF468" s="230" t="e">
        <f>T468-HLOOKUP(V468,Minimas!$C$3:$CD$12,6,FALSE)</f>
        <v>#N/A</v>
      </c>
      <c r="AG468" s="230" t="e">
        <f>T468-HLOOKUP(V468,Minimas!$C$3:$CD$12,7,FALSE)</f>
        <v>#N/A</v>
      </c>
      <c r="AH468" s="230" t="e">
        <f>T468-HLOOKUP(V468,Minimas!$C$3:$CD$12,8,FALSE)</f>
        <v>#N/A</v>
      </c>
      <c r="AI468" s="230" t="e">
        <f>T468-HLOOKUP(V468,Minimas!$C$3:$CD$12,9,FALSE)</f>
        <v>#N/A</v>
      </c>
      <c r="AJ468" s="230" t="e">
        <f>T468-HLOOKUP(V468,Minimas!$C$3:$CD$12,10,FALSE)</f>
        <v>#N/A</v>
      </c>
      <c r="AK468" s="231" t="str">
        <f t="shared" si="99"/>
        <v xml:space="preserve"> </v>
      </c>
      <c r="AL468" s="232"/>
      <c r="AM468" s="232" t="str">
        <f t="shared" si="100"/>
        <v xml:space="preserve"> </v>
      </c>
      <c r="AN468" s="232" t="str">
        <f t="shared" si="101"/>
        <v xml:space="preserve"> </v>
      </c>
    </row>
    <row r="469" spans="28:40" x14ac:dyDescent="0.25">
      <c r="AB469" s="230" t="e">
        <f>T469-HLOOKUP(V469,Minimas!$C$3:$CD$12,2,FALSE)</f>
        <v>#N/A</v>
      </c>
      <c r="AC469" s="230" t="e">
        <f>T469-HLOOKUP(V469,Minimas!$C$3:$CD$12,3,FALSE)</f>
        <v>#N/A</v>
      </c>
      <c r="AD469" s="230" t="e">
        <f>T469-HLOOKUP(V469,Minimas!$C$3:$CD$12,4,FALSE)</f>
        <v>#N/A</v>
      </c>
      <c r="AE469" s="230" t="e">
        <f>T469-HLOOKUP(V469,Minimas!$C$3:$CD$12,5,FALSE)</f>
        <v>#N/A</v>
      </c>
      <c r="AF469" s="230" t="e">
        <f>T469-HLOOKUP(V469,Minimas!$C$3:$CD$12,6,FALSE)</f>
        <v>#N/A</v>
      </c>
      <c r="AG469" s="230" t="e">
        <f>T469-HLOOKUP(V469,Minimas!$C$3:$CD$12,7,FALSE)</f>
        <v>#N/A</v>
      </c>
      <c r="AH469" s="230" t="e">
        <f>T469-HLOOKUP(V469,Minimas!$C$3:$CD$12,8,FALSE)</f>
        <v>#N/A</v>
      </c>
      <c r="AI469" s="230" t="e">
        <f>T469-HLOOKUP(V469,Minimas!$C$3:$CD$12,9,FALSE)</f>
        <v>#N/A</v>
      </c>
      <c r="AJ469" s="230" t="e">
        <f>T469-HLOOKUP(V469,Minimas!$C$3:$CD$12,10,FALSE)</f>
        <v>#N/A</v>
      </c>
      <c r="AK469" s="231" t="str">
        <f t="shared" si="99"/>
        <v xml:space="preserve"> </v>
      </c>
      <c r="AL469" s="232"/>
      <c r="AM469" s="232" t="str">
        <f t="shared" si="100"/>
        <v xml:space="preserve"> </v>
      </c>
      <c r="AN469" s="232" t="str">
        <f t="shared" si="101"/>
        <v xml:space="preserve"> </v>
      </c>
    </row>
    <row r="470" spans="28:40" x14ac:dyDescent="0.25">
      <c r="AB470" s="230" t="e">
        <f>T470-HLOOKUP(V470,Minimas!$C$3:$CD$12,2,FALSE)</f>
        <v>#N/A</v>
      </c>
      <c r="AC470" s="230" t="e">
        <f>T470-HLOOKUP(V470,Minimas!$C$3:$CD$12,3,FALSE)</f>
        <v>#N/A</v>
      </c>
      <c r="AD470" s="230" t="e">
        <f>T470-HLOOKUP(V470,Minimas!$C$3:$CD$12,4,FALSE)</f>
        <v>#N/A</v>
      </c>
      <c r="AE470" s="230" t="e">
        <f>T470-HLOOKUP(V470,Minimas!$C$3:$CD$12,5,FALSE)</f>
        <v>#N/A</v>
      </c>
      <c r="AF470" s="230" t="e">
        <f>T470-HLOOKUP(V470,Minimas!$C$3:$CD$12,6,FALSE)</f>
        <v>#N/A</v>
      </c>
      <c r="AG470" s="230" t="e">
        <f>T470-HLOOKUP(V470,Minimas!$C$3:$CD$12,7,FALSE)</f>
        <v>#N/A</v>
      </c>
      <c r="AH470" s="230" t="e">
        <f>T470-HLOOKUP(V470,Minimas!$C$3:$CD$12,8,FALSE)</f>
        <v>#N/A</v>
      </c>
      <c r="AI470" s="230" t="e">
        <f>T470-HLOOKUP(V470,Minimas!$C$3:$CD$12,9,FALSE)</f>
        <v>#N/A</v>
      </c>
      <c r="AJ470" s="230" t="e">
        <f>T470-HLOOKUP(V470,Minimas!$C$3:$CD$12,10,FALSE)</f>
        <v>#N/A</v>
      </c>
      <c r="AK470" s="231" t="str">
        <f t="shared" si="99"/>
        <v xml:space="preserve"> </v>
      </c>
      <c r="AL470" s="232"/>
      <c r="AM470" s="232" t="str">
        <f t="shared" si="100"/>
        <v xml:space="preserve"> </v>
      </c>
      <c r="AN470" s="232" t="str">
        <f t="shared" si="101"/>
        <v xml:space="preserve"> </v>
      </c>
    </row>
    <row r="471" spans="28:40" x14ac:dyDescent="0.25">
      <c r="AB471" s="230" t="e">
        <f>T471-HLOOKUP(V471,Minimas!$C$3:$CD$12,2,FALSE)</f>
        <v>#N/A</v>
      </c>
      <c r="AC471" s="230" t="e">
        <f>T471-HLOOKUP(V471,Minimas!$C$3:$CD$12,3,FALSE)</f>
        <v>#N/A</v>
      </c>
      <c r="AD471" s="230" t="e">
        <f>T471-HLOOKUP(V471,Minimas!$C$3:$CD$12,4,FALSE)</f>
        <v>#N/A</v>
      </c>
      <c r="AE471" s="230" t="e">
        <f>T471-HLOOKUP(V471,Minimas!$C$3:$CD$12,5,FALSE)</f>
        <v>#N/A</v>
      </c>
      <c r="AF471" s="230" t="e">
        <f>T471-HLOOKUP(V471,Minimas!$C$3:$CD$12,6,FALSE)</f>
        <v>#N/A</v>
      </c>
      <c r="AG471" s="230" t="e">
        <f>T471-HLOOKUP(V471,Minimas!$C$3:$CD$12,7,FALSE)</f>
        <v>#N/A</v>
      </c>
      <c r="AH471" s="230" t="e">
        <f>T471-HLOOKUP(V471,Minimas!$C$3:$CD$12,8,FALSE)</f>
        <v>#N/A</v>
      </c>
      <c r="AI471" s="230" t="e">
        <f>T471-HLOOKUP(V471,Minimas!$C$3:$CD$12,9,FALSE)</f>
        <v>#N/A</v>
      </c>
      <c r="AJ471" s="230" t="e">
        <f>T471-HLOOKUP(V471,Minimas!$C$3:$CD$12,10,FALSE)</f>
        <v>#N/A</v>
      </c>
      <c r="AK471" s="231" t="str">
        <f t="shared" si="99"/>
        <v xml:space="preserve"> </v>
      </c>
      <c r="AL471" s="232"/>
      <c r="AM471" s="232" t="str">
        <f t="shared" si="100"/>
        <v xml:space="preserve"> </v>
      </c>
      <c r="AN471" s="232" t="str">
        <f t="shared" si="101"/>
        <v xml:space="preserve"> </v>
      </c>
    </row>
    <row r="472" spans="28:40" x14ac:dyDescent="0.25">
      <c r="AB472" s="230" t="e">
        <f>T472-HLOOKUP(V472,Minimas!$C$3:$CD$12,2,FALSE)</f>
        <v>#N/A</v>
      </c>
      <c r="AC472" s="230" t="e">
        <f>T472-HLOOKUP(V472,Minimas!$C$3:$CD$12,3,FALSE)</f>
        <v>#N/A</v>
      </c>
      <c r="AD472" s="230" t="e">
        <f>T472-HLOOKUP(V472,Minimas!$C$3:$CD$12,4,FALSE)</f>
        <v>#N/A</v>
      </c>
      <c r="AE472" s="230" t="e">
        <f>T472-HLOOKUP(V472,Minimas!$C$3:$CD$12,5,FALSE)</f>
        <v>#N/A</v>
      </c>
      <c r="AF472" s="230" t="e">
        <f>T472-HLOOKUP(V472,Minimas!$C$3:$CD$12,6,FALSE)</f>
        <v>#N/A</v>
      </c>
      <c r="AG472" s="230" t="e">
        <f>T472-HLOOKUP(V472,Minimas!$C$3:$CD$12,7,FALSE)</f>
        <v>#N/A</v>
      </c>
      <c r="AH472" s="230" t="e">
        <f>T472-HLOOKUP(V472,Minimas!$C$3:$CD$12,8,FALSE)</f>
        <v>#N/A</v>
      </c>
      <c r="AI472" s="230" t="e">
        <f>T472-HLOOKUP(V472,Minimas!$C$3:$CD$12,9,FALSE)</f>
        <v>#N/A</v>
      </c>
      <c r="AJ472" s="230" t="e">
        <f>T472-HLOOKUP(V472,Minimas!$C$3:$CD$12,10,FALSE)</f>
        <v>#N/A</v>
      </c>
      <c r="AK472" s="231" t="str">
        <f t="shared" si="99"/>
        <v xml:space="preserve"> </v>
      </c>
      <c r="AL472" s="232"/>
      <c r="AM472" s="232" t="str">
        <f t="shared" si="100"/>
        <v xml:space="preserve"> </v>
      </c>
      <c r="AN472" s="232" t="str">
        <f t="shared" si="101"/>
        <v xml:space="preserve"> </v>
      </c>
    </row>
    <row r="473" spans="28:40" x14ac:dyDescent="0.25">
      <c r="AB473" s="230" t="e">
        <f>T473-HLOOKUP(V473,Minimas!$C$3:$CD$12,2,FALSE)</f>
        <v>#N/A</v>
      </c>
      <c r="AC473" s="230" t="e">
        <f>T473-HLOOKUP(V473,Minimas!$C$3:$CD$12,3,FALSE)</f>
        <v>#N/A</v>
      </c>
      <c r="AD473" s="230" t="e">
        <f>T473-HLOOKUP(V473,Minimas!$C$3:$CD$12,4,FALSE)</f>
        <v>#N/A</v>
      </c>
      <c r="AE473" s="230" t="e">
        <f>T473-HLOOKUP(V473,Minimas!$C$3:$CD$12,5,FALSE)</f>
        <v>#N/A</v>
      </c>
      <c r="AF473" s="230" t="e">
        <f>T473-HLOOKUP(V473,Minimas!$C$3:$CD$12,6,FALSE)</f>
        <v>#N/A</v>
      </c>
      <c r="AG473" s="230" t="e">
        <f>T473-HLOOKUP(V473,Minimas!$C$3:$CD$12,7,FALSE)</f>
        <v>#N/A</v>
      </c>
      <c r="AH473" s="230" t="e">
        <f>T473-HLOOKUP(V473,Minimas!$C$3:$CD$12,8,FALSE)</f>
        <v>#N/A</v>
      </c>
      <c r="AI473" s="230" t="e">
        <f>T473-HLOOKUP(V473,Minimas!$C$3:$CD$12,9,FALSE)</f>
        <v>#N/A</v>
      </c>
      <c r="AJ473" s="230" t="e">
        <f>T473-HLOOKUP(V473,Minimas!$C$3:$CD$12,10,FALSE)</f>
        <v>#N/A</v>
      </c>
      <c r="AK473" s="231" t="str">
        <f t="shared" si="99"/>
        <v xml:space="preserve"> </v>
      </c>
      <c r="AL473" s="232"/>
      <c r="AM473" s="232" t="str">
        <f t="shared" si="100"/>
        <v xml:space="preserve"> </v>
      </c>
      <c r="AN473" s="232" t="str">
        <f t="shared" si="101"/>
        <v xml:space="preserve"> </v>
      </c>
    </row>
    <row r="474" spans="28:40" x14ac:dyDescent="0.25">
      <c r="AB474" s="230" t="e">
        <f>T474-HLOOKUP(V474,Minimas!$C$3:$CD$12,2,FALSE)</f>
        <v>#N/A</v>
      </c>
      <c r="AC474" s="230" t="e">
        <f>T474-HLOOKUP(V474,Minimas!$C$3:$CD$12,3,FALSE)</f>
        <v>#N/A</v>
      </c>
      <c r="AD474" s="230" t="e">
        <f>T474-HLOOKUP(V474,Minimas!$C$3:$CD$12,4,FALSE)</f>
        <v>#N/A</v>
      </c>
      <c r="AE474" s="230" t="e">
        <f>T474-HLOOKUP(V474,Minimas!$C$3:$CD$12,5,FALSE)</f>
        <v>#N/A</v>
      </c>
      <c r="AF474" s="230" t="e">
        <f>T474-HLOOKUP(V474,Minimas!$C$3:$CD$12,6,FALSE)</f>
        <v>#N/A</v>
      </c>
      <c r="AG474" s="230" t="e">
        <f>T474-HLOOKUP(V474,Minimas!$C$3:$CD$12,7,FALSE)</f>
        <v>#N/A</v>
      </c>
      <c r="AH474" s="230" t="e">
        <f>T474-HLOOKUP(V474,Minimas!$C$3:$CD$12,8,FALSE)</f>
        <v>#N/A</v>
      </c>
      <c r="AI474" s="230" t="e">
        <f>T474-HLOOKUP(V474,Minimas!$C$3:$CD$12,9,FALSE)</f>
        <v>#N/A</v>
      </c>
      <c r="AJ474" s="230" t="e">
        <f>T474-HLOOKUP(V474,Minimas!$C$3:$CD$12,10,FALSE)</f>
        <v>#N/A</v>
      </c>
      <c r="AK474" s="231" t="str">
        <f t="shared" si="99"/>
        <v xml:space="preserve"> </v>
      </c>
      <c r="AL474" s="232"/>
      <c r="AM474" s="232" t="str">
        <f t="shared" si="100"/>
        <v xml:space="preserve"> </v>
      </c>
      <c r="AN474" s="232" t="str">
        <f t="shared" si="101"/>
        <v xml:space="preserve"> </v>
      </c>
    </row>
    <row r="475" spans="28:40" x14ac:dyDescent="0.25">
      <c r="AB475" s="230" t="e">
        <f>T475-HLOOKUP(V475,Minimas!$C$3:$CD$12,2,FALSE)</f>
        <v>#N/A</v>
      </c>
      <c r="AC475" s="230" t="e">
        <f>T475-HLOOKUP(V475,Minimas!$C$3:$CD$12,3,FALSE)</f>
        <v>#N/A</v>
      </c>
      <c r="AD475" s="230" t="e">
        <f>T475-HLOOKUP(V475,Minimas!$C$3:$CD$12,4,FALSE)</f>
        <v>#N/A</v>
      </c>
      <c r="AE475" s="230" t="e">
        <f>T475-HLOOKUP(V475,Minimas!$C$3:$CD$12,5,FALSE)</f>
        <v>#N/A</v>
      </c>
      <c r="AF475" s="230" t="e">
        <f>T475-HLOOKUP(V475,Minimas!$C$3:$CD$12,6,FALSE)</f>
        <v>#N/A</v>
      </c>
      <c r="AG475" s="230" t="e">
        <f>T475-HLOOKUP(V475,Minimas!$C$3:$CD$12,7,FALSE)</f>
        <v>#N/A</v>
      </c>
      <c r="AH475" s="230" t="e">
        <f>T475-HLOOKUP(V475,Minimas!$C$3:$CD$12,8,FALSE)</f>
        <v>#N/A</v>
      </c>
      <c r="AI475" s="230" t="e">
        <f>T475-HLOOKUP(V475,Minimas!$C$3:$CD$12,9,FALSE)</f>
        <v>#N/A</v>
      </c>
      <c r="AJ475" s="230" t="e">
        <f>T475-HLOOKUP(V475,Minimas!$C$3:$CD$12,10,FALSE)</f>
        <v>#N/A</v>
      </c>
      <c r="AK475" s="231" t="str">
        <f t="shared" si="99"/>
        <v xml:space="preserve"> </v>
      </c>
      <c r="AL475" s="232"/>
      <c r="AM475" s="232" t="str">
        <f t="shared" si="100"/>
        <v xml:space="preserve"> </v>
      </c>
      <c r="AN475" s="232" t="str">
        <f t="shared" si="101"/>
        <v xml:space="preserve"> </v>
      </c>
    </row>
    <row r="476" spans="28:40" x14ac:dyDescent="0.25">
      <c r="AB476" s="230" t="e">
        <f>T476-HLOOKUP(V476,Minimas!$C$3:$CD$12,2,FALSE)</f>
        <v>#N/A</v>
      </c>
      <c r="AC476" s="230" t="e">
        <f>T476-HLOOKUP(V476,Minimas!$C$3:$CD$12,3,FALSE)</f>
        <v>#N/A</v>
      </c>
      <c r="AD476" s="230" t="e">
        <f>T476-HLOOKUP(V476,Minimas!$C$3:$CD$12,4,FALSE)</f>
        <v>#N/A</v>
      </c>
      <c r="AE476" s="230" t="e">
        <f>T476-HLOOKUP(V476,Minimas!$C$3:$CD$12,5,FALSE)</f>
        <v>#N/A</v>
      </c>
      <c r="AF476" s="230" t="e">
        <f>T476-HLOOKUP(V476,Minimas!$C$3:$CD$12,6,FALSE)</f>
        <v>#N/A</v>
      </c>
      <c r="AG476" s="230" t="e">
        <f>T476-HLOOKUP(V476,Minimas!$C$3:$CD$12,7,FALSE)</f>
        <v>#N/A</v>
      </c>
      <c r="AH476" s="230" t="e">
        <f>T476-HLOOKUP(V476,Minimas!$C$3:$CD$12,8,FALSE)</f>
        <v>#N/A</v>
      </c>
      <c r="AI476" s="230" t="e">
        <f>T476-HLOOKUP(V476,Minimas!$C$3:$CD$12,9,FALSE)</f>
        <v>#N/A</v>
      </c>
      <c r="AJ476" s="230" t="e">
        <f>T476-HLOOKUP(V476,Minimas!$C$3:$CD$12,10,FALSE)</f>
        <v>#N/A</v>
      </c>
      <c r="AK476" s="231" t="str">
        <f t="shared" si="99"/>
        <v xml:space="preserve"> </v>
      </c>
      <c r="AL476" s="232"/>
      <c r="AM476" s="232" t="str">
        <f t="shared" si="100"/>
        <v xml:space="preserve"> </v>
      </c>
      <c r="AN476" s="232" t="str">
        <f t="shared" si="101"/>
        <v xml:space="preserve"> </v>
      </c>
    </row>
    <row r="477" spans="28:40" x14ac:dyDescent="0.25">
      <c r="AB477" s="230" t="e">
        <f>T477-HLOOKUP(V477,Minimas!$C$3:$CD$12,2,FALSE)</f>
        <v>#N/A</v>
      </c>
      <c r="AC477" s="230" t="e">
        <f>T477-HLOOKUP(V477,Minimas!$C$3:$CD$12,3,FALSE)</f>
        <v>#N/A</v>
      </c>
      <c r="AD477" s="230" t="e">
        <f>T477-HLOOKUP(V477,Minimas!$C$3:$CD$12,4,FALSE)</f>
        <v>#N/A</v>
      </c>
      <c r="AE477" s="230" t="e">
        <f>T477-HLOOKUP(V477,Minimas!$C$3:$CD$12,5,FALSE)</f>
        <v>#N/A</v>
      </c>
      <c r="AF477" s="230" t="e">
        <f>T477-HLOOKUP(V477,Minimas!$C$3:$CD$12,6,FALSE)</f>
        <v>#N/A</v>
      </c>
      <c r="AG477" s="230" t="e">
        <f>T477-HLOOKUP(V477,Minimas!$C$3:$CD$12,7,FALSE)</f>
        <v>#N/A</v>
      </c>
      <c r="AH477" s="230" t="e">
        <f>T477-HLOOKUP(V477,Minimas!$C$3:$CD$12,8,FALSE)</f>
        <v>#N/A</v>
      </c>
      <c r="AI477" s="230" t="e">
        <f>T477-HLOOKUP(V477,Minimas!$C$3:$CD$12,9,FALSE)</f>
        <v>#N/A</v>
      </c>
      <c r="AJ477" s="230" t="e">
        <f>T477-HLOOKUP(V477,Minimas!$C$3:$CD$12,10,FALSE)</f>
        <v>#N/A</v>
      </c>
      <c r="AK477" s="231" t="str">
        <f t="shared" si="99"/>
        <v xml:space="preserve"> </v>
      </c>
      <c r="AL477" s="232"/>
      <c r="AM477" s="232" t="str">
        <f t="shared" si="100"/>
        <v xml:space="preserve"> </v>
      </c>
      <c r="AN477" s="232" t="str">
        <f t="shared" si="101"/>
        <v xml:space="preserve"> </v>
      </c>
    </row>
    <row r="478" spans="28:40" x14ac:dyDescent="0.25">
      <c r="AB478" s="230" t="e">
        <f>T478-HLOOKUP(V478,Minimas!$C$3:$CD$12,2,FALSE)</f>
        <v>#N/A</v>
      </c>
      <c r="AC478" s="230" t="e">
        <f>T478-HLOOKUP(V478,Minimas!$C$3:$CD$12,3,FALSE)</f>
        <v>#N/A</v>
      </c>
      <c r="AD478" s="230" t="e">
        <f>T478-HLOOKUP(V478,Minimas!$C$3:$CD$12,4,FALSE)</f>
        <v>#N/A</v>
      </c>
      <c r="AE478" s="230" t="e">
        <f>T478-HLOOKUP(V478,Minimas!$C$3:$CD$12,5,FALSE)</f>
        <v>#N/A</v>
      </c>
      <c r="AF478" s="230" t="e">
        <f>T478-HLOOKUP(V478,Minimas!$C$3:$CD$12,6,FALSE)</f>
        <v>#N/A</v>
      </c>
      <c r="AG478" s="230" t="e">
        <f>T478-HLOOKUP(V478,Minimas!$C$3:$CD$12,7,FALSE)</f>
        <v>#N/A</v>
      </c>
      <c r="AH478" s="230" t="e">
        <f>T478-HLOOKUP(V478,Minimas!$C$3:$CD$12,8,FALSE)</f>
        <v>#N/A</v>
      </c>
      <c r="AI478" s="230" t="e">
        <f>T478-HLOOKUP(V478,Minimas!$C$3:$CD$12,9,FALSE)</f>
        <v>#N/A</v>
      </c>
      <c r="AJ478" s="230" t="e">
        <f>T478-HLOOKUP(V478,Minimas!$C$3:$CD$12,10,FALSE)</f>
        <v>#N/A</v>
      </c>
      <c r="AK478" s="231" t="str">
        <f t="shared" si="99"/>
        <v xml:space="preserve"> </v>
      </c>
      <c r="AL478" s="232"/>
      <c r="AM478" s="232" t="str">
        <f t="shared" si="100"/>
        <v xml:space="preserve"> </v>
      </c>
      <c r="AN478" s="232" t="str">
        <f t="shared" si="101"/>
        <v xml:space="preserve"> </v>
      </c>
    </row>
    <row r="479" spans="28:40" x14ac:dyDescent="0.25">
      <c r="AB479" s="230" t="e">
        <f>T479-HLOOKUP(V479,Minimas!$C$3:$CD$12,2,FALSE)</f>
        <v>#N/A</v>
      </c>
      <c r="AC479" s="230" t="e">
        <f>T479-HLOOKUP(V479,Minimas!$C$3:$CD$12,3,FALSE)</f>
        <v>#N/A</v>
      </c>
      <c r="AD479" s="230" t="e">
        <f>T479-HLOOKUP(V479,Minimas!$C$3:$CD$12,4,FALSE)</f>
        <v>#N/A</v>
      </c>
      <c r="AE479" s="230" t="e">
        <f>T479-HLOOKUP(V479,Minimas!$C$3:$CD$12,5,FALSE)</f>
        <v>#N/A</v>
      </c>
      <c r="AF479" s="230" t="e">
        <f>T479-HLOOKUP(V479,Minimas!$C$3:$CD$12,6,FALSE)</f>
        <v>#N/A</v>
      </c>
      <c r="AG479" s="230" t="e">
        <f>T479-HLOOKUP(V479,Minimas!$C$3:$CD$12,7,FALSE)</f>
        <v>#N/A</v>
      </c>
      <c r="AH479" s="230" t="e">
        <f>T479-HLOOKUP(V479,Minimas!$C$3:$CD$12,8,FALSE)</f>
        <v>#N/A</v>
      </c>
      <c r="AI479" s="230" t="e">
        <f>T479-HLOOKUP(V479,Minimas!$C$3:$CD$12,9,FALSE)</f>
        <v>#N/A</v>
      </c>
      <c r="AJ479" s="230" t="e">
        <f>T479-HLOOKUP(V479,Minimas!$C$3:$CD$12,10,FALSE)</f>
        <v>#N/A</v>
      </c>
      <c r="AK479" s="231" t="str">
        <f t="shared" si="99"/>
        <v xml:space="preserve"> </v>
      </c>
      <c r="AL479" s="232"/>
      <c r="AM479" s="232" t="str">
        <f t="shared" si="100"/>
        <v xml:space="preserve"> </v>
      </c>
      <c r="AN479" s="232" t="str">
        <f t="shared" si="101"/>
        <v xml:space="preserve"> </v>
      </c>
    </row>
    <row r="480" spans="28:40" x14ac:dyDescent="0.25">
      <c r="AB480" s="230" t="e">
        <f>T480-HLOOKUP(V480,Minimas!$C$3:$CD$12,2,FALSE)</f>
        <v>#N/A</v>
      </c>
      <c r="AC480" s="230" t="e">
        <f>T480-HLOOKUP(V480,Minimas!$C$3:$CD$12,3,FALSE)</f>
        <v>#N/A</v>
      </c>
      <c r="AD480" s="230" t="e">
        <f>T480-HLOOKUP(V480,Minimas!$C$3:$CD$12,4,FALSE)</f>
        <v>#N/A</v>
      </c>
      <c r="AE480" s="230" t="e">
        <f>T480-HLOOKUP(V480,Minimas!$C$3:$CD$12,5,FALSE)</f>
        <v>#N/A</v>
      </c>
      <c r="AF480" s="230" t="e">
        <f>T480-HLOOKUP(V480,Minimas!$C$3:$CD$12,6,FALSE)</f>
        <v>#N/A</v>
      </c>
      <c r="AG480" s="230" t="e">
        <f>T480-HLOOKUP(V480,Minimas!$C$3:$CD$12,7,FALSE)</f>
        <v>#N/A</v>
      </c>
      <c r="AH480" s="230" t="e">
        <f>T480-HLOOKUP(V480,Minimas!$C$3:$CD$12,8,FALSE)</f>
        <v>#N/A</v>
      </c>
      <c r="AI480" s="230" t="e">
        <f>T480-HLOOKUP(V480,Minimas!$C$3:$CD$12,9,FALSE)</f>
        <v>#N/A</v>
      </c>
      <c r="AJ480" s="230" t="e">
        <f>T480-HLOOKUP(V480,Minimas!$C$3:$CD$12,10,FALSE)</f>
        <v>#N/A</v>
      </c>
      <c r="AK480" s="231" t="str">
        <f t="shared" si="99"/>
        <v xml:space="preserve"> </v>
      </c>
      <c r="AL480" s="232"/>
      <c r="AM480" s="232" t="str">
        <f t="shared" si="100"/>
        <v xml:space="preserve"> </v>
      </c>
      <c r="AN480" s="232" t="str">
        <f t="shared" si="101"/>
        <v xml:space="preserve"> </v>
      </c>
    </row>
    <row r="481" spans="28:40" x14ac:dyDescent="0.25">
      <c r="AB481" s="230" t="e">
        <f>T481-HLOOKUP(V481,Minimas!$C$3:$CD$12,2,FALSE)</f>
        <v>#N/A</v>
      </c>
      <c r="AC481" s="230" t="e">
        <f>T481-HLOOKUP(V481,Minimas!$C$3:$CD$12,3,FALSE)</f>
        <v>#N/A</v>
      </c>
      <c r="AD481" s="230" t="e">
        <f>T481-HLOOKUP(V481,Minimas!$C$3:$CD$12,4,FALSE)</f>
        <v>#N/A</v>
      </c>
      <c r="AE481" s="230" t="e">
        <f>T481-HLOOKUP(V481,Minimas!$C$3:$CD$12,5,FALSE)</f>
        <v>#N/A</v>
      </c>
      <c r="AF481" s="230" t="e">
        <f>T481-HLOOKUP(V481,Minimas!$C$3:$CD$12,6,FALSE)</f>
        <v>#N/A</v>
      </c>
      <c r="AG481" s="230" t="e">
        <f>T481-HLOOKUP(V481,Minimas!$C$3:$CD$12,7,FALSE)</f>
        <v>#N/A</v>
      </c>
      <c r="AH481" s="230" t="e">
        <f>T481-HLOOKUP(V481,Minimas!$C$3:$CD$12,8,FALSE)</f>
        <v>#N/A</v>
      </c>
      <c r="AI481" s="230" t="e">
        <f>T481-HLOOKUP(V481,Minimas!$C$3:$CD$12,9,FALSE)</f>
        <v>#N/A</v>
      </c>
      <c r="AJ481" s="230" t="e">
        <f>T481-HLOOKUP(V481,Minimas!$C$3:$CD$12,10,FALSE)</f>
        <v>#N/A</v>
      </c>
      <c r="AK481" s="231" t="str">
        <f t="shared" si="99"/>
        <v xml:space="preserve"> </v>
      </c>
      <c r="AL481" s="232"/>
      <c r="AM481" s="232" t="str">
        <f t="shared" si="100"/>
        <v xml:space="preserve"> </v>
      </c>
      <c r="AN481" s="232" t="str">
        <f t="shared" si="101"/>
        <v xml:space="preserve"> </v>
      </c>
    </row>
    <row r="482" spans="28:40" x14ac:dyDescent="0.25">
      <c r="AB482" s="230" t="e">
        <f>T482-HLOOKUP(V482,Minimas!$C$3:$CD$12,2,FALSE)</f>
        <v>#N/A</v>
      </c>
      <c r="AC482" s="230" t="e">
        <f>T482-HLOOKUP(V482,Minimas!$C$3:$CD$12,3,FALSE)</f>
        <v>#N/A</v>
      </c>
      <c r="AD482" s="230" t="e">
        <f>T482-HLOOKUP(V482,Minimas!$C$3:$CD$12,4,FALSE)</f>
        <v>#N/A</v>
      </c>
      <c r="AE482" s="230" t="e">
        <f>T482-HLOOKUP(V482,Minimas!$C$3:$CD$12,5,FALSE)</f>
        <v>#N/A</v>
      </c>
      <c r="AF482" s="230" t="e">
        <f>T482-HLOOKUP(V482,Minimas!$C$3:$CD$12,6,FALSE)</f>
        <v>#N/A</v>
      </c>
      <c r="AG482" s="230" t="e">
        <f>T482-HLOOKUP(V482,Minimas!$C$3:$CD$12,7,FALSE)</f>
        <v>#N/A</v>
      </c>
      <c r="AH482" s="230" t="e">
        <f>T482-HLOOKUP(V482,Minimas!$C$3:$CD$12,8,FALSE)</f>
        <v>#N/A</v>
      </c>
      <c r="AI482" s="230" t="e">
        <f>T482-HLOOKUP(V482,Minimas!$C$3:$CD$12,9,FALSE)</f>
        <v>#N/A</v>
      </c>
      <c r="AJ482" s="230" t="e">
        <f>T482-HLOOKUP(V482,Minimas!$C$3:$CD$12,10,FALSE)</f>
        <v>#N/A</v>
      </c>
      <c r="AK482" s="231" t="str">
        <f t="shared" si="99"/>
        <v xml:space="preserve"> </v>
      </c>
      <c r="AL482" s="232"/>
      <c r="AM482" s="232" t="str">
        <f t="shared" si="100"/>
        <v xml:space="preserve"> </v>
      </c>
      <c r="AN482" s="232" t="str">
        <f t="shared" si="101"/>
        <v xml:space="preserve"> </v>
      </c>
    </row>
    <row r="483" spans="28:40" x14ac:dyDescent="0.25">
      <c r="AB483" s="230" t="e">
        <f>T483-HLOOKUP(V483,Minimas!$C$3:$CD$12,2,FALSE)</f>
        <v>#N/A</v>
      </c>
      <c r="AC483" s="230" t="e">
        <f>T483-HLOOKUP(V483,Minimas!$C$3:$CD$12,3,FALSE)</f>
        <v>#N/A</v>
      </c>
      <c r="AD483" s="230" t="e">
        <f>T483-HLOOKUP(V483,Minimas!$C$3:$CD$12,4,FALSE)</f>
        <v>#N/A</v>
      </c>
      <c r="AE483" s="230" t="e">
        <f>T483-HLOOKUP(V483,Minimas!$C$3:$CD$12,5,FALSE)</f>
        <v>#N/A</v>
      </c>
      <c r="AF483" s="230" t="e">
        <f>T483-HLOOKUP(V483,Minimas!$C$3:$CD$12,6,FALSE)</f>
        <v>#N/A</v>
      </c>
      <c r="AG483" s="230" t="e">
        <f>T483-HLOOKUP(V483,Minimas!$C$3:$CD$12,7,FALSE)</f>
        <v>#N/A</v>
      </c>
      <c r="AH483" s="230" t="e">
        <f>T483-HLOOKUP(V483,Minimas!$C$3:$CD$12,8,FALSE)</f>
        <v>#N/A</v>
      </c>
      <c r="AI483" s="230" t="e">
        <f>T483-HLOOKUP(V483,Minimas!$C$3:$CD$12,9,FALSE)</f>
        <v>#N/A</v>
      </c>
      <c r="AJ483" s="230" t="e">
        <f>T483-HLOOKUP(V483,Minimas!$C$3:$CD$12,10,FALSE)</f>
        <v>#N/A</v>
      </c>
      <c r="AK483" s="231" t="str">
        <f t="shared" si="99"/>
        <v xml:space="preserve"> </v>
      </c>
      <c r="AL483" s="232"/>
      <c r="AM483" s="232" t="str">
        <f t="shared" si="100"/>
        <v xml:space="preserve"> </v>
      </c>
      <c r="AN483" s="232" t="str">
        <f t="shared" si="101"/>
        <v xml:space="preserve"> </v>
      </c>
    </row>
    <row r="484" spans="28:40" x14ac:dyDescent="0.25">
      <c r="AB484" s="230" t="e">
        <f>T484-HLOOKUP(V484,Minimas!$C$3:$CD$12,2,FALSE)</f>
        <v>#N/A</v>
      </c>
      <c r="AC484" s="230" t="e">
        <f>T484-HLOOKUP(V484,Minimas!$C$3:$CD$12,3,FALSE)</f>
        <v>#N/A</v>
      </c>
      <c r="AD484" s="230" t="e">
        <f>T484-HLOOKUP(V484,Minimas!$C$3:$CD$12,4,FALSE)</f>
        <v>#N/A</v>
      </c>
      <c r="AE484" s="230" t="e">
        <f>T484-HLOOKUP(V484,Minimas!$C$3:$CD$12,5,FALSE)</f>
        <v>#N/A</v>
      </c>
      <c r="AF484" s="230" t="e">
        <f>T484-HLOOKUP(V484,Minimas!$C$3:$CD$12,6,FALSE)</f>
        <v>#N/A</v>
      </c>
      <c r="AG484" s="230" t="e">
        <f>T484-HLOOKUP(V484,Minimas!$C$3:$CD$12,7,FALSE)</f>
        <v>#N/A</v>
      </c>
      <c r="AH484" s="230" t="e">
        <f>T484-HLOOKUP(V484,Minimas!$C$3:$CD$12,8,FALSE)</f>
        <v>#N/A</v>
      </c>
      <c r="AI484" s="230" t="e">
        <f>T484-HLOOKUP(V484,Minimas!$C$3:$CD$12,9,FALSE)</f>
        <v>#N/A</v>
      </c>
      <c r="AJ484" s="230" t="e">
        <f>T484-HLOOKUP(V484,Minimas!$C$3:$CD$12,10,FALSE)</f>
        <v>#N/A</v>
      </c>
      <c r="AK484" s="231" t="str">
        <f t="shared" si="99"/>
        <v xml:space="preserve"> </v>
      </c>
      <c r="AL484" s="232"/>
      <c r="AM484" s="232" t="str">
        <f t="shared" si="100"/>
        <v xml:space="preserve"> </v>
      </c>
      <c r="AN484" s="232" t="str">
        <f t="shared" si="101"/>
        <v xml:space="preserve"> </v>
      </c>
    </row>
    <row r="485" spans="28:40" x14ac:dyDescent="0.25">
      <c r="AB485" s="230" t="e">
        <f>T485-HLOOKUP(V485,Minimas!$C$3:$CD$12,2,FALSE)</f>
        <v>#N/A</v>
      </c>
      <c r="AC485" s="230" t="e">
        <f>T485-HLOOKUP(V485,Minimas!$C$3:$CD$12,3,FALSE)</f>
        <v>#N/A</v>
      </c>
      <c r="AD485" s="230" t="e">
        <f>T485-HLOOKUP(V485,Minimas!$C$3:$CD$12,4,FALSE)</f>
        <v>#N/A</v>
      </c>
      <c r="AE485" s="230" t="e">
        <f>T485-HLOOKUP(V485,Minimas!$C$3:$CD$12,5,FALSE)</f>
        <v>#N/A</v>
      </c>
      <c r="AF485" s="230" t="e">
        <f>T485-HLOOKUP(V485,Minimas!$C$3:$CD$12,6,FALSE)</f>
        <v>#N/A</v>
      </c>
      <c r="AG485" s="230" t="e">
        <f>T485-HLOOKUP(V485,Minimas!$C$3:$CD$12,7,FALSE)</f>
        <v>#N/A</v>
      </c>
      <c r="AH485" s="230" t="e">
        <f>T485-HLOOKUP(V485,Minimas!$C$3:$CD$12,8,FALSE)</f>
        <v>#N/A</v>
      </c>
      <c r="AI485" s="230" t="e">
        <f>T485-HLOOKUP(V485,Minimas!$C$3:$CD$12,9,FALSE)</f>
        <v>#N/A</v>
      </c>
      <c r="AJ485" s="230" t="e">
        <f>T485-HLOOKUP(V485,Minimas!$C$3:$CD$12,10,FALSE)</f>
        <v>#N/A</v>
      </c>
      <c r="AK485" s="231" t="str">
        <f t="shared" si="99"/>
        <v xml:space="preserve"> </v>
      </c>
      <c r="AL485" s="232"/>
      <c r="AM485" s="232" t="str">
        <f t="shared" si="100"/>
        <v xml:space="preserve"> </v>
      </c>
      <c r="AN485" s="232" t="str">
        <f t="shared" si="101"/>
        <v xml:space="preserve"> </v>
      </c>
    </row>
    <row r="486" spans="28:40" x14ac:dyDescent="0.25">
      <c r="AB486" s="230" t="e">
        <f>T486-HLOOKUP(V486,Minimas!$C$3:$CD$12,2,FALSE)</f>
        <v>#N/A</v>
      </c>
      <c r="AC486" s="230" t="e">
        <f>T486-HLOOKUP(V486,Minimas!$C$3:$CD$12,3,FALSE)</f>
        <v>#N/A</v>
      </c>
      <c r="AD486" s="230" t="e">
        <f>T486-HLOOKUP(V486,Minimas!$C$3:$CD$12,4,FALSE)</f>
        <v>#N/A</v>
      </c>
      <c r="AE486" s="230" t="e">
        <f>T486-HLOOKUP(V486,Minimas!$C$3:$CD$12,5,FALSE)</f>
        <v>#N/A</v>
      </c>
      <c r="AF486" s="230" t="e">
        <f>T486-HLOOKUP(V486,Minimas!$C$3:$CD$12,6,FALSE)</f>
        <v>#N/A</v>
      </c>
      <c r="AG486" s="230" t="e">
        <f>T486-HLOOKUP(V486,Minimas!$C$3:$CD$12,7,FALSE)</f>
        <v>#N/A</v>
      </c>
      <c r="AH486" s="230" t="e">
        <f>T486-HLOOKUP(V486,Minimas!$C$3:$CD$12,8,FALSE)</f>
        <v>#N/A</v>
      </c>
      <c r="AI486" s="230" t="e">
        <f>T486-HLOOKUP(V486,Minimas!$C$3:$CD$12,9,FALSE)</f>
        <v>#N/A</v>
      </c>
      <c r="AJ486" s="230" t="e">
        <f>T486-HLOOKUP(V486,Minimas!$C$3:$CD$12,10,FALSE)</f>
        <v>#N/A</v>
      </c>
      <c r="AK486" s="231" t="str">
        <f t="shared" si="99"/>
        <v xml:space="preserve"> </v>
      </c>
      <c r="AL486" s="232"/>
      <c r="AM486" s="232" t="str">
        <f t="shared" si="100"/>
        <v xml:space="preserve"> </v>
      </c>
      <c r="AN486" s="232" t="str">
        <f t="shared" si="101"/>
        <v xml:space="preserve"> </v>
      </c>
    </row>
    <row r="487" spans="28:40" x14ac:dyDescent="0.25">
      <c r="AB487" s="230" t="e">
        <f>T487-HLOOKUP(V487,Minimas!$C$3:$CD$12,2,FALSE)</f>
        <v>#N/A</v>
      </c>
      <c r="AC487" s="230" t="e">
        <f>T487-HLOOKUP(V487,Minimas!$C$3:$CD$12,3,FALSE)</f>
        <v>#N/A</v>
      </c>
      <c r="AD487" s="230" t="e">
        <f>T487-HLOOKUP(V487,Minimas!$C$3:$CD$12,4,FALSE)</f>
        <v>#N/A</v>
      </c>
      <c r="AE487" s="230" t="e">
        <f>T487-HLOOKUP(V487,Minimas!$C$3:$CD$12,5,FALSE)</f>
        <v>#N/A</v>
      </c>
      <c r="AF487" s="230" t="e">
        <f>T487-HLOOKUP(V487,Minimas!$C$3:$CD$12,6,FALSE)</f>
        <v>#N/A</v>
      </c>
      <c r="AG487" s="230" t="e">
        <f>T487-HLOOKUP(V487,Minimas!$C$3:$CD$12,7,FALSE)</f>
        <v>#N/A</v>
      </c>
      <c r="AH487" s="230" t="e">
        <f>T487-HLOOKUP(V487,Minimas!$C$3:$CD$12,8,FALSE)</f>
        <v>#N/A</v>
      </c>
      <c r="AI487" s="230" t="e">
        <f>T487-HLOOKUP(V487,Minimas!$C$3:$CD$12,9,FALSE)</f>
        <v>#N/A</v>
      </c>
      <c r="AJ487" s="230" t="e">
        <f>T487-HLOOKUP(V487,Minimas!$C$3:$CD$12,10,FALSE)</f>
        <v>#N/A</v>
      </c>
      <c r="AK487" s="231" t="str">
        <f t="shared" si="99"/>
        <v xml:space="preserve"> </v>
      </c>
      <c r="AL487" s="232"/>
      <c r="AM487" s="232" t="str">
        <f t="shared" si="100"/>
        <v xml:space="preserve"> </v>
      </c>
      <c r="AN487" s="232" t="str">
        <f t="shared" si="101"/>
        <v xml:space="preserve"> </v>
      </c>
    </row>
    <row r="488" spans="28:40" x14ac:dyDescent="0.25">
      <c r="AB488" s="230" t="e">
        <f>T488-HLOOKUP(V488,Minimas!$C$3:$CD$12,2,FALSE)</f>
        <v>#N/A</v>
      </c>
      <c r="AC488" s="230" t="e">
        <f>T488-HLOOKUP(V488,Minimas!$C$3:$CD$12,3,FALSE)</f>
        <v>#N/A</v>
      </c>
      <c r="AD488" s="230" t="e">
        <f>T488-HLOOKUP(V488,Minimas!$C$3:$CD$12,4,FALSE)</f>
        <v>#N/A</v>
      </c>
      <c r="AE488" s="230" t="e">
        <f>T488-HLOOKUP(V488,Minimas!$C$3:$CD$12,5,FALSE)</f>
        <v>#N/A</v>
      </c>
      <c r="AF488" s="230" t="e">
        <f>T488-HLOOKUP(V488,Minimas!$C$3:$CD$12,6,FALSE)</f>
        <v>#N/A</v>
      </c>
      <c r="AG488" s="230" t="e">
        <f>T488-HLOOKUP(V488,Minimas!$C$3:$CD$12,7,FALSE)</f>
        <v>#N/A</v>
      </c>
      <c r="AH488" s="230" t="e">
        <f>T488-HLOOKUP(V488,Minimas!$C$3:$CD$12,8,FALSE)</f>
        <v>#N/A</v>
      </c>
      <c r="AI488" s="230" t="e">
        <f>T488-HLOOKUP(V488,Minimas!$C$3:$CD$12,9,FALSE)</f>
        <v>#N/A</v>
      </c>
      <c r="AJ488" s="230" t="e">
        <f>T488-HLOOKUP(V488,Minimas!$C$3:$CD$12,10,FALSE)</f>
        <v>#N/A</v>
      </c>
      <c r="AK488" s="231" t="str">
        <f t="shared" si="99"/>
        <v xml:space="preserve"> </v>
      </c>
      <c r="AL488" s="232"/>
      <c r="AM488" s="232" t="str">
        <f t="shared" si="100"/>
        <v xml:space="preserve"> </v>
      </c>
      <c r="AN488" s="232" t="str">
        <f t="shared" si="101"/>
        <v xml:space="preserve"> </v>
      </c>
    </row>
    <row r="489" spans="28:40" x14ac:dyDescent="0.25">
      <c r="AB489" s="230" t="e">
        <f>T489-HLOOKUP(V489,Minimas!$C$3:$CD$12,2,FALSE)</f>
        <v>#N/A</v>
      </c>
      <c r="AC489" s="230" t="e">
        <f>T489-HLOOKUP(V489,Minimas!$C$3:$CD$12,3,FALSE)</f>
        <v>#N/A</v>
      </c>
      <c r="AD489" s="230" t="e">
        <f>T489-HLOOKUP(V489,Minimas!$C$3:$CD$12,4,FALSE)</f>
        <v>#N/A</v>
      </c>
      <c r="AE489" s="230" t="e">
        <f>T489-HLOOKUP(V489,Minimas!$C$3:$CD$12,5,FALSE)</f>
        <v>#N/A</v>
      </c>
      <c r="AF489" s="230" t="e">
        <f>T489-HLOOKUP(V489,Minimas!$C$3:$CD$12,6,FALSE)</f>
        <v>#N/A</v>
      </c>
      <c r="AG489" s="230" t="e">
        <f>T489-HLOOKUP(V489,Minimas!$C$3:$CD$12,7,FALSE)</f>
        <v>#N/A</v>
      </c>
      <c r="AH489" s="230" t="e">
        <f>T489-HLOOKUP(V489,Minimas!$C$3:$CD$12,8,FALSE)</f>
        <v>#N/A</v>
      </c>
      <c r="AI489" s="230" t="e">
        <f>T489-HLOOKUP(V489,Minimas!$C$3:$CD$12,9,FALSE)</f>
        <v>#N/A</v>
      </c>
      <c r="AJ489" s="230" t="e">
        <f>T489-HLOOKUP(V489,Minimas!$C$3:$CD$12,10,FALSE)</f>
        <v>#N/A</v>
      </c>
      <c r="AK489" s="231" t="str">
        <f t="shared" si="99"/>
        <v xml:space="preserve"> </v>
      </c>
      <c r="AL489" s="232"/>
      <c r="AM489" s="232" t="str">
        <f t="shared" si="100"/>
        <v xml:space="preserve"> </v>
      </c>
      <c r="AN489" s="232" t="str">
        <f t="shared" si="101"/>
        <v xml:space="preserve"> </v>
      </c>
    </row>
    <row r="490" spans="28:40" x14ac:dyDescent="0.25">
      <c r="AB490" s="230" t="e">
        <f>T490-HLOOKUP(V490,Minimas!$C$3:$CD$12,2,FALSE)</f>
        <v>#N/A</v>
      </c>
      <c r="AC490" s="230" t="e">
        <f>T490-HLOOKUP(V490,Minimas!$C$3:$CD$12,3,FALSE)</f>
        <v>#N/A</v>
      </c>
      <c r="AD490" s="230" t="e">
        <f>T490-HLOOKUP(V490,Minimas!$C$3:$CD$12,4,FALSE)</f>
        <v>#N/A</v>
      </c>
      <c r="AE490" s="230" t="e">
        <f>T490-HLOOKUP(V490,Minimas!$C$3:$CD$12,5,FALSE)</f>
        <v>#N/A</v>
      </c>
      <c r="AF490" s="230" t="e">
        <f>T490-HLOOKUP(V490,Minimas!$C$3:$CD$12,6,FALSE)</f>
        <v>#N/A</v>
      </c>
      <c r="AG490" s="230" t="e">
        <f>T490-HLOOKUP(V490,Minimas!$C$3:$CD$12,7,FALSE)</f>
        <v>#N/A</v>
      </c>
      <c r="AH490" s="230" t="e">
        <f>T490-HLOOKUP(V490,Minimas!$C$3:$CD$12,8,FALSE)</f>
        <v>#N/A</v>
      </c>
      <c r="AI490" s="230" t="e">
        <f>T490-HLOOKUP(V490,Minimas!$C$3:$CD$12,9,FALSE)</f>
        <v>#N/A</v>
      </c>
      <c r="AJ490" s="230" t="e">
        <f>T490-HLOOKUP(V490,Minimas!$C$3:$CD$12,10,FALSE)</f>
        <v>#N/A</v>
      </c>
      <c r="AK490" s="231" t="str">
        <f t="shared" si="99"/>
        <v xml:space="preserve"> </v>
      </c>
      <c r="AL490" s="232"/>
      <c r="AM490" s="232" t="str">
        <f t="shared" si="100"/>
        <v xml:space="preserve"> </v>
      </c>
      <c r="AN490" s="232" t="str">
        <f t="shared" si="101"/>
        <v xml:space="preserve"> </v>
      </c>
    </row>
    <row r="491" spans="28:40" x14ac:dyDescent="0.25">
      <c r="AB491" s="230" t="e">
        <f>T491-HLOOKUP(V491,Minimas!$C$3:$CD$12,2,FALSE)</f>
        <v>#N/A</v>
      </c>
      <c r="AC491" s="230" t="e">
        <f>T491-HLOOKUP(V491,Minimas!$C$3:$CD$12,3,FALSE)</f>
        <v>#N/A</v>
      </c>
      <c r="AD491" s="230" t="e">
        <f>T491-HLOOKUP(V491,Minimas!$C$3:$CD$12,4,FALSE)</f>
        <v>#N/A</v>
      </c>
      <c r="AE491" s="230" t="e">
        <f>T491-HLOOKUP(V491,Minimas!$C$3:$CD$12,5,FALSE)</f>
        <v>#N/A</v>
      </c>
      <c r="AF491" s="230" t="e">
        <f>T491-HLOOKUP(V491,Minimas!$C$3:$CD$12,6,FALSE)</f>
        <v>#N/A</v>
      </c>
      <c r="AG491" s="230" t="e">
        <f>T491-HLOOKUP(V491,Minimas!$C$3:$CD$12,7,FALSE)</f>
        <v>#N/A</v>
      </c>
      <c r="AH491" s="230" t="e">
        <f>T491-HLOOKUP(V491,Minimas!$C$3:$CD$12,8,FALSE)</f>
        <v>#N/A</v>
      </c>
      <c r="AI491" s="230" t="e">
        <f>T491-HLOOKUP(V491,Minimas!$C$3:$CD$12,9,FALSE)</f>
        <v>#N/A</v>
      </c>
      <c r="AJ491" s="230" t="e">
        <f>T491-HLOOKUP(V491,Minimas!$C$3:$CD$12,10,FALSE)</f>
        <v>#N/A</v>
      </c>
      <c r="AK491" s="231" t="str">
        <f t="shared" si="99"/>
        <v xml:space="preserve"> </v>
      </c>
      <c r="AL491" s="232"/>
      <c r="AM491" s="232" t="str">
        <f t="shared" si="100"/>
        <v xml:space="preserve"> </v>
      </c>
      <c r="AN491" s="232" t="str">
        <f t="shared" si="101"/>
        <v xml:space="preserve"> </v>
      </c>
    </row>
    <row r="492" spans="28:40" x14ac:dyDescent="0.25">
      <c r="AB492" s="230" t="e">
        <f>T492-HLOOKUP(V492,Minimas!$C$3:$CD$12,2,FALSE)</f>
        <v>#N/A</v>
      </c>
      <c r="AC492" s="230" t="e">
        <f>T492-HLOOKUP(V492,Minimas!$C$3:$CD$12,3,FALSE)</f>
        <v>#N/A</v>
      </c>
      <c r="AD492" s="230" t="e">
        <f>T492-HLOOKUP(V492,Minimas!$C$3:$CD$12,4,FALSE)</f>
        <v>#N/A</v>
      </c>
      <c r="AE492" s="230" t="e">
        <f>T492-HLOOKUP(V492,Minimas!$C$3:$CD$12,5,FALSE)</f>
        <v>#N/A</v>
      </c>
      <c r="AF492" s="230" t="e">
        <f>T492-HLOOKUP(V492,Minimas!$C$3:$CD$12,6,FALSE)</f>
        <v>#N/A</v>
      </c>
      <c r="AG492" s="230" t="e">
        <f>T492-HLOOKUP(V492,Minimas!$C$3:$CD$12,7,FALSE)</f>
        <v>#N/A</v>
      </c>
      <c r="AH492" s="230" t="e">
        <f>T492-HLOOKUP(V492,Minimas!$C$3:$CD$12,8,FALSE)</f>
        <v>#N/A</v>
      </c>
      <c r="AI492" s="230" t="e">
        <f>T492-HLOOKUP(V492,Minimas!$C$3:$CD$12,9,FALSE)</f>
        <v>#N/A</v>
      </c>
      <c r="AJ492" s="230" t="e">
        <f>T492-HLOOKUP(V492,Minimas!$C$3:$CD$12,10,FALSE)</f>
        <v>#N/A</v>
      </c>
      <c r="AK492" s="231" t="str">
        <f t="shared" si="99"/>
        <v xml:space="preserve"> </v>
      </c>
      <c r="AL492" s="232"/>
      <c r="AM492" s="232" t="str">
        <f t="shared" si="100"/>
        <v xml:space="preserve"> </v>
      </c>
      <c r="AN492" s="232" t="str">
        <f t="shared" si="101"/>
        <v xml:space="preserve"> </v>
      </c>
    </row>
    <row r="493" spans="28:40" x14ac:dyDescent="0.25">
      <c r="AB493" s="230" t="e">
        <f>T493-HLOOKUP(V493,Minimas!$C$3:$CD$12,2,FALSE)</f>
        <v>#N/A</v>
      </c>
      <c r="AC493" s="230" t="e">
        <f>T493-HLOOKUP(V493,Minimas!$C$3:$CD$12,3,FALSE)</f>
        <v>#N/A</v>
      </c>
      <c r="AD493" s="230" t="e">
        <f>T493-HLOOKUP(V493,Minimas!$C$3:$CD$12,4,FALSE)</f>
        <v>#N/A</v>
      </c>
      <c r="AE493" s="230" t="e">
        <f>T493-HLOOKUP(V493,Minimas!$C$3:$CD$12,5,FALSE)</f>
        <v>#N/A</v>
      </c>
      <c r="AF493" s="230" t="e">
        <f>T493-HLOOKUP(V493,Minimas!$C$3:$CD$12,6,FALSE)</f>
        <v>#N/A</v>
      </c>
      <c r="AG493" s="230" t="e">
        <f>T493-HLOOKUP(V493,Minimas!$C$3:$CD$12,7,FALSE)</f>
        <v>#N/A</v>
      </c>
      <c r="AH493" s="230" t="e">
        <f>T493-HLOOKUP(V493,Minimas!$C$3:$CD$12,8,FALSE)</f>
        <v>#N/A</v>
      </c>
      <c r="AI493" s="230" t="e">
        <f>T493-HLOOKUP(V493,Minimas!$C$3:$CD$12,9,FALSE)</f>
        <v>#N/A</v>
      </c>
      <c r="AJ493" s="230" t="e">
        <f>T493-HLOOKUP(V493,Minimas!$C$3:$CD$12,10,FALSE)</f>
        <v>#N/A</v>
      </c>
      <c r="AK493" s="231" t="str">
        <f t="shared" si="99"/>
        <v xml:space="preserve"> </v>
      </c>
      <c r="AL493" s="232"/>
      <c r="AM493" s="232" t="str">
        <f t="shared" si="100"/>
        <v xml:space="preserve"> </v>
      </c>
      <c r="AN493" s="232" t="str">
        <f t="shared" si="101"/>
        <v xml:space="preserve"> </v>
      </c>
    </row>
    <row r="494" spans="28:40" x14ac:dyDescent="0.25">
      <c r="AB494" s="230" t="e">
        <f>T494-HLOOKUP(V494,Minimas!$C$3:$CD$12,2,FALSE)</f>
        <v>#N/A</v>
      </c>
      <c r="AC494" s="230" t="e">
        <f>T494-HLOOKUP(V494,Minimas!$C$3:$CD$12,3,FALSE)</f>
        <v>#N/A</v>
      </c>
      <c r="AD494" s="230" t="e">
        <f>T494-HLOOKUP(V494,Minimas!$C$3:$CD$12,4,FALSE)</f>
        <v>#N/A</v>
      </c>
      <c r="AE494" s="230" t="e">
        <f>T494-HLOOKUP(V494,Minimas!$C$3:$CD$12,5,FALSE)</f>
        <v>#N/A</v>
      </c>
      <c r="AF494" s="230" t="e">
        <f>T494-HLOOKUP(V494,Minimas!$C$3:$CD$12,6,FALSE)</f>
        <v>#N/A</v>
      </c>
      <c r="AG494" s="230" t="e">
        <f>T494-HLOOKUP(V494,Minimas!$C$3:$CD$12,7,FALSE)</f>
        <v>#N/A</v>
      </c>
      <c r="AH494" s="230" t="e">
        <f>T494-HLOOKUP(V494,Minimas!$C$3:$CD$12,8,FALSE)</f>
        <v>#N/A</v>
      </c>
      <c r="AI494" s="230" t="e">
        <f>T494-HLOOKUP(V494,Minimas!$C$3:$CD$12,9,FALSE)</f>
        <v>#N/A</v>
      </c>
      <c r="AJ494" s="230" t="e">
        <f>T494-HLOOKUP(V494,Minimas!$C$3:$CD$12,10,FALSE)</f>
        <v>#N/A</v>
      </c>
      <c r="AK494" s="231" t="str">
        <f t="shared" si="99"/>
        <v xml:space="preserve"> </v>
      </c>
      <c r="AL494" s="232"/>
      <c r="AM494" s="232" t="str">
        <f t="shared" si="100"/>
        <v xml:space="preserve"> </v>
      </c>
      <c r="AN494" s="232" t="str">
        <f t="shared" si="101"/>
        <v xml:space="preserve"> </v>
      </c>
    </row>
    <row r="495" spans="28:40" x14ac:dyDescent="0.25">
      <c r="AB495" s="230" t="e">
        <f>T495-HLOOKUP(V495,Minimas!$C$3:$CD$12,2,FALSE)</f>
        <v>#N/A</v>
      </c>
      <c r="AC495" s="230" t="e">
        <f>T495-HLOOKUP(V495,Minimas!$C$3:$CD$12,3,FALSE)</f>
        <v>#N/A</v>
      </c>
      <c r="AD495" s="230" t="e">
        <f>T495-HLOOKUP(V495,Minimas!$C$3:$CD$12,4,FALSE)</f>
        <v>#N/A</v>
      </c>
      <c r="AE495" s="230" t="e">
        <f>T495-HLOOKUP(V495,Minimas!$C$3:$CD$12,5,FALSE)</f>
        <v>#N/A</v>
      </c>
      <c r="AF495" s="230" t="e">
        <f>T495-HLOOKUP(V495,Minimas!$C$3:$CD$12,6,FALSE)</f>
        <v>#N/A</v>
      </c>
      <c r="AG495" s="230" t="e">
        <f>T495-HLOOKUP(V495,Minimas!$C$3:$CD$12,7,FALSE)</f>
        <v>#N/A</v>
      </c>
      <c r="AH495" s="230" t="e">
        <f>T495-HLOOKUP(V495,Minimas!$C$3:$CD$12,8,FALSE)</f>
        <v>#N/A</v>
      </c>
      <c r="AI495" s="230" t="e">
        <f>T495-HLOOKUP(V495,Minimas!$C$3:$CD$12,9,FALSE)</f>
        <v>#N/A</v>
      </c>
      <c r="AJ495" s="230" t="e">
        <f>T495-HLOOKUP(V495,Minimas!$C$3:$CD$12,10,FALSE)</f>
        <v>#N/A</v>
      </c>
      <c r="AK495" s="231" t="str">
        <f t="shared" si="99"/>
        <v xml:space="preserve"> </v>
      </c>
      <c r="AL495" s="232"/>
      <c r="AM495" s="232" t="str">
        <f t="shared" si="100"/>
        <v xml:space="preserve"> </v>
      </c>
      <c r="AN495" s="232" t="str">
        <f t="shared" si="101"/>
        <v xml:space="preserve"> </v>
      </c>
    </row>
    <row r="496" spans="28:40" x14ac:dyDescent="0.25">
      <c r="AB496" s="230" t="e">
        <f>T496-HLOOKUP(V496,Minimas!$C$3:$CD$12,2,FALSE)</f>
        <v>#N/A</v>
      </c>
      <c r="AC496" s="230" t="e">
        <f>T496-HLOOKUP(V496,Minimas!$C$3:$CD$12,3,FALSE)</f>
        <v>#N/A</v>
      </c>
      <c r="AD496" s="230" t="e">
        <f>T496-HLOOKUP(V496,Minimas!$C$3:$CD$12,4,FALSE)</f>
        <v>#N/A</v>
      </c>
      <c r="AE496" s="230" t="e">
        <f>T496-HLOOKUP(V496,Minimas!$C$3:$CD$12,5,FALSE)</f>
        <v>#N/A</v>
      </c>
      <c r="AF496" s="230" t="e">
        <f>T496-HLOOKUP(V496,Minimas!$C$3:$CD$12,6,FALSE)</f>
        <v>#N/A</v>
      </c>
      <c r="AG496" s="230" t="e">
        <f>T496-HLOOKUP(V496,Minimas!$C$3:$CD$12,7,FALSE)</f>
        <v>#N/A</v>
      </c>
      <c r="AH496" s="230" t="e">
        <f>T496-HLOOKUP(V496,Minimas!$C$3:$CD$12,8,FALSE)</f>
        <v>#N/A</v>
      </c>
      <c r="AI496" s="230" t="e">
        <f>T496-HLOOKUP(V496,Minimas!$C$3:$CD$12,9,FALSE)</f>
        <v>#N/A</v>
      </c>
      <c r="AJ496" s="230" t="e">
        <f>T496-HLOOKUP(V496,Minimas!$C$3:$CD$12,10,FALSE)</f>
        <v>#N/A</v>
      </c>
      <c r="AK496" s="231" t="str">
        <f t="shared" si="99"/>
        <v xml:space="preserve"> </v>
      </c>
      <c r="AL496" s="232"/>
      <c r="AM496" s="232" t="str">
        <f t="shared" si="100"/>
        <v xml:space="preserve"> </v>
      </c>
      <c r="AN496" s="232" t="str">
        <f t="shared" si="101"/>
        <v xml:space="preserve"> </v>
      </c>
    </row>
    <row r="497" spans="28:40" x14ac:dyDescent="0.25">
      <c r="AB497" s="230" t="e">
        <f>T497-HLOOKUP(V497,Minimas!$C$3:$CD$12,2,FALSE)</f>
        <v>#N/A</v>
      </c>
      <c r="AC497" s="230" t="e">
        <f>T497-HLOOKUP(V497,Minimas!$C$3:$CD$12,3,FALSE)</f>
        <v>#N/A</v>
      </c>
      <c r="AD497" s="230" t="e">
        <f>T497-HLOOKUP(V497,Minimas!$C$3:$CD$12,4,FALSE)</f>
        <v>#N/A</v>
      </c>
      <c r="AE497" s="230" t="e">
        <f>T497-HLOOKUP(V497,Minimas!$C$3:$CD$12,5,FALSE)</f>
        <v>#N/A</v>
      </c>
      <c r="AF497" s="230" t="e">
        <f>T497-HLOOKUP(V497,Minimas!$C$3:$CD$12,6,FALSE)</f>
        <v>#N/A</v>
      </c>
      <c r="AG497" s="230" t="e">
        <f>T497-HLOOKUP(V497,Minimas!$C$3:$CD$12,7,FALSE)</f>
        <v>#N/A</v>
      </c>
      <c r="AH497" s="230" t="e">
        <f>T497-HLOOKUP(V497,Minimas!$C$3:$CD$12,8,FALSE)</f>
        <v>#N/A</v>
      </c>
      <c r="AI497" s="230" t="e">
        <f>T497-HLOOKUP(V497,Minimas!$C$3:$CD$12,9,FALSE)</f>
        <v>#N/A</v>
      </c>
      <c r="AJ497" s="230" t="e">
        <f>T497-HLOOKUP(V497,Minimas!$C$3:$CD$12,10,FALSE)</f>
        <v>#N/A</v>
      </c>
      <c r="AK497" s="231" t="str">
        <f t="shared" si="99"/>
        <v xml:space="preserve"> </v>
      </c>
      <c r="AL497" s="232"/>
      <c r="AM497" s="232" t="str">
        <f t="shared" si="100"/>
        <v xml:space="preserve"> </v>
      </c>
      <c r="AN497" s="232" t="str">
        <f t="shared" si="101"/>
        <v xml:space="preserve"> </v>
      </c>
    </row>
    <row r="498" spans="28:40" x14ac:dyDescent="0.25">
      <c r="AB498" s="230" t="e">
        <f>T498-HLOOKUP(V498,Minimas!$C$3:$CD$12,2,FALSE)</f>
        <v>#N/A</v>
      </c>
      <c r="AC498" s="230" t="e">
        <f>T498-HLOOKUP(V498,Minimas!$C$3:$CD$12,3,FALSE)</f>
        <v>#N/A</v>
      </c>
      <c r="AD498" s="230" t="e">
        <f>T498-HLOOKUP(V498,Minimas!$C$3:$CD$12,4,FALSE)</f>
        <v>#N/A</v>
      </c>
      <c r="AE498" s="230" t="e">
        <f>T498-HLOOKUP(V498,Minimas!$C$3:$CD$12,5,FALSE)</f>
        <v>#N/A</v>
      </c>
      <c r="AF498" s="230" t="e">
        <f>T498-HLOOKUP(V498,Minimas!$C$3:$CD$12,6,FALSE)</f>
        <v>#N/A</v>
      </c>
      <c r="AG498" s="230" t="e">
        <f>T498-HLOOKUP(V498,Minimas!$C$3:$CD$12,7,FALSE)</f>
        <v>#N/A</v>
      </c>
      <c r="AH498" s="230" t="e">
        <f>T498-HLOOKUP(V498,Minimas!$C$3:$CD$12,8,FALSE)</f>
        <v>#N/A</v>
      </c>
      <c r="AI498" s="230" t="e">
        <f>T498-HLOOKUP(V498,Minimas!$C$3:$CD$12,9,FALSE)</f>
        <v>#N/A</v>
      </c>
      <c r="AJ498" s="230" t="e">
        <f>T498-HLOOKUP(V498,Minimas!$C$3:$CD$12,10,FALSE)</f>
        <v>#N/A</v>
      </c>
      <c r="AK498" s="231" t="str">
        <f t="shared" si="99"/>
        <v xml:space="preserve"> </v>
      </c>
      <c r="AL498" s="232"/>
      <c r="AM498" s="232" t="str">
        <f t="shared" si="100"/>
        <v xml:space="preserve"> </v>
      </c>
      <c r="AN498" s="232" t="str">
        <f t="shared" si="101"/>
        <v xml:space="preserve"> </v>
      </c>
    </row>
    <row r="499" spans="28:40" x14ac:dyDescent="0.25">
      <c r="AB499" s="230" t="e">
        <f>T499-HLOOKUP(V499,Minimas!$C$3:$CD$12,2,FALSE)</f>
        <v>#N/A</v>
      </c>
      <c r="AC499" s="230" t="e">
        <f>T499-HLOOKUP(V499,Minimas!$C$3:$CD$12,3,FALSE)</f>
        <v>#N/A</v>
      </c>
      <c r="AD499" s="230" t="e">
        <f>T499-HLOOKUP(V499,Minimas!$C$3:$CD$12,4,FALSE)</f>
        <v>#N/A</v>
      </c>
      <c r="AE499" s="230" t="e">
        <f>T499-HLOOKUP(V499,Minimas!$C$3:$CD$12,5,FALSE)</f>
        <v>#N/A</v>
      </c>
      <c r="AF499" s="230" t="e">
        <f>T499-HLOOKUP(V499,Minimas!$C$3:$CD$12,6,FALSE)</f>
        <v>#N/A</v>
      </c>
      <c r="AG499" s="230" t="e">
        <f>T499-HLOOKUP(V499,Minimas!$C$3:$CD$12,7,FALSE)</f>
        <v>#N/A</v>
      </c>
      <c r="AH499" s="230" t="e">
        <f>T499-HLOOKUP(V499,Minimas!$C$3:$CD$12,8,FALSE)</f>
        <v>#N/A</v>
      </c>
      <c r="AI499" s="230" t="e">
        <f>T499-HLOOKUP(V499,Minimas!$C$3:$CD$12,9,FALSE)</f>
        <v>#N/A</v>
      </c>
      <c r="AJ499" s="230" t="e">
        <f>T499-HLOOKUP(V499,Minimas!$C$3:$CD$12,10,FALSE)</f>
        <v>#N/A</v>
      </c>
      <c r="AK499" s="231" t="str">
        <f t="shared" si="99"/>
        <v xml:space="preserve"> </v>
      </c>
      <c r="AL499" s="232"/>
      <c r="AM499" s="232" t="str">
        <f t="shared" si="100"/>
        <v xml:space="preserve"> </v>
      </c>
      <c r="AN499" s="232" t="str">
        <f t="shared" si="101"/>
        <v xml:space="preserve"> </v>
      </c>
    </row>
    <row r="500" spans="28:40" x14ac:dyDescent="0.25">
      <c r="AB500" s="230" t="e">
        <f>T500-HLOOKUP(V500,Minimas!$C$3:$CD$12,2,FALSE)</f>
        <v>#N/A</v>
      </c>
      <c r="AC500" s="230" t="e">
        <f>T500-HLOOKUP(V500,Minimas!$C$3:$CD$12,3,FALSE)</f>
        <v>#N/A</v>
      </c>
      <c r="AD500" s="230" t="e">
        <f>T500-HLOOKUP(V500,Minimas!$C$3:$CD$12,4,FALSE)</f>
        <v>#N/A</v>
      </c>
      <c r="AE500" s="230" t="e">
        <f>T500-HLOOKUP(V500,Minimas!$C$3:$CD$12,5,FALSE)</f>
        <v>#N/A</v>
      </c>
      <c r="AF500" s="230" t="e">
        <f>T500-HLOOKUP(V500,Minimas!$C$3:$CD$12,6,FALSE)</f>
        <v>#N/A</v>
      </c>
      <c r="AG500" s="230" t="e">
        <f>T500-HLOOKUP(V500,Minimas!$C$3:$CD$12,7,FALSE)</f>
        <v>#N/A</v>
      </c>
      <c r="AH500" s="230" t="e">
        <f>T500-HLOOKUP(V500,Minimas!$C$3:$CD$12,8,FALSE)</f>
        <v>#N/A</v>
      </c>
      <c r="AI500" s="230" t="e">
        <f>T500-HLOOKUP(V500,Minimas!$C$3:$CD$12,9,FALSE)</f>
        <v>#N/A</v>
      </c>
      <c r="AJ500" s="230" t="e">
        <f>T500-HLOOKUP(V500,Minimas!$C$3:$CD$12,10,FALSE)</f>
        <v>#N/A</v>
      </c>
      <c r="AK500" s="231" t="str">
        <f t="shared" si="99"/>
        <v xml:space="preserve"> </v>
      </c>
      <c r="AL500" s="232"/>
      <c r="AM500" s="232" t="str">
        <f t="shared" si="100"/>
        <v xml:space="preserve"> </v>
      </c>
      <c r="AN500" s="232" t="str">
        <f t="shared" si="101"/>
        <v xml:space="preserve"> </v>
      </c>
    </row>
    <row r="501" spans="28:40" x14ac:dyDescent="0.25">
      <c r="AB501" s="230" t="e">
        <f>T501-HLOOKUP(V501,Minimas!$C$3:$CD$12,2,FALSE)</f>
        <v>#N/A</v>
      </c>
      <c r="AC501" s="230" t="e">
        <f>T501-HLOOKUP(V501,Minimas!$C$3:$CD$12,3,FALSE)</f>
        <v>#N/A</v>
      </c>
      <c r="AD501" s="230" t="e">
        <f>T501-HLOOKUP(V501,Minimas!$C$3:$CD$12,4,FALSE)</f>
        <v>#N/A</v>
      </c>
      <c r="AE501" s="230" t="e">
        <f>T501-HLOOKUP(V501,Minimas!$C$3:$CD$12,5,FALSE)</f>
        <v>#N/A</v>
      </c>
      <c r="AF501" s="230" t="e">
        <f>T501-HLOOKUP(V501,Minimas!$C$3:$CD$12,6,FALSE)</f>
        <v>#N/A</v>
      </c>
      <c r="AG501" s="230" t="e">
        <f>T501-HLOOKUP(V501,Minimas!$C$3:$CD$12,7,FALSE)</f>
        <v>#N/A</v>
      </c>
      <c r="AH501" s="230" t="e">
        <f>T501-HLOOKUP(V501,Minimas!$C$3:$CD$12,8,FALSE)</f>
        <v>#N/A</v>
      </c>
      <c r="AI501" s="230" t="e">
        <f>T501-HLOOKUP(V501,Minimas!$C$3:$CD$12,9,FALSE)</f>
        <v>#N/A</v>
      </c>
      <c r="AJ501" s="230" t="e">
        <f>T501-HLOOKUP(V501,Minimas!$C$3:$CD$12,10,FALSE)</f>
        <v>#N/A</v>
      </c>
      <c r="AK501" s="231" t="str">
        <f t="shared" si="99"/>
        <v xml:space="preserve"> </v>
      </c>
      <c r="AL501" s="232"/>
      <c r="AM501" s="232" t="str">
        <f t="shared" si="100"/>
        <v xml:space="preserve"> </v>
      </c>
      <c r="AN501" s="232" t="str">
        <f t="shared" si="101"/>
        <v xml:space="preserve"> </v>
      </c>
    </row>
    <row r="502" spans="28:40" x14ac:dyDescent="0.25">
      <c r="AB502" s="230" t="e">
        <f>T502-HLOOKUP(V502,Minimas!$C$3:$CD$12,2,FALSE)</f>
        <v>#N/A</v>
      </c>
      <c r="AC502" s="230" t="e">
        <f>T502-HLOOKUP(V502,Minimas!$C$3:$CD$12,3,FALSE)</f>
        <v>#N/A</v>
      </c>
      <c r="AD502" s="230" t="e">
        <f>T502-HLOOKUP(V502,Minimas!$C$3:$CD$12,4,FALSE)</f>
        <v>#N/A</v>
      </c>
      <c r="AE502" s="230" t="e">
        <f>T502-HLOOKUP(V502,Minimas!$C$3:$CD$12,5,FALSE)</f>
        <v>#N/A</v>
      </c>
      <c r="AF502" s="230" t="e">
        <f>T502-HLOOKUP(V502,Minimas!$C$3:$CD$12,6,FALSE)</f>
        <v>#N/A</v>
      </c>
      <c r="AG502" s="230" t="e">
        <f>T502-HLOOKUP(V502,Minimas!$C$3:$CD$12,7,FALSE)</f>
        <v>#N/A</v>
      </c>
      <c r="AH502" s="230" t="e">
        <f>T502-HLOOKUP(V502,Minimas!$C$3:$CD$12,8,FALSE)</f>
        <v>#N/A</v>
      </c>
      <c r="AI502" s="230" t="e">
        <f>T502-HLOOKUP(V502,Minimas!$C$3:$CD$12,9,FALSE)</f>
        <v>#N/A</v>
      </c>
      <c r="AJ502" s="230" t="e">
        <f>T502-HLOOKUP(V502,Minimas!$C$3:$CD$12,10,FALSE)</f>
        <v>#N/A</v>
      </c>
      <c r="AK502" s="231" t="str">
        <f t="shared" si="99"/>
        <v xml:space="preserve"> </v>
      </c>
      <c r="AL502" s="232"/>
      <c r="AM502" s="232" t="str">
        <f t="shared" si="100"/>
        <v xml:space="preserve"> </v>
      </c>
      <c r="AN502" s="232" t="str">
        <f t="shared" si="101"/>
        <v xml:space="preserve"> </v>
      </c>
    </row>
    <row r="503" spans="28:40" x14ac:dyDescent="0.25">
      <c r="AB503" s="230" t="e">
        <f>T503-HLOOKUP(V503,Minimas!$C$3:$CD$12,2,FALSE)</f>
        <v>#N/A</v>
      </c>
      <c r="AC503" s="230" t="e">
        <f>T503-HLOOKUP(V503,Minimas!$C$3:$CD$12,3,FALSE)</f>
        <v>#N/A</v>
      </c>
      <c r="AD503" s="230" t="e">
        <f>T503-HLOOKUP(V503,Minimas!$C$3:$CD$12,4,FALSE)</f>
        <v>#N/A</v>
      </c>
      <c r="AE503" s="230" t="e">
        <f>T503-HLOOKUP(V503,Minimas!$C$3:$CD$12,5,FALSE)</f>
        <v>#N/A</v>
      </c>
      <c r="AF503" s="230" t="e">
        <f>T503-HLOOKUP(V503,Minimas!$C$3:$CD$12,6,FALSE)</f>
        <v>#N/A</v>
      </c>
      <c r="AG503" s="230" t="e">
        <f>T503-HLOOKUP(V503,Minimas!$C$3:$CD$12,7,FALSE)</f>
        <v>#N/A</v>
      </c>
      <c r="AH503" s="230" t="e">
        <f>T503-HLOOKUP(V503,Minimas!$C$3:$CD$12,8,FALSE)</f>
        <v>#N/A</v>
      </c>
      <c r="AI503" s="230" t="e">
        <f>T503-HLOOKUP(V503,Minimas!$C$3:$CD$12,9,FALSE)</f>
        <v>#N/A</v>
      </c>
      <c r="AJ503" s="230" t="e">
        <f>T503-HLOOKUP(V503,Minimas!$C$3:$CD$12,10,FALSE)</f>
        <v>#N/A</v>
      </c>
      <c r="AK503" s="231" t="str">
        <f t="shared" si="99"/>
        <v xml:space="preserve"> </v>
      </c>
      <c r="AL503" s="232"/>
      <c r="AM503" s="232" t="str">
        <f t="shared" si="100"/>
        <v xml:space="preserve"> </v>
      </c>
      <c r="AN503" s="232" t="str">
        <f t="shared" si="101"/>
        <v xml:space="preserve"> </v>
      </c>
    </row>
    <row r="504" spans="28:40" x14ac:dyDescent="0.25">
      <c r="AB504" s="230" t="e">
        <f>T504-HLOOKUP(V504,Minimas!$C$3:$CD$12,2,FALSE)</f>
        <v>#N/A</v>
      </c>
      <c r="AC504" s="230" t="e">
        <f>T504-HLOOKUP(V504,Minimas!$C$3:$CD$12,3,FALSE)</f>
        <v>#N/A</v>
      </c>
      <c r="AD504" s="230" t="e">
        <f>T504-HLOOKUP(V504,Minimas!$C$3:$CD$12,4,FALSE)</f>
        <v>#N/A</v>
      </c>
      <c r="AE504" s="230" t="e">
        <f>T504-HLOOKUP(V504,Minimas!$C$3:$CD$12,5,FALSE)</f>
        <v>#N/A</v>
      </c>
      <c r="AF504" s="230" t="e">
        <f>T504-HLOOKUP(V504,Minimas!$C$3:$CD$12,6,FALSE)</f>
        <v>#N/A</v>
      </c>
      <c r="AG504" s="230" t="e">
        <f>T504-HLOOKUP(V504,Minimas!$C$3:$CD$12,7,FALSE)</f>
        <v>#N/A</v>
      </c>
      <c r="AH504" s="230" t="e">
        <f>T504-HLOOKUP(V504,Minimas!$C$3:$CD$12,8,FALSE)</f>
        <v>#N/A</v>
      </c>
      <c r="AI504" s="230" t="e">
        <f>T504-HLOOKUP(V504,Minimas!$C$3:$CD$12,9,FALSE)</f>
        <v>#N/A</v>
      </c>
      <c r="AJ504" s="230" t="e">
        <f>T504-HLOOKUP(V504,Minimas!$C$3:$CD$12,10,FALSE)</f>
        <v>#N/A</v>
      </c>
      <c r="AK504" s="231" t="str">
        <f t="shared" si="99"/>
        <v xml:space="preserve"> </v>
      </c>
      <c r="AL504" s="232"/>
      <c r="AM504" s="232" t="str">
        <f t="shared" si="100"/>
        <v xml:space="preserve"> </v>
      </c>
      <c r="AN504" s="232" t="str">
        <f t="shared" si="101"/>
        <v xml:space="preserve"> </v>
      </c>
    </row>
    <row r="505" spans="28:40" x14ac:dyDescent="0.25">
      <c r="AB505" s="230" t="e">
        <f>T505-HLOOKUP(V505,Minimas!$C$3:$CD$12,2,FALSE)</f>
        <v>#N/A</v>
      </c>
      <c r="AC505" s="230" t="e">
        <f>T505-HLOOKUP(V505,Minimas!$C$3:$CD$12,3,FALSE)</f>
        <v>#N/A</v>
      </c>
      <c r="AD505" s="230" t="e">
        <f>T505-HLOOKUP(V505,Minimas!$C$3:$CD$12,4,FALSE)</f>
        <v>#N/A</v>
      </c>
      <c r="AE505" s="230" t="e">
        <f>T505-HLOOKUP(V505,Minimas!$C$3:$CD$12,5,FALSE)</f>
        <v>#N/A</v>
      </c>
      <c r="AF505" s="230" t="e">
        <f>T505-HLOOKUP(V505,Minimas!$C$3:$CD$12,6,FALSE)</f>
        <v>#N/A</v>
      </c>
      <c r="AG505" s="230" t="e">
        <f>T505-HLOOKUP(V505,Minimas!$C$3:$CD$12,7,FALSE)</f>
        <v>#N/A</v>
      </c>
      <c r="AH505" s="230" t="e">
        <f>T505-HLOOKUP(V505,Minimas!$C$3:$CD$12,8,FALSE)</f>
        <v>#N/A</v>
      </c>
      <c r="AI505" s="230" t="e">
        <f>T505-HLOOKUP(V505,Minimas!$C$3:$CD$12,9,FALSE)</f>
        <v>#N/A</v>
      </c>
      <c r="AJ505" s="230" t="e">
        <f>T505-HLOOKUP(V505,Minimas!$C$3:$CD$12,10,FALSE)</f>
        <v>#N/A</v>
      </c>
      <c r="AK505" s="231" t="str">
        <f t="shared" si="99"/>
        <v xml:space="preserve"> </v>
      </c>
      <c r="AL505" s="232"/>
      <c r="AM505" s="232" t="str">
        <f t="shared" si="100"/>
        <v xml:space="preserve"> </v>
      </c>
      <c r="AN505" s="232" t="str">
        <f t="shared" si="101"/>
        <v xml:space="preserve"> </v>
      </c>
    </row>
    <row r="506" spans="28:40" x14ac:dyDescent="0.25">
      <c r="AB506" s="230" t="e">
        <f>T506-HLOOKUP(V506,Minimas!$C$3:$CD$12,2,FALSE)</f>
        <v>#N/A</v>
      </c>
      <c r="AC506" s="230" t="e">
        <f>T506-HLOOKUP(V506,Minimas!$C$3:$CD$12,3,FALSE)</f>
        <v>#N/A</v>
      </c>
      <c r="AD506" s="230" t="e">
        <f>T506-HLOOKUP(V506,Minimas!$C$3:$CD$12,4,FALSE)</f>
        <v>#N/A</v>
      </c>
      <c r="AE506" s="230" t="e">
        <f>T506-HLOOKUP(V506,Minimas!$C$3:$CD$12,5,FALSE)</f>
        <v>#N/A</v>
      </c>
      <c r="AF506" s="230" t="e">
        <f>T506-HLOOKUP(V506,Minimas!$C$3:$CD$12,6,FALSE)</f>
        <v>#N/A</v>
      </c>
      <c r="AG506" s="230" t="e">
        <f>T506-HLOOKUP(V506,Minimas!$C$3:$CD$12,7,FALSE)</f>
        <v>#N/A</v>
      </c>
      <c r="AH506" s="230" t="e">
        <f>T506-HLOOKUP(V506,Minimas!$C$3:$CD$12,8,FALSE)</f>
        <v>#N/A</v>
      </c>
      <c r="AI506" s="230" t="e">
        <f>T506-HLOOKUP(V506,Minimas!$C$3:$CD$12,9,FALSE)</f>
        <v>#N/A</v>
      </c>
      <c r="AJ506" s="230" t="e">
        <f>T506-HLOOKUP(V506,Minimas!$C$3:$CD$12,10,FALSE)</f>
        <v>#N/A</v>
      </c>
      <c r="AK506" s="231" t="str">
        <f t="shared" si="99"/>
        <v xml:space="preserve"> </v>
      </c>
      <c r="AL506" s="232"/>
      <c r="AM506" s="232" t="str">
        <f t="shared" si="100"/>
        <v xml:space="preserve"> </v>
      </c>
      <c r="AN506" s="232" t="str">
        <f t="shared" si="101"/>
        <v xml:space="preserve"> </v>
      </c>
    </row>
    <row r="507" spans="28:40" x14ac:dyDescent="0.25">
      <c r="AB507" s="230" t="e">
        <f>T507-HLOOKUP(V507,Minimas!$C$3:$CD$12,2,FALSE)</f>
        <v>#N/A</v>
      </c>
      <c r="AC507" s="230" t="e">
        <f>T507-HLOOKUP(V507,Minimas!$C$3:$CD$12,3,FALSE)</f>
        <v>#N/A</v>
      </c>
      <c r="AD507" s="230" t="e">
        <f>T507-HLOOKUP(V507,Minimas!$C$3:$CD$12,4,FALSE)</f>
        <v>#N/A</v>
      </c>
      <c r="AE507" s="230" t="e">
        <f>T507-HLOOKUP(V507,Minimas!$C$3:$CD$12,5,FALSE)</f>
        <v>#N/A</v>
      </c>
      <c r="AF507" s="230" t="e">
        <f>T507-HLOOKUP(V507,Minimas!$C$3:$CD$12,6,FALSE)</f>
        <v>#N/A</v>
      </c>
      <c r="AG507" s="230" t="e">
        <f>T507-HLOOKUP(V507,Minimas!$C$3:$CD$12,7,FALSE)</f>
        <v>#N/A</v>
      </c>
      <c r="AH507" s="230" t="e">
        <f>T507-HLOOKUP(V507,Minimas!$C$3:$CD$12,8,FALSE)</f>
        <v>#N/A</v>
      </c>
      <c r="AI507" s="230" t="e">
        <f>T507-HLOOKUP(V507,Minimas!$C$3:$CD$12,9,FALSE)</f>
        <v>#N/A</v>
      </c>
      <c r="AJ507" s="230" t="e">
        <f>T507-HLOOKUP(V507,Minimas!$C$3:$CD$12,10,FALSE)</f>
        <v>#N/A</v>
      </c>
      <c r="AK507" s="231" t="str">
        <f t="shared" si="99"/>
        <v xml:space="preserve"> </v>
      </c>
      <c r="AL507" s="232"/>
      <c r="AM507" s="232" t="str">
        <f t="shared" si="100"/>
        <v xml:space="preserve"> </v>
      </c>
      <c r="AN507" s="232" t="str">
        <f t="shared" si="101"/>
        <v xml:space="preserve"> </v>
      </c>
    </row>
    <row r="508" spans="28:40" x14ac:dyDescent="0.25">
      <c r="AB508" s="230" t="e">
        <f>T508-HLOOKUP(V508,Minimas!$C$3:$CD$12,2,FALSE)</f>
        <v>#N/A</v>
      </c>
      <c r="AC508" s="230" t="e">
        <f>T508-HLOOKUP(V508,Minimas!$C$3:$CD$12,3,FALSE)</f>
        <v>#N/A</v>
      </c>
      <c r="AD508" s="230" t="e">
        <f>T508-HLOOKUP(V508,Minimas!$C$3:$CD$12,4,FALSE)</f>
        <v>#N/A</v>
      </c>
      <c r="AE508" s="230" t="e">
        <f>T508-HLOOKUP(V508,Minimas!$C$3:$CD$12,5,FALSE)</f>
        <v>#N/A</v>
      </c>
      <c r="AF508" s="230" t="e">
        <f>T508-HLOOKUP(V508,Minimas!$C$3:$CD$12,6,FALSE)</f>
        <v>#N/A</v>
      </c>
      <c r="AG508" s="230" t="e">
        <f>T508-HLOOKUP(V508,Minimas!$C$3:$CD$12,7,FALSE)</f>
        <v>#N/A</v>
      </c>
      <c r="AH508" s="230" t="e">
        <f>T508-HLOOKUP(V508,Minimas!$C$3:$CD$12,8,FALSE)</f>
        <v>#N/A</v>
      </c>
      <c r="AI508" s="230" t="e">
        <f>T508-HLOOKUP(V508,Minimas!$C$3:$CD$12,9,FALSE)</f>
        <v>#N/A</v>
      </c>
      <c r="AJ508" s="230" t="e">
        <f>T508-HLOOKUP(V508,Minimas!$C$3:$CD$12,10,FALSE)</f>
        <v>#N/A</v>
      </c>
      <c r="AK508" s="231" t="str">
        <f t="shared" si="99"/>
        <v xml:space="preserve"> </v>
      </c>
      <c r="AL508" s="232"/>
      <c r="AM508" s="232" t="str">
        <f t="shared" si="100"/>
        <v xml:space="preserve"> </v>
      </c>
      <c r="AN508" s="232" t="str">
        <f t="shared" si="101"/>
        <v xml:space="preserve"> </v>
      </c>
    </row>
    <row r="509" spans="28:40" x14ac:dyDescent="0.25">
      <c r="AB509" s="230" t="e">
        <f>T509-HLOOKUP(V509,Minimas!$C$3:$CD$12,2,FALSE)</f>
        <v>#N/A</v>
      </c>
      <c r="AC509" s="230" t="e">
        <f>T509-HLOOKUP(V509,Minimas!$C$3:$CD$12,3,FALSE)</f>
        <v>#N/A</v>
      </c>
      <c r="AD509" s="230" t="e">
        <f>T509-HLOOKUP(V509,Minimas!$C$3:$CD$12,4,FALSE)</f>
        <v>#N/A</v>
      </c>
      <c r="AE509" s="230" t="e">
        <f>T509-HLOOKUP(V509,Minimas!$C$3:$CD$12,5,FALSE)</f>
        <v>#N/A</v>
      </c>
      <c r="AF509" s="230" t="e">
        <f>T509-HLOOKUP(V509,Minimas!$C$3:$CD$12,6,FALSE)</f>
        <v>#N/A</v>
      </c>
      <c r="AG509" s="230" t="e">
        <f>T509-HLOOKUP(V509,Minimas!$C$3:$CD$12,7,FALSE)</f>
        <v>#N/A</v>
      </c>
      <c r="AH509" s="230" t="e">
        <f>T509-HLOOKUP(V509,Minimas!$C$3:$CD$12,8,FALSE)</f>
        <v>#N/A</v>
      </c>
      <c r="AI509" s="230" t="e">
        <f>T509-HLOOKUP(V509,Minimas!$C$3:$CD$12,9,FALSE)</f>
        <v>#N/A</v>
      </c>
      <c r="AJ509" s="230" t="e">
        <f>T509-HLOOKUP(V509,Minimas!$C$3:$CD$12,10,FALSE)</f>
        <v>#N/A</v>
      </c>
      <c r="AK509" s="231" t="str">
        <f t="shared" si="99"/>
        <v xml:space="preserve"> </v>
      </c>
      <c r="AL509" s="232"/>
      <c r="AM509" s="232" t="str">
        <f t="shared" si="100"/>
        <v xml:space="preserve"> </v>
      </c>
      <c r="AN509" s="232" t="str">
        <f t="shared" si="101"/>
        <v xml:space="preserve"> </v>
      </c>
    </row>
    <row r="510" spans="28:40" x14ac:dyDescent="0.25">
      <c r="AB510" s="230" t="e">
        <f>T510-HLOOKUP(V510,Minimas!$C$3:$CD$12,2,FALSE)</f>
        <v>#N/A</v>
      </c>
      <c r="AC510" s="230" t="e">
        <f>T510-HLOOKUP(V510,Minimas!$C$3:$CD$12,3,FALSE)</f>
        <v>#N/A</v>
      </c>
      <c r="AD510" s="230" t="e">
        <f>T510-HLOOKUP(V510,Minimas!$C$3:$CD$12,4,FALSE)</f>
        <v>#N/A</v>
      </c>
      <c r="AE510" s="230" t="e">
        <f>T510-HLOOKUP(V510,Minimas!$C$3:$CD$12,5,FALSE)</f>
        <v>#N/A</v>
      </c>
      <c r="AF510" s="230" t="e">
        <f>T510-HLOOKUP(V510,Minimas!$C$3:$CD$12,6,FALSE)</f>
        <v>#N/A</v>
      </c>
      <c r="AG510" s="230" t="e">
        <f>T510-HLOOKUP(V510,Minimas!$C$3:$CD$12,7,FALSE)</f>
        <v>#N/A</v>
      </c>
      <c r="AH510" s="230" t="e">
        <f>T510-HLOOKUP(V510,Minimas!$C$3:$CD$12,8,FALSE)</f>
        <v>#N/A</v>
      </c>
      <c r="AI510" s="230" t="e">
        <f>T510-HLOOKUP(V510,Minimas!$C$3:$CD$12,9,FALSE)</f>
        <v>#N/A</v>
      </c>
      <c r="AJ510" s="230" t="e">
        <f>T510-HLOOKUP(V510,Minimas!$C$3:$CD$12,10,FALSE)</f>
        <v>#N/A</v>
      </c>
      <c r="AK510" s="231" t="str">
        <f t="shared" si="99"/>
        <v xml:space="preserve"> </v>
      </c>
      <c r="AL510" s="232"/>
      <c r="AM510" s="232" t="str">
        <f t="shared" si="100"/>
        <v xml:space="preserve"> </v>
      </c>
      <c r="AN510" s="232" t="str">
        <f t="shared" si="101"/>
        <v xml:space="preserve"> </v>
      </c>
    </row>
    <row r="511" spans="28:40" x14ac:dyDescent="0.25">
      <c r="AB511" s="230" t="e">
        <f>T511-HLOOKUP(V511,Minimas!$C$3:$CD$12,2,FALSE)</f>
        <v>#N/A</v>
      </c>
      <c r="AC511" s="230" t="e">
        <f>T511-HLOOKUP(V511,Minimas!$C$3:$CD$12,3,FALSE)</f>
        <v>#N/A</v>
      </c>
      <c r="AD511" s="230" t="e">
        <f>T511-HLOOKUP(V511,Minimas!$C$3:$CD$12,4,FALSE)</f>
        <v>#N/A</v>
      </c>
      <c r="AE511" s="230" t="e">
        <f>T511-HLOOKUP(V511,Minimas!$C$3:$CD$12,5,FALSE)</f>
        <v>#N/A</v>
      </c>
      <c r="AF511" s="230" t="e">
        <f>T511-HLOOKUP(V511,Minimas!$C$3:$CD$12,6,FALSE)</f>
        <v>#N/A</v>
      </c>
      <c r="AG511" s="230" t="e">
        <f>T511-HLOOKUP(V511,Minimas!$C$3:$CD$12,7,FALSE)</f>
        <v>#N/A</v>
      </c>
      <c r="AH511" s="230" t="e">
        <f>T511-HLOOKUP(V511,Minimas!$C$3:$CD$12,8,FALSE)</f>
        <v>#N/A</v>
      </c>
      <c r="AI511" s="230" t="e">
        <f>T511-HLOOKUP(V511,Minimas!$C$3:$CD$12,9,FALSE)</f>
        <v>#N/A</v>
      </c>
      <c r="AJ511" s="230" t="e">
        <f>T511-HLOOKUP(V511,Minimas!$C$3:$CD$12,10,FALSE)</f>
        <v>#N/A</v>
      </c>
      <c r="AK511" s="231" t="str">
        <f t="shared" si="99"/>
        <v xml:space="preserve"> </v>
      </c>
      <c r="AL511" s="232"/>
      <c r="AM511" s="232" t="str">
        <f t="shared" si="100"/>
        <v xml:space="preserve"> </v>
      </c>
      <c r="AN511" s="232" t="str">
        <f t="shared" si="101"/>
        <v xml:space="preserve"> </v>
      </c>
    </row>
    <row r="512" spans="28:40" x14ac:dyDescent="0.25">
      <c r="AB512" s="230" t="e">
        <f>T512-HLOOKUP(V512,Minimas!$C$3:$CD$12,2,FALSE)</f>
        <v>#N/A</v>
      </c>
      <c r="AC512" s="230" t="e">
        <f>T512-HLOOKUP(V512,Minimas!$C$3:$CD$12,3,FALSE)</f>
        <v>#N/A</v>
      </c>
      <c r="AD512" s="230" t="e">
        <f>T512-HLOOKUP(V512,Minimas!$C$3:$CD$12,4,FALSE)</f>
        <v>#N/A</v>
      </c>
      <c r="AE512" s="230" t="e">
        <f>T512-HLOOKUP(V512,Minimas!$C$3:$CD$12,5,FALSE)</f>
        <v>#N/A</v>
      </c>
      <c r="AF512" s="230" t="e">
        <f>T512-HLOOKUP(V512,Minimas!$C$3:$CD$12,6,FALSE)</f>
        <v>#N/A</v>
      </c>
      <c r="AG512" s="230" t="e">
        <f>T512-HLOOKUP(V512,Minimas!$C$3:$CD$12,7,FALSE)</f>
        <v>#N/A</v>
      </c>
      <c r="AH512" s="230" t="e">
        <f>T512-HLOOKUP(V512,Minimas!$C$3:$CD$12,8,FALSE)</f>
        <v>#N/A</v>
      </c>
      <c r="AI512" s="230" t="e">
        <f>T512-HLOOKUP(V512,Minimas!$C$3:$CD$12,9,FALSE)</f>
        <v>#N/A</v>
      </c>
      <c r="AJ512" s="230" t="e">
        <f>T512-HLOOKUP(V512,Minimas!$C$3:$CD$12,10,FALSE)</f>
        <v>#N/A</v>
      </c>
      <c r="AK512" s="231" t="str">
        <f t="shared" si="99"/>
        <v xml:space="preserve"> </v>
      </c>
      <c r="AL512" s="232"/>
      <c r="AM512" s="232" t="str">
        <f t="shared" si="100"/>
        <v xml:space="preserve"> </v>
      </c>
      <c r="AN512" s="232" t="str">
        <f t="shared" si="101"/>
        <v xml:space="preserve"> </v>
      </c>
    </row>
    <row r="513" spans="28:40" x14ac:dyDescent="0.25">
      <c r="AB513" s="230" t="e">
        <f>T513-HLOOKUP(V513,Minimas!$C$3:$CD$12,2,FALSE)</f>
        <v>#N/A</v>
      </c>
      <c r="AC513" s="230" t="e">
        <f>T513-HLOOKUP(V513,Minimas!$C$3:$CD$12,3,FALSE)</f>
        <v>#N/A</v>
      </c>
      <c r="AD513" s="230" t="e">
        <f>T513-HLOOKUP(V513,Minimas!$C$3:$CD$12,4,FALSE)</f>
        <v>#N/A</v>
      </c>
      <c r="AE513" s="230" t="e">
        <f>T513-HLOOKUP(V513,Minimas!$C$3:$CD$12,5,FALSE)</f>
        <v>#N/A</v>
      </c>
      <c r="AF513" s="230" t="e">
        <f>T513-HLOOKUP(V513,Minimas!$C$3:$CD$12,6,FALSE)</f>
        <v>#N/A</v>
      </c>
      <c r="AG513" s="230" t="e">
        <f>T513-HLOOKUP(V513,Minimas!$C$3:$CD$12,7,FALSE)</f>
        <v>#N/A</v>
      </c>
      <c r="AH513" s="230" t="e">
        <f>T513-HLOOKUP(V513,Minimas!$C$3:$CD$12,8,FALSE)</f>
        <v>#N/A</v>
      </c>
      <c r="AI513" s="230" t="e">
        <f>T513-HLOOKUP(V513,Minimas!$C$3:$CD$12,9,FALSE)</f>
        <v>#N/A</v>
      </c>
      <c r="AJ513" s="230" t="e">
        <f>T513-HLOOKUP(V513,Minimas!$C$3:$CD$12,10,FALSE)</f>
        <v>#N/A</v>
      </c>
      <c r="AK513" s="231" t="str">
        <f t="shared" si="99"/>
        <v xml:space="preserve"> </v>
      </c>
      <c r="AL513" s="232"/>
      <c r="AM513" s="232" t="str">
        <f t="shared" si="100"/>
        <v xml:space="preserve"> </v>
      </c>
      <c r="AN513" s="232" t="str">
        <f t="shared" si="101"/>
        <v xml:space="preserve"> </v>
      </c>
    </row>
    <row r="514" spans="28:40" x14ac:dyDescent="0.25">
      <c r="AB514" s="230" t="e">
        <f>T514-HLOOKUP(V514,Minimas!$C$3:$CD$12,2,FALSE)</f>
        <v>#N/A</v>
      </c>
      <c r="AC514" s="230" t="e">
        <f>T514-HLOOKUP(V514,Minimas!$C$3:$CD$12,3,FALSE)</f>
        <v>#N/A</v>
      </c>
      <c r="AD514" s="230" t="e">
        <f>T514-HLOOKUP(V514,Minimas!$C$3:$CD$12,4,FALSE)</f>
        <v>#N/A</v>
      </c>
      <c r="AE514" s="230" t="e">
        <f>T514-HLOOKUP(V514,Minimas!$C$3:$CD$12,5,FALSE)</f>
        <v>#N/A</v>
      </c>
      <c r="AF514" s="230" t="e">
        <f>T514-HLOOKUP(V514,Minimas!$C$3:$CD$12,6,FALSE)</f>
        <v>#N/A</v>
      </c>
      <c r="AG514" s="230" t="e">
        <f>T514-HLOOKUP(V514,Minimas!$C$3:$CD$12,7,FALSE)</f>
        <v>#N/A</v>
      </c>
      <c r="AH514" s="230" t="e">
        <f>T514-HLOOKUP(V514,Minimas!$C$3:$CD$12,8,FALSE)</f>
        <v>#N/A</v>
      </c>
      <c r="AI514" s="230" t="e">
        <f>T514-HLOOKUP(V514,Minimas!$C$3:$CD$12,9,FALSE)</f>
        <v>#N/A</v>
      </c>
      <c r="AJ514" s="230" t="e">
        <f>T514-HLOOKUP(V514,Minimas!$C$3:$CD$12,10,FALSE)</f>
        <v>#N/A</v>
      </c>
      <c r="AK514" s="231" t="str">
        <f t="shared" si="99"/>
        <v xml:space="preserve"> </v>
      </c>
      <c r="AL514" s="232"/>
      <c r="AM514" s="232" t="str">
        <f t="shared" si="100"/>
        <v xml:space="preserve"> </v>
      </c>
      <c r="AN514" s="232" t="str">
        <f t="shared" si="101"/>
        <v xml:space="preserve"> </v>
      </c>
    </row>
    <row r="515" spans="28:40" x14ac:dyDescent="0.25">
      <c r="AB515" s="230" t="e">
        <f>T515-HLOOKUP(V515,Minimas!$C$3:$CD$12,2,FALSE)</f>
        <v>#N/A</v>
      </c>
      <c r="AC515" s="230" t="e">
        <f>T515-HLOOKUP(V515,Minimas!$C$3:$CD$12,3,FALSE)</f>
        <v>#N/A</v>
      </c>
      <c r="AD515" s="230" t="e">
        <f>T515-HLOOKUP(V515,Minimas!$C$3:$CD$12,4,FALSE)</f>
        <v>#N/A</v>
      </c>
      <c r="AE515" s="230" t="e">
        <f>T515-HLOOKUP(V515,Minimas!$C$3:$CD$12,5,FALSE)</f>
        <v>#N/A</v>
      </c>
      <c r="AF515" s="230" t="e">
        <f>T515-HLOOKUP(V515,Minimas!$C$3:$CD$12,6,FALSE)</f>
        <v>#N/A</v>
      </c>
      <c r="AG515" s="230" t="e">
        <f>T515-HLOOKUP(V515,Minimas!$C$3:$CD$12,7,FALSE)</f>
        <v>#N/A</v>
      </c>
      <c r="AH515" s="230" t="e">
        <f>T515-HLOOKUP(V515,Minimas!$C$3:$CD$12,8,FALSE)</f>
        <v>#N/A</v>
      </c>
      <c r="AI515" s="230" t="e">
        <f>T515-HLOOKUP(V515,Minimas!$C$3:$CD$12,9,FALSE)</f>
        <v>#N/A</v>
      </c>
      <c r="AJ515" s="230" t="e">
        <f>T515-HLOOKUP(V515,Minimas!$C$3:$CD$12,10,FALSE)</f>
        <v>#N/A</v>
      </c>
      <c r="AK515" s="231" t="str">
        <f t="shared" si="99"/>
        <v xml:space="preserve"> </v>
      </c>
      <c r="AL515" s="232"/>
      <c r="AM515" s="232" t="str">
        <f t="shared" si="100"/>
        <v xml:space="preserve"> </v>
      </c>
      <c r="AN515" s="232" t="str">
        <f t="shared" si="101"/>
        <v xml:space="preserve"> </v>
      </c>
    </row>
    <row r="516" spans="28:40" x14ac:dyDescent="0.25">
      <c r="AB516" s="230" t="e">
        <f>T516-HLOOKUP(V516,Minimas!$C$3:$CD$12,2,FALSE)</f>
        <v>#N/A</v>
      </c>
      <c r="AC516" s="230" t="e">
        <f>T516-HLOOKUP(V516,Minimas!$C$3:$CD$12,3,FALSE)</f>
        <v>#N/A</v>
      </c>
      <c r="AD516" s="230" t="e">
        <f>T516-HLOOKUP(V516,Minimas!$C$3:$CD$12,4,FALSE)</f>
        <v>#N/A</v>
      </c>
      <c r="AE516" s="230" t="e">
        <f>T516-HLOOKUP(V516,Minimas!$C$3:$CD$12,5,FALSE)</f>
        <v>#N/A</v>
      </c>
      <c r="AF516" s="230" t="e">
        <f>T516-HLOOKUP(V516,Minimas!$C$3:$CD$12,6,FALSE)</f>
        <v>#N/A</v>
      </c>
      <c r="AG516" s="230" t="e">
        <f>T516-HLOOKUP(V516,Minimas!$C$3:$CD$12,7,FALSE)</f>
        <v>#N/A</v>
      </c>
      <c r="AH516" s="230" t="e">
        <f>T516-HLOOKUP(V516,Minimas!$C$3:$CD$12,8,FALSE)</f>
        <v>#N/A</v>
      </c>
      <c r="AI516" s="230" t="e">
        <f>T516-HLOOKUP(V516,Minimas!$C$3:$CD$12,9,FALSE)</f>
        <v>#N/A</v>
      </c>
      <c r="AJ516" s="230" t="e">
        <f>T516-HLOOKUP(V516,Minimas!$C$3:$CD$12,10,FALSE)</f>
        <v>#N/A</v>
      </c>
      <c r="AK516" s="231" t="str">
        <f t="shared" ref="AK516:AK579" si="102">IF(E516=0," ",IF(AJ516&gt;=0,$AJ$5,IF(AI516&gt;=0,$AI$5,IF(AH516&gt;=0,$AH$5,IF(AG516&gt;=0,$AG$5,IF(AF516&gt;=0,$AF$5,IF(AE516&gt;=0,$AE$5,IF(AD516&gt;=0,$AD$5,IF(AC516&gt;=0,$AC$5,$AB$5)))))))))</f>
        <v xml:space="preserve"> </v>
      </c>
      <c r="AL516" s="232"/>
      <c r="AM516" s="232" t="str">
        <f t="shared" ref="AM516:AM579" si="103">IF(AK516="","",AK516)</f>
        <v xml:space="preserve"> </v>
      </c>
      <c r="AN516" s="232" t="str">
        <f t="shared" ref="AN516:AN579" si="104">IF(E516=0," ",IF(AJ516&gt;=0,AJ516,IF(AI516&gt;=0,AI516,IF(AH516&gt;=0,AH516,IF(AG516&gt;=0,AG516,IF(AF516&gt;=0,AF516,IF(AE516&gt;=0,AE516,IF(AD516&gt;=0,AD516,IF(AC516&gt;=0,AC516,AB516)))))))))</f>
        <v xml:space="preserve"> </v>
      </c>
    </row>
    <row r="517" spans="28:40" x14ac:dyDescent="0.25">
      <c r="AB517" s="230" t="e">
        <f>T517-HLOOKUP(V517,Minimas!$C$3:$CD$12,2,FALSE)</f>
        <v>#N/A</v>
      </c>
      <c r="AC517" s="230" t="e">
        <f>T517-HLOOKUP(V517,Minimas!$C$3:$CD$12,3,FALSE)</f>
        <v>#N/A</v>
      </c>
      <c r="AD517" s="230" t="e">
        <f>T517-HLOOKUP(V517,Minimas!$C$3:$CD$12,4,FALSE)</f>
        <v>#N/A</v>
      </c>
      <c r="AE517" s="230" t="e">
        <f>T517-HLOOKUP(V517,Minimas!$C$3:$CD$12,5,FALSE)</f>
        <v>#N/A</v>
      </c>
      <c r="AF517" s="230" t="e">
        <f>T517-HLOOKUP(V517,Minimas!$C$3:$CD$12,6,FALSE)</f>
        <v>#N/A</v>
      </c>
      <c r="AG517" s="230" t="e">
        <f>T517-HLOOKUP(V517,Minimas!$C$3:$CD$12,7,FALSE)</f>
        <v>#N/A</v>
      </c>
      <c r="AH517" s="230" t="e">
        <f>T517-HLOOKUP(V517,Minimas!$C$3:$CD$12,8,FALSE)</f>
        <v>#N/A</v>
      </c>
      <c r="AI517" s="230" t="e">
        <f>T517-HLOOKUP(V517,Minimas!$C$3:$CD$12,9,FALSE)</f>
        <v>#N/A</v>
      </c>
      <c r="AJ517" s="230" t="e">
        <f>T517-HLOOKUP(V517,Minimas!$C$3:$CD$12,10,FALSE)</f>
        <v>#N/A</v>
      </c>
      <c r="AK517" s="231" t="str">
        <f t="shared" si="102"/>
        <v xml:space="preserve"> </v>
      </c>
      <c r="AL517" s="232"/>
      <c r="AM517" s="232" t="str">
        <f t="shared" si="103"/>
        <v xml:space="preserve"> </v>
      </c>
      <c r="AN517" s="232" t="str">
        <f t="shared" si="104"/>
        <v xml:space="preserve"> </v>
      </c>
    </row>
    <row r="518" spans="28:40" x14ac:dyDescent="0.25">
      <c r="AB518" s="230" t="e">
        <f>T518-HLOOKUP(V518,Minimas!$C$3:$CD$12,2,FALSE)</f>
        <v>#N/A</v>
      </c>
      <c r="AC518" s="230" t="e">
        <f>T518-HLOOKUP(V518,Minimas!$C$3:$CD$12,3,FALSE)</f>
        <v>#N/A</v>
      </c>
      <c r="AD518" s="230" t="e">
        <f>T518-HLOOKUP(V518,Minimas!$C$3:$CD$12,4,FALSE)</f>
        <v>#N/A</v>
      </c>
      <c r="AE518" s="230" t="e">
        <f>T518-HLOOKUP(V518,Minimas!$C$3:$CD$12,5,FALSE)</f>
        <v>#N/A</v>
      </c>
      <c r="AF518" s="230" t="e">
        <f>T518-HLOOKUP(V518,Minimas!$C$3:$CD$12,6,FALSE)</f>
        <v>#N/A</v>
      </c>
      <c r="AG518" s="230" t="e">
        <f>T518-HLOOKUP(V518,Minimas!$C$3:$CD$12,7,FALSE)</f>
        <v>#N/A</v>
      </c>
      <c r="AH518" s="230" t="e">
        <f>T518-HLOOKUP(V518,Minimas!$C$3:$CD$12,8,FALSE)</f>
        <v>#N/A</v>
      </c>
      <c r="AI518" s="230" t="e">
        <f>T518-HLOOKUP(V518,Minimas!$C$3:$CD$12,9,FALSE)</f>
        <v>#N/A</v>
      </c>
      <c r="AJ518" s="230" t="e">
        <f>T518-HLOOKUP(V518,Minimas!$C$3:$CD$12,10,FALSE)</f>
        <v>#N/A</v>
      </c>
      <c r="AK518" s="231" t="str">
        <f t="shared" si="102"/>
        <v xml:space="preserve"> </v>
      </c>
      <c r="AL518" s="232"/>
      <c r="AM518" s="232" t="str">
        <f t="shared" si="103"/>
        <v xml:space="preserve"> </v>
      </c>
      <c r="AN518" s="232" t="str">
        <f t="shared" si="104"/>
        <v xml:space="preserve"> </v>
      </c>
    </row>
    <row r="519" spans="28:40" x14ac:dyDescent="0.25">
      <c r="AB519" s="230" t="e">
        <f>T519-HLOOKUP(V519,Minimas!$C$3:$CD$12,2,FALSE)</f>
        <v>#N/A</v>
      </c>
      <c r="AC519" s="230" t="e">
        <f>T519-HLOOKUP(V519,Minimas!$C$3:$CD$12,3,FALSE)</f>
        <v>#N/A</v>
      </c>
      <c r="AD519" s="230" t="e">
        <f>T519-HLOOKUP(V519,Minimas!$C$3:$CD$12,4,FALSE)</f>
        <v>#N/A</v>
      </c>
      <c r="AE519" s="230" t="e">
        <f>T519-HLOOKUP(V519,Minimas!$C$3:$CD$12,5,FALSE)</f>
        <v>#N/A</v>
      </c>
      <c r="AF519" s="230" t="e">
        <f>T519-HLOOKUP(V519,Minimas!$C$3:$CD$12,6,FALSE)</f>
        <v>#N/A</v>
      </c>
      <c r="AG519" s="230" t="e">
        <f>T519-HLOOKUP(V519,Minimas!$C$3:$CD$12,7,FALSE)</f>
        <v>#N/A</v>
      </c>
      <c r="AH519" s="230" t="e">
        <f>T519-HLOOKUP(V519,Minimas!$C$3:$CD$12,8,FALSE)</f>
        <v>#N/A</v>
      </c>
      <c r="AI519" s="230" t="e">
        <f>T519-HLOOKUP(V519,Minimas!$C$3:$CD$12,9,FALSE)</f>
        <v>#N/A</v>
      </c>
      <c r="AJ519" s="230" t="e">
        <f>T519-HLOOKUP(V519,Minimas!$C$3:$CD$12,10,FALSE)</f>
        <v>#N/A</v>
      </c>
      <c r="AK519" s="231" t="str">
        <f t="shared" si="102"/>
        <v xml:space="preserve"> </v>
      </c>
      <c r="AL519" s="232"/>
      <c r="AM519" s="232" t="str">
        <f t="shared" si="103"/>
        <v xml:space="preserve"> </v>
      </c>
      <c r="AN519" s="232" t="str">
        <f t="shared" si="104"/>
        <v xml:space="preserve"> </v>
      </c>
    </row>
    <row r="520" spans="28:40" x14ac:dyDescent="0.25">
      <c r="AB520" s="230" t="e">
        <f>T520-HLOOKUP(V520,Minimas!$C$3:$CD$12,2,FALSE)</f>
        <v>#N/A</v>
      </c>
      <c r="AC520" s="230" t="e">
        <f>T520-HLOOKUP(V520,Minimas!$C$3:$CD$12,3,FALSE)</f>
        <v>#N/A</v>
      </c>
      <c r="AD520" s="230" t="e">
        <f>T520-HLOOKUP(V520,Minimas!$C$3:$CD$12,4,FALSE)</f>
        <v>#N/A</v>
      </c>
      <c r="AE520" s="230" t="e">
        <f>T520-HLOOKUP(V520,Minimas!$C$3:$CD$12,5,FALSE)</f>
        <v>#N/A</v>
      </c>
      <c r="AF520" s="230" t="e">
        <f>T520-HLOOKUP(V520,Minimas!$C$3:$CD$12,6,FALSE)</f>
        <v>#N/A</v>
      </c>
      <c r="AG520" s="230" t="e">
        <f>T520-HLOOKUP(V520,Minimas!$C$3:$CD$12,7,FALSE)</f>
        <v>#N/A</v>
      </c>
      <c r="AH520" s="230" t="e">
        <f>T520-HLOOKUP(V520,Minimas!$C$3:$CD$12,8,FALSE)</f>
        <v>#N/A</v>
      </c>
      <c r="AI520" s="230" t="e">
        <f>T520-HLOOKUP(V520,Minimas!$C$3:$CD$12,9,FALSE)</f>
        <v>#N/A</v>
      </c>
      <c r="AJ520" s="230" t="e">
        <f>T520-HLOOKUP(V520,Minimas!$C$3:$CD$12,10,FALSE)</f>
        <v>#N/A</v>
      </c>
      <c r="AK520" s="231" t="str">
        <f t="shared" si="102"/>
        <v xml:space="preserve"> </v>
      </c>
      <c r="AL520" s="232"/>
      <c r="AM520" s="232" t="str">
        <f t="shared" si="103"/>
        <v xml:space="preserve"> </v>
      </c>
      <c r="AN520" s="232" t="str">
        <f t="shared" si="104"/>
        <v xml:space="preserve"> </v>
      </c>
    </row>
    <row r="521" spans="28:40" x14ac:dyDescent="0.25">
      <c r="AB521" s="230" t="e">
        <f>T521-HLOOKUP(V521,Minimas!$C$3:$CD$12,2,FALSE)</f>
        <v>#N/A</v>
      </c>
      <c r="AC521" s="230" t="e">
        <f>T521-HLOOKUP(V521,Minimas!$C$3:$CD$12,3,FALSE)</f>
        <v>#N/A</v>
      </c>
      <c r="AD521" s="230" t="e">
        <f>T521-HLOOKUP(V521,Minimas!$C$3:$CD$12,4,FALSE)</f>
        <v>#N/A</v>
      </c>
      <c r="AE521" s="230" t="e">
        <f>T521-HLOOKUP(V521,Minimas!$C$3:$CD$12,5,FALSE)</f>
        <v>#N/A</v>
      </c>
      <c r="AF521" s="230" t="e">
        <f>T521-HLOOKUP(V521,Minimas!$C$3:$CD$12,6,FALSE)</f>
        <v>#N/A</v>
      </c>
      <c r="AG521" s="230" t="e">
        <f>T521-HLOOKUP(V521,Minimas!$C$3:$CD$12,7,FALSE)</f>
        <v>#N/A</v>
      </c>
      <c r="AH521" s="230" t="e">
        <f>T521-HLOOKUP(V521,Minimas!$C$3:$CD$12,8,FALSE)</f>
        <v>#N/A</v>
      </c>
      <c r="AI521" s="230" t="e">
        <f>T521-HLOOKUP(V521,Minimas!$C$3:$CD$12,9,FALSE)</f>
        <v>#N/A</v>
      </c>
      <c r="AJ521" s="230" t="e">
        <f>T521-HLOOKUP(V521,Minimas!$C$3:$CD$12,10,FALSE)</f>
        <v>#N/A</v>
      </c>
      <c r="AK521" s="231" t="str">
        <f t="shared" si="102"/>
        <v xml:space="preserve"> </v>
      </c>
      <c r="AL521" s="232"/>
      <c r="AM521" s="232" t="str">
        <f t="shared" si="103"/>
        <v xml:space="preserve"> </v>
      </c>
      <c r="AN521" s="232" t="str">
        <f t="shared" si="104"/>
        <v xml:space="preserve"> </v>
      </c>
    </row>
    <row r="522" spans="28:40" x14ac:dyDescent="0.25">
      <c r="AB522" s="230" t="e">
        <f>T522-HLOOKUP(V522,Minimas!$C$3:$CD$12,2,FALSE)</f>
        <v>#N/A</v>
      </c>
      <c r="AC522" s="230" t="e">
        <f>T522-HLOOKUP(V522,Minimas!$C$3:$CD$12,3,FALSE)</f>
        <v>#N/A</v>
      </c>
      <c r="AD522" s="230" t="e">
        <f>T522-HLOOKUP(V522,Minimas!$C$3:$CD$12,4,FALSE)</f>
        <v>#N/A</v>
      </c>
      <c r="AE522" s="230" t="e">
        <f>T522-HLOOKUP(V522,Minimas!$C$3:$CD$12,5,FALSE)</f>
        <v>#N/A</v>
      </c>
      <c r="AF522" s="230" t="e">
        <f>T522-HLOOKUP(V522,Minimas!$C$3:$CD$12,6,FALSE)</f>
        <v>#N/A</v>
      </c>
      <c r="AG522" s="230" t="e">
        <f>T522-HLOOKUP(V522,Minimas!$C$3:$CD$12,7,FALSE)</f>
        <v>#N/A</v>
      </c>
      <c r="AH522" s="230" t="e">
        <f>T522-HLOOKUP(V522,Minimas!$C$3:$CD$12,8,FALSE)</f>
        <v>#N/A</v>
      </c>
      <c r="AI522" s="230" t="e">
        <f>T522-HLOOKUP(V522,Minimas!$C$3:$CD$12,9,FALSE)</f>
        <v>#N/A</v>
      </c>
      <c r="AJ522" s="230" t="e">
        <f>T522-HLOOKUP(V522,Minimas!$C$3:$CD$12,10,FALSE)</f>
        <v>#N/A</v>
      </c>
      <c r="AK522" s="231" t="str">
        <f t="shared" si="102"/>
        <v xml:space="preserve"> </v>
      </c>
      <c r="AL522" s="232"/>
      <c r="AM522" s="232" t="str">
        <f t="shared" si="103"/>
        <v xml:space="preserve"> </v>
      </c>
      <c r="AN522" s="232" t="str">
        <f t="shared" si="104"/>
        <v xml:space="preserve"> </v>
      </c>
    </row>
    <row r="523" spans="28:40" x14ac:dyDescent="0.25">
      <c r="AB523" s="230" t="e">
        <f>T523-HLOOKUP(V523,Minimas!$C$3:$CD$12,2,FALSE)</f>
        <v>#N/A</v>
      </c>
      <c r="AC523" s="230" t="e">
        <f>T523-HLOOKUP(V523,Minimas!$C$3:$CD$12,3,FALSE)</f>
        <v>#N/A</v>
      </c>
      <c r="AD523" s="230" t="e">
        <f>T523-HLOOKUP(V523,Minimas!$C$3:$CD$12,4,FALSE)</f>
        <v>#N/A</v>
      </c>
      <c r="AE523" s="230" t="e">
        <f>T523-HLOOKUP(V523,Minimas!$C$3:$CD$12,5,FALSE)</f>
        <v>#N/A</v>
      </c>
      <c r="AF523" s="230" t="e">
        <f>T523-HLOOKUP(V523,Minimas!$C$3:$CD$12,6,FALSE)</f>
        <v>#N/A</v>
      </c>
      <c r="AG523" s="230" t="e">
        <f>T523-HLOOKUP(V523,Minimas!$C$3:$CD$12,7,FALSE)</f>
        <v>#N/A</v>
      </c>
      <c r="AH523" s="230" t="e">
        <f>T523-HLOOKUP(V523,Minimas!$C$3:$CD$12,8,FALSE)</f>
        <v>#N/A</v>
      </c>
      <c r="AI523" s="230" t="e">
        <f>T523-HLOOKUP(V523,Minimas!$C$3:$CD$12,9,FALSE)</f>
        <v>#N/A</v>
      </c>
      <c r="AJ523" s="230" t="e">
        <f>T523-HLOOKUP(V523,Minimas!$C$3:$CD$12,10,FALSE)</f>
        <v>#N/A</v>
      </c>
      <c r="AK523" s="231" t="str">
        <f t="shared" si="102"/>
        <v xml:space="preserve"> </v>
      </c>
      <c r="AL523" s="232"/>
      <c r="AM523" s="232" t="str">
        <f t="shared" si="103"/>
        <v xml:space="preserve"> </v>
      </c>
      <c r="AN523" s="232" t="str">
        <f t="shared" si="104"/>
        <v xml:space="preserve"> </v>
      </c>
    </row>
    <row r="524" spans="28:40" x14ac:dyDescent="0.25">
      <c r="AB524" s="230" t="e">
        <f>T524-HLOOKUP(V524,Minimas!$C$3:$CD$12,2,FALSE)</f>
        <v>#N/A</v>
      </c>
      <c r="AC524" s="230" t="e">
        <f>T524-HLOOKUP(V524,Minimas!$C$3:$CD$12,3,FALSE)</f>
        <v>#N/A</v>
      </c>
      <c r="AD524" s="230" t="e">
        <f>T524-HLOOKUP(V524,Minimas!$C$3:$CD$12,4,FALSE)</f>
        <v>#N/A</v>
      </c>
      <c r="AE524" s="230" t="e">
        <f>T524-HLOOKUP(V524,Minimas!$C$3:$CD$12,5,FALSE)</f>
        <v>#N/A</v>
      </c>
      <c r="AF524" s="230" t="e">
        <f>T524-HLOOKUP(V524,Minimas!$C$3:$CD$12,6,FALSE)</f>
        <v>#N/A</v>
      </c>
      <c r="AG524" s="230" t="e">
        <f>T524-HLOOKUP(V524,Minimas!$C$3:$CD$12,7,FALSE)</f>
        <v>#N/A</v>
      </c>
      <c r="AH524" s="230" t="e">
        <f>T524-HLOOKUP(V524,Minimas!$C$3:$CD$12,8,FALSE)</f>
        <v>#N/A</v>
      </c>
      <c r="AI524" s="230" t="e">
        <f>T524-HLOOKUP(V524,Minimas!$C$3:$CD$12,9,FALSE)</f>
        <v>#N/A</v>
      </c>
      <c r="AJ524" s="230" t="e">
        <f>T524-HLOOKUP(V524,Minimas!$C$3:$CD$12,10,FALSE)</f>
        <v>#N/A</v>
      </c>
      <c r="AK524" s="231" t="str">
        <f t="shared" si="102"/>
        <v xml:space="preserve"> </v>
      </c>
      <c r="AL524" s="232"/>
      <c r="AM524" s="232" t="str">
        <f t="shared" si="103"/>
        <v xml:space="preserve"> </v>
      </c>
      <c r="AN524" s="232" t="str">
        <f t="shared" si="104"/>
        <v xml:space="preserve"> </v>
      </c>
    </row>
    <row r="525" spans="28:40" x14ac:dyDescent="0.25">
      <c r="AB525" s="230" t="e">
        <f>T525-HLOOKUP(V525,Minimas!$C$3:$CD$12,2,FALSE)</f>
        <v>#N/A</v>
      </c>
      <c r="AC525" s="230" t="e">
        <f>T525-HLOOKUP(V525,Minimas!$C$3:$CD$12,3,FALSE)</f>
        <v>#N/A</v>
      </c>
      <c r="AD525" s="230" t="e">
        <f>T525-HLOOKUP(V525,Minimas!$C$3:$CD$12,4,FALSE)</f>
        <v>#N/A</v>
      </c>
      <c r="AE525" s="230" t="e">
        <f>T525-HLOOKUP(V525,Minimas!$C$3:$CD$12,5,FALSE)</f>
        <v>#N/A</v>
      </c>
      <c r="AF525" s="230" t="e">
        <f>T525-HLOOKUP(V525,Minimas!$C$3:$CD$12,6,FALSE)</f>
        <v>#N/A</v>
      </c>
      <c r="AG525" s="230" t="e">
        <f>T525-HLOOKUP(V525,Minimas!$C$3:$CD$12,7,FALSE)</f>
        <v>#N/A</v>
      </c>
      <c r="AH525" s="230" t="e">
        <f>T525-HLOOKUP(V525,Minimas!$C$3:$CD$12,8,FALSE)</f>
        <v>#N/A</v>
      </c>
      <c r="AI525" s="230" t="e">
        <f>T525-HLOOKUP(V525,Minimas!$C$3:$CD$12,9,FALSE)</f>
        <v>#N/A</v>
      </c>
      <c r="AJ525" s="230" t="e">
        <f>T525-HLOOKUP(V525,Minimas!$C$3:$CD$12,10,FALSE)</f>
        <v>#N/A</v>
      </c>
      <c r="AK525" s="231" t="str">
        <f t="shared" si="102"/>
        <v xml:space="preserve"> </v>
      </c>
      <c r="AL525" s="232"/>
      <c r="AM525" s="232" t="str">
        <f t="shared" si="103"/>
        <v xml:space="preserve"> </v>
      </c>
      <c r="AN525" s="232" t="str">
        <f t="shared" si="104"/>
        <v xml:space="preserve"> </v>
      </c>
    </row>
    <row r="526" spans="28:40" x14ac:dyDescent="0.25">
      <c r="AB526" s="230" t="e">
        <f>T526-HLOOKUP(V526,Minimas!$C$3:$CD$12,2,FALSE)</f>
        <v>#N/A</v>
      </c>
      <c r="AC526" s="230" t="e">
        <f>T526-HLOOKUP(V526,Minimas!$C$3:$CD$12,3,FALSE)</f>
        <v>#N/A</v>
      </c>
      <c r="AD526" s="230" t="e">
        <f>T526-HLOOKUP(V526,Minimas!$C$3:$CD$12,4,FALSE)</f>
        <v>#N/A</v>
      </c>
      <c r="AE526" s="230" t="e">
        <f>T526-HLOOKUP(V526,Minimas!$C$3:$CD$12,5,FALSE)</f>
        <v>#N/A</v>
      </c>
      <c r="AF526" s="230" t="e">
        <f>T526-HLOOKUP(V526,Minimas!$C$3:$CD$12,6,FALSE)</f>
        <v>#N/A</v>
      </c>
      <c r="AG526" s="230" t="e">
        <f>T526-HLOOKUP(V526,Minimas!$C$3:$CD$12,7,FALSE)</f>
        <v>#N/A</v>
      </c>
      <c r="AH526" s="230" t="e">
        <f>T526-HLOOKUP(V526,Minimas!$C$3:$CD$12,8,FALSE)</f>
        <v>#N/A</v>
      </c>
      <c r="AI526" s="230" t="e">
        <f>T526-HLOOKUP(V526,Minimas!$C$3:$CD$12,9,FALSE)</f>
        <v>#N/A</v>
      </c>
      <c r="AJ526" s="230" t="e">
        <f>T526-HLOOKUP(V526,Minimas!$C$3:$CD$12,10,FALSE)</f>
        <v>#N/A</v>
      </c>
      <c r="AK526" s="231" t="str">
        <f t="shared" si="102"/>
        <v xml:space="preserve"> </v>
      </c>
      <c r="AL526" s="232"/>
      <c r="AM526" s="232" t="str">
        <f t="shared" si="103"/>
        <v xml:space="preserve"> </v>
      </c>
      <c r="AN526" s="232" t="str">
        <f t="shared" si="104"/>
        <v xml:space="preserve"> </v>
      </c>
    </row>
    <row r="527" spans="28:40" x14ac:dyDescent="0.25">
      <c r="AB527" s="230" t="e">
        <f>T527-HLOOKUP(V527,Minimas!$C$3:$CD$12,2,FALSE)</f>
        <v>#N/A</v>
      </c>
      <c r="AC527" s="230" t="e">
        <f>T527-HLOOKUP(V527,Minimas!$C$3:$CD$12,3,FALSE)</f>
        <v>#N/A</v>
      </c>
      <c r="AD527" s="230" t="e">
        <f>T527-HLOOKUP(V527,Minimas!$C$3:$CD$12,4,FALSE)</f>
        <v>#N/A</v>
      </c>
      <c r="AE527" s="230" t="e">
        <f>T527-HLOOKUP(V527,Minimas!$C$3:$CD$12,5,FALSE)</f>
        <v>#N/A</v>
      </c>
      <c r="AF527" s="230" t="e">
        <f>T527-HLOOKUP(V527,Minimas!$C$3:$CD$12,6,FALSE)</f>
        <v>#N/A</v>
      </c>
      <c r="AG527" s="230" t="e">
        <f>T527-HLOOKUP(V527,Minimas!$C$3:$CD$12,7,FALSE)</f>
        <v>#N/A</v>
      </c>
      <c r="AH527" s="230" t="e">
        <f>T527-HLOOKUP(V527,Minimas!$C$3:$CD$12,8,FALSE)</f>
        <v>#N/A</v>
      </c>
      <c r="AI527" s="230" t="e">
        <f>T527-HLOOKUP(V527,Minimas!$C$3:$CD$12,9,FALSE)</f>
        <v>#N/A</v>
      </c>
      <c r="AJ527" s="230" t="e">
        <f>T527-HLOOKUP(V527,Minimas!$C$3:$CD$12,10,FALSE)</f>
        <v>#N/A</v>
      </c>
      <c r="AK527" s="231" t="str">
        <f t="shared" si="102"/>
        <v xml:space="preserve"> </v>
      </c>
      <c r="AL527" s="232"/>
      <c r="AM527" s="232" t="str">
        <f t="shared" si="103"/>
        <v xml:space="preserve"> </v>
      </c>
      <c r="AN527" s="232" t="str">
        <f t="shared" si="104"/>
        <v xml:space="preserve"> </v>
      </c>
    </row>
    <row r="528" spans="28:40" x14ac:dyDescent="0.25">
      <c r="AB528" s="230" t="e">
        <f>T528-HLOOKUP(V528,Minimas!$C$3:$CD$12,2,FALSE)</f>
        <v>#N/A</v>
      </c>
      <c r="AC528" s="230" t="e">
        <f>T528-HLOOKUP(V528,Minimas!$C$3:$CD$12,3,FALSE)</f>
        <v>#N/A</v>
      </c>
      <c r="AD528" s="230" t="e">
        <f>T528-HLOOKUP(V528,Minimas!$C$3:$CD$12,4,FALSE)</f>
        <v>#N/A</v>
      </c>
      <c r="AE528" s="230" t="e">
        <f>T528-HLOOKUP(V528,Minimas!$C$3:$CD$12,5,FALSE)</f>
        <v>#N/A</v>
      </c>
      <c r="AF528" s="230" t="e">
        <f>T528-HLOOKUP(V528,Minimas!$C$3:$CD$12,6,FALSE)</f>
        <v>#N/A</v>
      </c>
      <c r="AG528" s="230" t="e">
        <f>T528-HLOOKUP(V528,Minimas!$C$3:$CD$12,7,FALSE)</f>
        <v>#N/A</v>
      </c>
      <c r="AH528" s="230" t="e">
        <f>T528-HLOOKUP(V528,Minimas!$C$3:$CD$12,8,FALSE)</f>
        <v>#N/A</v>
      </c>
      <c r="AI528" s="230" t="e">
        <f>T528-HLOOKUP(V528,Minimas!$C$3:$CD$12,9,FALSE)</f>
        <v>#N/A</v>
      </c>
      <c r="AJ528" s="230" t="e">
        <f>T528-HLOOKUP(V528,Minimas!$C$3:$CD$12,10,FALSE)</f>
        <v>#N/A</v>
      </c>
      <c r="AK528" s="231" t="str">
        <f t="shared" si="102"/>
        <v xml:space="preserve"> </v>
      </c>
      <c r="AL528" s="232"/>
      <c r="AM528" s="232" t="str">
        <f t="shared" si="103"/>
        <v xml:space="preserve"> </v>
      </c>
      <c r="AN528" s="232" t="str">
        <f t="shared" si="104"/>
        <v xml:space="preserve"> </v>
      </c>
    </row>
    <row r="529" spans="28:40" x14ac:dyDescent="0.25">
      <c r="AB529" s="230" t="e">
        <f>T529-HLOOKUP(V529,Minimas!$C$3:$CD$12,2,FALSE)</f>
        <v>#N/A</v>
      </c>
      <c r="AC529" s="230" t="e">
        <f>T529-HLOOKUP(V529,Minimas!$C$3:$CD$12,3,FALSE)</f>
        <v>#N/A</v>
      </c>
      <c r="AD529" s="230" t="e">
        <f>T529-HLOOKUP(V529,Minimas!$C$3:$CD$12,4,FALSE)</f>
        <v>#N/A</v>
      </c>
      <c r="AE529" s="230" t="e">
        <f>T529-HLOOKUP(V529,Minimas!$C$3:$CD$12,5,FALSE)</f>
        <v>#N/A</v>
      </c>
      <c r="AF529" s="230" t="e">
        <f>T529-HLOOKUP(V529,Minimas!$C$3:$CD$12,6,FALSE)</f>
        <v>#N/A</v>
      </c>
      <c r="AG529" s="230" t="e">
        <f>T529-HLOOKUP(V529,Minimas!$C$3:$CD$12,7,FALSE)</f>
        <v>#N/A</v>
      </c>
      <c r="AH529" s="230" t="e">
        <f>T529-HLOOKUP(V529,Minimas!$C$3:$CD$12,8,FALSE)</f>
        <v>#N/A</v>
      </c>
      <c r="AI529" s="230" t="e">
        <f>T529-HLOOKUP(V529,Minimas!$C$3:$CD$12,9,FALSE)</f>
        <v>#N/A</v>
      </c>
      <c r="AJ529" s="230" t="e">
        <f>T529-HLOOKUP(V529,Minimas!$C$3:$CD$12,10,FALSE)</f>
        <v>#N/A</v>
      </c>
      <c r="AK529" s="231" t="str">
        <f t="shared" si="102"/>
        <v xml:space="preserve"> </v>
      </c>
      <c r="AL529" s="232"/>
      <c r="AM529" s="232" t="str">
        <f t="shared" si="103"/>
        <v xml:space="preserve"> </v>
      </c>
      <c r="AN529" s="232" t="str">
        <f t="shared" si="104"/>
        <v xml:space="preserve"> </v>
      </c>
    </row>
    <row r="530" spans="28:40" x14ac:dyDescent="0.25">
      <c r="AB530" s="230" t="e">
        <f>T530-HLOOKUP(V530,Minimas!$C$3:$CD$12,2,FALSE)</f>
        <v>#N/A</v>
      </c>
      <c r="AC530" s="230" t="e">
        <f>T530-HLOOKUP(V530,Minimas!$C$3:$CD$12,3,FALSE)</f>
        <v>#N/A</v>
      </c>
      <c r="AD530" s="230" t="e">
        <f>T530-HLOOKUP(V530,Minimas!$C$3:$CD$12,4,FALSE)</f>
        <v>#N/A</v>
      </c>
      <c r="AE530" s="230" t="e">
        <f>T530-HLOOKUP(V530,Minimas!$C$3:$CD$12,5,FALSE)</f>
        <v>#N/A</v>
      </c>
      <c r="AF530" s="230" t="e">
        <f>T530-HLOOKUP(V530,Minimas!$C$3:$CD$12,6,FALSE)</f>
        <v>#N/A</v>
      </c>
      <c r="AG530" s="230" t="e">
        <f>T530-HLOOKUP(V530,Minimas!$C$3:$CD$12,7,FALSE)</f>
        <v>#N/A</v>
      </c>
      <c r="AH530" s="230" t="e">
        <f>T530-HLOOKUP(V530,Minimas!$C$3:$CD$12,8,FALSE)</f>
        <v>#N/A</v>
      </c>
      <c r="AI530" s="230" t="e">
        <f>T530-HLOOKUP(V530,Minimas!$C$3:$CD$12,9,FALSE)</f>
        <v>#N/A</v>
      </c>
      <c r="AJ530" s="230" t="e">
        <f>T530-HLOOKUP(V530,Minimas!$C$3:$CD$12,10,FALSE)</f>
        <v>#N/A</v>
      </c>
      <c r="AK530" s="231" t="str">
        <f t="shared" si="102"/>
        <v xml:space="preserve"> </v>
      </c>
      <c r="AL530" s="232"/>
      <c r="AM530" s="232" t="str">
        <f t="shared" si="103"/>
        <v xml:space="preserve"> </v>
      </c>
      <c r="AN530" s="232" t="str">
        <f t="shared" si="104"/>
        <v xml:space="preserve"> </v>
      </c>
    </row>
    <row r="531" spans="28:40" x14ac:dyDescent="0.25">
      <c r="AB531" s="230" t="e">
        <f>T531-HLOOKUP(V531,Minimas!$C$3:$CD$12,2,FALSE)</f>
        <v>#N/A</v>
      </c>
      <c r="AC531" s="230" t="e">
        <f>T531-HLOOKUP(V531,Minimas!$C$3:$CD$12,3,FALSE)</f>
        <v>#N/A</v>
      </c>
      <c r="AD531" s="230" t="e">
        <f>T531-HLOOKUP(V531,Minimas!$C$3:$CD$12,4,FALSE)</f>
        <v>#N/A</v>
      </c>
      <c r="AE531" s="230" t="e">
        <f>T531-HLOOKUP(V531,Minimas!$C$3:$CD$12,5,FALSE)</f>
        <v>#N/A</v>
      </c>
      <c r="AF531" s="230" t="e">
        <f>T531-HLOOKUP(V531,Minimas!$C$3:$CD$12,6,FALSE)</f>
        <v>#N/A</v>
      </c>
      <c r="AG531" s="230" t="e">
        <f>T531-HLOOKUP(V531,Minimas!$C$3:$CD$12,7,FALSE)</f>
        <v>#N/A</v>
      </c>
      <c r="AH531" s="230" t="e">
        <f>T531-HLOOKUP(V531,Minimas!$C$3:$CD$12,8,FALSE)</f>
        <v>#N/A</v>
      </c>
      <c r="AI531" s="230" t="e">
        <f>T531-HLOOKUP(V531,Minimas!$C$3:$CD$12,9,FALSE)</f>
        <v>#N/A</v>
      </c>
      <c r="AJ531" s="230" t="e">
        <f>T531-HLOOKUP(V531,Minimas!$C$3:$CD$12,10,FALSE)</f>
        <v>#N/A</v>
      </c>
      <c r="AK531" s="231" t="str">
        <f t="shared" si="102"/>
        <v xml:space="preserve"> </v>
      </c>
      <c r="AL531" s="232"/>
      <c r="AM531" s="232" t="str">
        <f t="shared" si="103"/>
        <v xml:space="preserve"> </v>
      </c>
      <c r="AN531" s="232" t="str">
        <f t="shared" si="104"/>
        <v xml:space="preserve"> </v>
      </c>
    </row>
    <row r="532" spans="28:40" x14ac:dyDescent="0.25">
      <c r="AB532" s="230" t="e">
        <f>T532-HLOOKUP(V532,Minimas!$C$3:$CD$12,2,FALSE)</f>
        <v>#N/A</v>
      </c>
      <c r="AC532" s="230" t="e">
        <f>T532-HLOOKUP(V532,Minimas!$C$3:$CD$12,3,FALSE)</f>
        <v>#N/A</v>
      </c>
      <c r="AD532" s="230" t="e">
        <f>T532-HLOOKUP(V532,Minimas!$C$3:$CD$12,4,FALSE)</f>
        <v>#N/A</v>
      </c>
      <c r="AE532" s="230" t="e">
        <f>T532-HLOOKUP(V532,Minimas!$C$3:$CD$12,5,FALSE)</f>
        <v>#N/A</v>
      </c>
      <c r="AF532" s="230" t="e">
        <f>T532-HLOOKUP(V532,Minimas!$C$3:$CD$12,6,FALSE)</f>
        <v>#N/A</v>
      </c>
      <c r="AG532" s="230" t="e">
        <f>T532-HLOOKUP(V532,Minimas!$C$3:$CD$12,7,FALSE)</f>
        <v>#N/A</v>
      </c>
      <c r="AH532" s="230" t="e">
        <f>T532-HLOOKUP(V532,Minimas!$C$3:$CD$12,8,FALSE)</f>
        <v>#N/A</v>
      </c>
      <c r="AI532" s="230" t="e">
        <f>T532-HLOOKUP(V532,Minimas!$C$3:$CD$12,9,FALSE)</f>
        <v>#N/A</v>
      </c>
      <c r="AJ532" s="230" t="e">
        <f>T532-HLOOKUP(V532,Minimas!$C$3:$CD$12,10,FALSE)</f>
        <v>#N/A</v>
      </c>
      <c r="AK532" s="231" t="str">
        <f t="shared" si="102"/>
        <v xml:space="preserve"> </v>
      </c>
      <c r="AL532" s="232"/>
      <c r="AM532" s="232" t="str">
        <f t="shared" si="103"/>
        <v xml:space="preserve"> </v>
      </c>
      <c r="AN532" s="232" t="str">
        <f t="shared" si="104"/>
        <v xml:space="preserve"> </v>
      </c>
    </row>
    <row r="533" spans="28:40" x14ac:dyDescent="0.25">
      <c r="AB533" s="230" t="e">
        <f>T533-HLOOKUP(V533,Minimas!$C$3:$CD$12,2,FALSE)</f>
        <v>#N/A</v>
      </c>
      <c r="AC533" s="230" t="e">
        <f>T533-HLOOKUP(V533,Minimas!$C$3:$CD$12,3,FALSE)</f>
        <v>#N/A</v>
      </c>
      <c r="AD533" s="230" t="e">
        <f>T533-HLOOKUP(V533,Minimas!$C$3:$CD$12,4,FALSE)</f>
        <v>#N/A</v>
      </c>
      <c r="AE533" s="230" t="e">
        <f>T533-HLOOKUP(V533,Minimas!$C$3:$CD$12,5,FALSE)</f>
        <v>#N/A</v>
      </c>
      <c r="AF533" s="230" t="e">
        <f>T533-HLOOKUP(V533,Minimas!$C$3:$CD$12,6,FALSE)</f>
        <v>#N/A</v>
      </c>
      <c r="AG533" s="230" t="e">
        <f>T533-HLOOKUP(V533,Minimas!$C$3:$CD$12,7,FALSE)</f>
        <v>#N/A</v>
      </c>
      <c r="AH533" s="230" t="e">
        <f>T533-HLOOKUP(V533,Minimas!$C$3:$CD$12,8,FALSE)</f>
        <v>#N/A</v>
      </c>
      <c r="AI533" s="230" t="e">
        <f>T533-HLOOKUP(V533,Minimas!$C$3:$CD$12,9,FALSE)</f>
        <v>#N/A</v>
      </c>
      <c r="AJ533" s="230" t="e">
        <f>T533-HLOOKUP(V533,Minimas!$C$3:$CD$12,10,FALSE)</f>
        <v>#N/A</v>
      </c>
      <c r="AK533" s="231" t="str">
        <f t="shared" si="102"/>
        <v xml:space="preserve"> </v>
      </c>
      <c r="AL533" s="232"/>
      <c r="AM533" s="232" t="str">
        <f t="shared" si="103"/>
        <v xml:space="preserve"> </v>
      </c>
      <c r="AN533" s="232" t="str">
        <f t="shared" si="104"/>
        <v xml:space="preserve"> </v>
      </c>
    </row>
    <row r="534" spans="28:40" x14ac:dyDescent="0.25">
      <c r="AB534" s="230" t="e">
        <f>T534-HLOOKUP(V534,Minimas!$C$3:$CD$12,2,FALSE)</f>
        <v>#N/A</v>
      </c>
      <c r="AC534" s="230" t="e">
        <f>T534-HLOOKUP(V534,Minimas!$C$3:$CD$12,3,FALSE)</f>
        <v>#N/A</v>
      </c>
      <c r="AD534" s="230" t="e">
        <f>T534-HLOOKUP(V534,Minimas!$C$3:$CD$12,4,FALSE)</f>
        <v>#N/A</v>
      </c>
      <c r="AE534" s="230" t="e">
        <f>T534-HLOOKUP(V534,Minimas!$C$3:$CD$12,5,FALSE)</f>
        <v>#N/A</v>
      </c>
      <c r="AF534" s="230" t="e">
        <f>T534-HLOOKUP(V534,Minimas!$C$3:$CD$12,6,FALSE)</f>
        <v>#N/A</v>
      </c>
      <c r="AG534" s="230" t="e">
        <f>T534-HLOOKUP(V534,Minimas!$C$3:$CD$12,7,FALSE)</f>
        <v>#N/A</v>
      </c>
      <c r="AH534" s="230" t="e">
        <f>T534-HLOOKUP(V534,Minimas!$C$3:$CD$12,8,FALSE)</f>
        <v>#N/A</v>
      </c>
      <c r="AI534" s="230" t="e">
        <f>T534-HLOOKUP(V534,Minimas!$C$3:$CD$12,9,FALSE)</f>
        <v>#N/A</v>
      </c>
      <c r="AJ534" s="230" t="e">
        <f>T534-HLOOKUP(V534,Minimas!$C$3:$CD$12,10,FALSE)</f>
        <v>#N/A</v>
      </c>
      <c r="AK534" s="231" t="str">
        <f t="shared" si="102"/>
        <v xml:space="preserve"> </v>
      </c>
      <c r="AL534" s="232"/>
      <c r="AM534" s="232" t="str">
        <f t="shared" si="103"/>
        <v xml:space="preserve"> </v>
      </c>
      <c r="AN534" s="232" t="str">
        <f t="shared" si="104"/>
        <v xml:space="preserve"> </v>
      </c>
    </row>
    <row r="535" spans="28:40" x14ac:dyDescent="0.25">
      <c r="AB535" s="230" t="e">
        <f>T535-HLOOKUP(V535,Minimas!$C$3:$CD$12,2,FALSE)</f>
        <v>#N/A</v>
      </c>
      <c r="AC535" s="230" t="e">
        <f>T535-HLOOKUP(V535,Minimas!$C$3:$CD$12,3,FALSE)</f>
        <v>#N/A</v>
      </c>
      <c r="AD535" s="230" t="e">
        <f>T535-HLOOKUP(V535,Minimas!$C$3:$CD$12,4,FALSE)</f>
        <v>#N/A</v>
      </c>
      <c r="AE535" s="230" t="e">
        <f>T535-HLOOKUP(V535,Minimas!$C$3:$CD$12,5,FALSE)</f>
        <v>#N/A</v>
      </c>
      <c r="AF535" s="230" t="e">
        <f>T535-HLOOKUP(V535,Minimas!$C$3:$CD$12,6,FALSE)</f>
        <v>#N/A</v>
      </c>
      <c r="AG535" s="230" t="e">
        <f>T535-HLOOKUP(V535,Minimas!$C$3:$CD$12,7,FALSE)</f>
        <v>#N/A</v>
      </c>
      <c r="AH535" s="230" t="e">
        <f>T535-HLOOKUP(V535,Minimas!$C$3:$CD$12,8,FALSE)</f>
        <v>#N/A</v>
      </c>
      <c r="AI535" s="230" t="e">
        <f>T535-HLOOKUP(V535,Minimas!$C$3:$CD$12,9,FALSE)</f>
        <v>#N/A</v>
      </c>
      <c r="AJ535" s="230" t="e">
        <f>T535-HLOOKUP(V535,Minimas!$C$3:$CD$12,10,FALSE)</f>
        <v>#N/A</v>
      </c>
      <c r="AK535" s="231" t="str">
        <f t="shared" si="102"/>
        <v xml:space="preserve"> </v>
      </c>
      <c r="AL535" s="232"/>
      <c r="AM535" s="232" t="str">
        <f t="shared" si="103"/>
        <v xml:space="preserve"> </v>
      </c>
      <c r="AN535" s="232" t="str">
        <f t="shared" si="104"/>
        <v xml:space="preserve"> </v>
      </c>
    </row>
    <row r="536" spans="28:40" x14ac:dyDescent="0.25">
      <c r="AB536" s="230" t="e">
        <f>T536-HLOOKUP(V536,Minimas!$C$3:$CD$12,2,FALSE)</f>
        <v>#N/A</v>
      </c>
      <c r="AC536" s="230" t="e">
        <f>T536-HLOOKUP(V536,Minimas!$C$3:$CD$12,3,FALSE)</f>
        <v>#N/A</v>
      </c>
      <c r="AD536" s="230" t="e">
        <f>T536-HLOOKUP(V536,Minimas!$C$3:$CD$12,4,FALSE)</f>
        <v>#N/A</v>
      </c>
      <c r="AE536" s="230" t="e">
        <f>T536-HLOOKUP(V536,Minimas!$C$3:$CD$12,5,FALSE)</f>
        <v>#N/A</v>
      </c>
      <c r="AF536" s="230" t="e">
        <f>T536-HLOOKUP(V536,Minimas!$C$3:$CD$12,6,FALSE)</f>
        <v>#N/A</v>
      </c>
      <c r="AG536" s="230" t="e">
        <f>T536-HLOOKUP(V536,Minimas!$C$3:$CD$12,7,FALSE)</f>
        <v>#N/A</v>
      </c>
      <c r="AH536" s="230" t="e">
        <f>T536-HLOOKUP(V536,Minimas!$C$3:$CD$12,8,FALSE)</f>
        <v>#N/A</v>
      </c>
      <c r="AI536" s="230" t="e">
        <f>T536-HLOOKUP(V536,Minimas!$C$3:$CD$12,9,FALSE)</f>
        <v>#N/A</v>
      </c>
      <c r="AJ536" s="230" t="e">
        <f>T536-HLOOKUP(V536,Minimas!$C$3:$CD$12,10,FALSE)</f>
        <v>#N/A</v>
      </c>
      <c r="AK536" s="231" t="str">
        <f t="shared" si="102"/>
        <v xml:space="preserve"> </v>
      </c>
      <c r="AL536" s="232"/>
      <c r="AM536" s="232" t="str">
        <f t="shared" si="103"/>
        <v xml:space="preserve"> </v>
      </c>
      <c r="AN536" s="232" t="str">
        <f t="shared" si="104"/>
        <v xml:space="preserve"> </v>
      </c>
    </row>
    <row r="537" spans="28:40" x14ac:dyDescent="0.25">
      <c r="AB537" s="230" t="e">
        <f>T537-HLOOKUP(V537,Minimas!$C$3:$CD$12,2,FALSE)</f>
        <v>#N/A</v>
      </c>
      <c r="AC537" s="230" t="e">
        <f>T537-HLOOKUP(V537,Minimas!$C$3:$CD$12,3,FALSE)</f>
        <v>#N/A</v>
      </c>
      <c r="AD537" s="230" t="e">
        <f>T537-HLOOKUP(V537,Minimas!$C$3:$CD$12,4,FALSE)</f>
        <v>#N/A</v>
      </c>
      <c r="AE537" s="230" t="e">
        <f>T537-HLOOKUP(V537,Minimas!$C$3:$CD$12,5,FALSE)</f>
        <v>#N/A</v>
      </c>
      <c r="AF537" s="230" t="e">
        <f>T537-HLOOKUP(V537,Minimas!$C$3:$CD$12,6,FALSE)</f>
        <v>#N/A</v>
      </c>
      <c r="AG537" s="230" t="e">
        <f>T537-HLOOKUP(V537,Minimas!$C$3:$CD$12,7,FALSE)</f>
        <v>#N/A</v>
      </c>
      <c r="AH537" s="230" t="e">
        <f>T537-HLOOKUP(V537,Minimas!$C$3:$CD$12,8,FALSE)</f>
        <v>#N/A</v>
      </c>
      <c r="AI537" s="230" t="e">
        <f>T537-HLOOKUP(V537,Minimas!$C$3:$CD$12,9,FALSE)</f>
        <v>#N/A</v>
      </c>
      <c r="AJ537" s="230" t="e">
        <f>T537-HLOOKUP(V537,Minimas!$C$3:$CD$12,10,FALSE)</f>
        <v>#N/A</v>
      </c>
      <c r="AK537" s="231" t="str">
        <f t="shared" si="102"/>
        <v xml:space="preserve"> </v>
      </c>
      <c r="AL537" s="232"/>
      <c r="AM537" s="232" t="str">
        <f t="shared" si="103"/>
        <v xml:space="preserve"> </v>
      </c>
      <c r="AN537" s="232" t="str">
        <f t="shared" si="104"/>
        <v xml:space="preserve"> </v>
      </c>
    </row>
    <row r="538" spans="28:40" x14ac:dyDescent="0.25">
      <c r="AB538" s="230" t="e">
        <f>T538-HLOOKUP(V538,Minimas!$C$3:$CD$12,2,FALSE)</f>
        <v>#N/A</v>
      </c>
      <c r="AC538" s="230" t="e">
        <f>T538-HLOOKUP(V538,Minimas!$C$3:$CD$12,3,FALSE)</f>
        <v>#N/A</v>
      </c>
      <c r="AD538" s="230" t="e">
        <f>T538-HLOOKUP(V538,Minimas!$C$3:$CD$12,4,FALSE)</f>
        <v>#N/A</v>
      </c>
      <c r="AE538" s="230" t="e">
        <f>T538-HLOOKUP(V538,Minimas!$C$3:$CD$12,5,FALSE)</f>
        <v>#N/A</v>
      </c>
      <c r="AF538" s="230" t="e">
        <f>T538-HLOOKUP(V538,Minimas!$C$3:$CD$12,6,FALSE)</f>
        <v>#N/A</v>
      </c>
      <c r="AG538" s="230" t="e">
        <f>T538-HLOOKUP(V538,Minimas!$C$3:$CD$12,7,FALSE)</f>
        <v>#N/A</v>
      </c>
      <c r="AH538" s="230" t="e">
        <f>T538-HLOOKUP(V538,Minimas!$C$3:$CD$12,8,FALSE)</f>
        <v>#N/A</v>
      </c>
      <c r="AI538" s="230" t="e">
        <f>T538-HLOOKUP(V538,Minimas!$C$3:$CD$12,9,FALSE)</f>
        <v>#N/A</v>
      </c>
      <c r="AJ538" s="230" t="e">
        <f>T538-HLOOKUP(V538,Minimas!$C$3:$CD$12,10,FALSE)</f>
        <v>#N/A</v>
      </c>
      <c r="AK538" s="231" t="str">
        <f t="shared" si="102"/>
        <v xml:space="preserve"> </v>
      </c>
      <c r="AL538" s="232"/>
      <c r="AM538" s="232" t="str">
        <f t="shared" si="103"/>
        <v xml:space="preserve"> </v>
      </c>
      <c r="AN538" s="232" t="str">
        <f t="shared" si="104"/>
        <v xml:space="preserve"> </v>
      </c>
    </row>
    <row r="539" spans="28:40" x14ac:dyDescent="0.25">
      <c r="AB539" s="230" t="e">
        <f>T539-HLOOKUP(V539,Minimas!$C$3:$CD$12,2,FALSE)</f>
        <v>#N/A</v>
      </c>
      <c r="AC539" s="230" t="e">
        <f>T539-HLOOKUP(V539,Minimas!$C$3:$CD$12,3,FALSE)</f>
        <v>#N/A</v>
      </c>
      <c r="AD539" s="230" t="e">
        <f>T539-HLOOKUP(V539,Minimas!$C$3:$CD$12,4,FALSE)</f>
        <v>#N/A</v>
      </c>
      <c r="AE539" s="230" t="e">
        <f>T539-HLOOKUP(V539,Minimas!$C$3:$CD$12,5,FALSE)</f>
        <v>#N/A</v>
      </c>
      <c r="AF539" s="230" t="e">
        <f>T539-HLOOKUP(V539,Minimas!$C$3:$CD$12,6,FALSE)</f>
        <v>#N/A</v>
      </c>
      <c r="AG539" s="230" t="e">
        <f>T539-HLOOKUP(V539,Minimas!$C$3:$CD$12,7,FALSE)</f>
        <v>#N/A</v>
      </c>
      <c r="AH539" s="230" t="e">
        <f>T539-HLOOKUP(V539,Minimas!$C$3:$CD$12,8,FALSE)</f>
        <v>#N/A</v>
      </c>
      <c r="AI539" s="230" t="e">
        <f>T539-HLOOKUP(V539,Minimas!$C$3:$CD$12,9,FALSE)</f>
        <v>#N/A</v>
      </c>
      <c r="AJ539" s="230" t="e">
        <f>T539-HLOOKUP(V539,Minimas!$C$3:$CD$12,10,FALSE)</f>
        <v>#N/A</v>
      </c>
      <c r="AK539" s="231" t="str">
        <f t="shared" si="102"/>
        <v xml:space="preserve"> </v>
      </c>
      <c r="AL539" s="232"/>
      <c r="AM539" s="232" t="str">
        <f t="shared" si="103"/>
        <v xml:space="preserve"> </v>
      </c>
      <c r="AN539" s="232" t="str">
        <f t="shared" si="104"/>
        <v xml:space="preserve"> </v>
      </c>
    </row>
    <row r="540" spans="28:40" x14ac:dyDescent="0.25">
      <c r="AB540" s="230" t="e">
        <f>T540-HLOOKUP(V540,Minimas!$C$3:$CD$12,2,FALSE)</f>
        <v>#N/A</v>
      </c>
      <c r="AC540" s="230" t="e">
        <f>T540-HLOOKUP(V540,Minimas!$C$3:$CD$12,3,FALSE)</f>
        <v>#N/A</v>
      </c>
      <c r="AD540" s="230" t="e">
        <f>T540-HLOOKUP(V540,Minimas!$C$3:$CD$12,4,FALSE)</f>
        <v>#N/A</v>
      </c>
      <c r="AE540" s="230" t="e">
        <f>T540-HLOOKUP(V540,Minimas!$C$3:$CD$12,5,FALSE)</f>
        <v>#N/A</v>
      </c>
      <c r="AF540" s="230" t="e">
        <f>T540-HLOOKUP(V540,Minimas!$C$3:$CD$12,6,FALSE)</f>
        <v>#N/A</v>
      </c>
      <c r="AG540" s="230" t="e">
        <f>T540-HLOOKUP(V540,Minimas!$C$3:$CD$12,7,FALSE)</f>
        <v>#N/A</v>
      </c>
      <c r="AH540" s="230" t="e">
        <f>T540-HLOOKUP(V540,Minimas!$C$3:$CD$12,8,FALSE)</f>
        <v>#N/A</v>
      </c>
      <c r="AI540" s="230" t="e">
        <f>T540-HLOOKUP(V540,Minimas!$C$3:$CD$12,9,FALSE)</f>
        <v>#N/A</v>
      </c>
      <c r="AJ540" s="230" t="e">
        <f>T540-HLOOKUP(V540,Minimas!$C$3:$CD$12,10,FALSE)</f>
        <v>#N/A</v>
      </c>
      <c r="AK540" s="231" t="str">
        <f t="shared" si="102"/>
        <v xml:space="preserve"> </v>
      </c>
      <c r="AL540" s="232"/>
      <c r="AM540" s="232" t="str">
        <f t="shared" si="103"/>
        <v xml:space="preserve"> </v>
      </c>
      <c r="AN540" s="232" t="str">
        <f t="shared" si="104"/>
        <v xml:space="preserve"> </v>
      </c>
    </row>
    <row r="541" spans="28:40" x14ac:dyDescent="0.25">
      <c r="AB541" s="230" t="e">
        <f>T541-HLOOKUP(V541,Minimas!$C$3:$CD$12,2,FALSE)</f>
        <v>#N/A</v>
      </c>
      <c r="AC541" s="230" t="e">
        <f>T541-HLOOKUP(V541,Minimas!$C$3:$CD$12,3,FALSE)</f>
        <v>#N/A</v>
      </c>
      <c r="AD541" s="230" t="e">
        <f>T541-HLOOKUP(V541,Minimas!$C$3:$CD$12,4,FALSE)</f>
        <v>#N/A</v>
      </c>
      <c r="AE541" s="230" t="e">
        <f>T541-HLOOKUP(V541,Minimas!$C$3:$CD$12,5,FALSE)</f>
        <v>#N/A</v>
      </c>
      <c r="AF541" s="230" t="e">
        <f>T541-HLOOKUP(V541,Minimas!$C$3:$CD$12,6,FALSE)</f>
        <v>#N/A</v>
      </c>
      <c r="AG541" s="230" t="e">
        <f>T541-HLOOKUP(V541,Minimas!$C$3:$CD$12,7,FALSE)</f>
        <v>#N/A</v>
      </c>
      <c r="AH541" s="230" t="e">
        <f>T541-HLOOKUP(V541,Minimas!$C$3:$CD$12,8,FALSE)</f>
        <v>#N/A</v>
      </c>
      <c r="AI541" s="230" t="e">
        <f>T541-HLOOKUP(V541,Minimas!$C$3:$CD$12,9,FALSE)</f>
        <v>#N/A</v>
      </c>
      <c r="AJ541" s="230" t="e">
        <f>T541-HLOOKUP(V541,Minimas!$C$3:$CD$12,10,FALSE)</f>
        <v>#N/A</v>
      </c>
      <c r="AK541" s="231" t="str">
        <f t="shared" si="102"/>
        <v xml:space="preserve"> </v>
      </c>
      <c r="AL541" s="232"/>
      <c r="AM541" s="232" t="str">
        <f t="shared" si="103"/>
        <v xml:space="preserve"> </v>
      </c>
      <c r="AN541" s="232" t="str">
        <f t="shared" si="104"/>
        <v xml:space="preserve"> </v>
      </c>
    </row>
    <row r="542" spans="28:40" x14ac:dyDescent="0.25">
      <c r="AB542" s="230" t="e">
        <f>T542-HLOOKUP(V542,Minimas!$C$3:$CD$12,2,FALSE)</f>
        <v>#N/A</v>
      </c>
      <c r="AC542" s="230" t="e">
        <f>T542-HLOOKUP(V542,Minimas!$C$3:$CD$12,3,FALSE)</f>
        <v>#N/A</v>
      </c>
      <c r="AD542" s="230" t="e">
        <f>T542-HLOOKUP(V542,Minimas!$C$3:$CD$12,4,FALSE)</f>
        <v>#N/A</v>
      </c>
      <c r="AE542" s="230" t="e">
        <f>T542-HLOOKUP(V542,Minimas!$C$3:$CD$12,5,FALSE)</f>
        <v>#N/A</v>
      </c>
      <c r="AF542" s="230" t="e">
        <f>T542-HLOOKUP(V542,Minimas!$C$3:$CD$12,6,FALSE)</f>
        <v>#N/A</v>
      </c>
      <c r="AG542" s="230" t="e">
        <f>T542-HLOOKUP(V542,Minimas!$C$3:$CD$12,7,FALSE)</f>
        <v>#N/A</v>
      </c>
      <c r="AH542" s="230" t="e">
        <f>T542-HLOOKUP(V542,Minimas!$C$3:$CD$12,8,FALSE)</f>
        <v>#N/A</v>
      </c>
      <c r="AI542" s="230" t="e">
        <f>T542-HLOOKUP(V542,Minimas!$C$3:$CD$12,9,FALSE)</f>
        <v>#N/A</v>
      </c>
      <c r="AJ542" s="230" t="e">
        <f>T542-HLOOKUP(V542,Minimas!$C$3:$CD$12,10,FALSE)</f>
        <v>#N/A</v>
      </c>
      <c r="AK542" s="231" t="str">
        <f t="shared" si="102"/>
        <v xml:space="preserve"> </v>
      </c>
      <c r="AL542" s="232"/>
      <c r="AM542" s="232" t="str">
        <f t="shared" si="103"/>
        <v xml:space="preserve"> </v>
      </c>
      <c r="AN542" s="232" t="str">
        <f t="shared" si="104"/>
        <v xml:space="preserve"> </v>
      </c>
    </row>
    <row r="543" spans="28:40" x14ac:dyDescent="0.25">
      <c r="AB543" s="230" t="e">
        <f>T543-HLOOKUP(V543,Minimas!$C$3:$CD$12,2,FALSE)</f>
        <v>#N/A</v>
      </c>
      <c r="AC543" s="230" t="e">
        <f>T543-HLOOKUP(V543,Minimas!$C$3:$CD$12,3,FALSE)</f>
        <v>#N/A</v>
      </c>
      <c r="AD543" s="230" t="e">
        <f>T543-HLOOKUP(V543,Minimas!$C$3:$CD$12,4,FALSE)</f>
        <v>#N/A</v>
      </c>
      <c r="AE543" s="230" t="e">
        <f>T543-HLOOKUP(V543,Minimas!$C$3:$CD$12,5,FALSE)</f>
        <v>#N/A</v>
      </c>
      <c r="AF543" s="230" t="e">
        <f>T543-HLOOKUP(V543,Minimas!$C$3:$CD$12,6,FALSE)</f>
        <v>#N/A</v>
      </c>
      <c r="AG543" s="230" t="e">
        <f>T543-HLOOKUP(V543,Minimas!$C$3:$CD$12,7,FALSE)</f>
        <v>#N/A</v>
      </c>
      <c r="AH543" s="230" t="e">
        <f>T543-HLOOKUP(V543,Minimas!$C$3:$CD$12,8,FALSE)</f>
        <v>#N/A</v>
      </c>
      <c r="AI543" s="230" t="e">
        <f>T543-HLOOKUP(V543,Minimas!$C$3:$CD$12,9,FALSE)</f>
        <v>#N/A</v>
      </c>
      <c r="AJ543" s="230" t="e">
        <f>T543-HLOOKUP(V543,Minimas!$C$3:$CD$12,10,FALSE)</f>
        <v>#N/A</v>
      </c>
      <c r="AK543" s="231" t="str">
        <f t="shared" si="102"/>
        <v xml:space="preserve"> </v>
      </c>
      <c r="AL543" s="232"/>
      <c r="AM543" s="232" t="str">
        <f t="shared" si="103"/>
        <v xml:space="preserve"> </v>
      </c>
      <c r="AN543" s="232" t="str">
        <f t="shared" si="104"/>
        <v xml:space="preserve"> </v>
      </c>
    </row>
    <row r="544" spans="28:40" x14ac:dyDescent="0.25">
      <c r="AB544" s="230" t="e">
        <f>T544-HLOOKUP(V544,Minimas!$C$3:$CD$12,2,FALSE)</f>
        <v>#N/A</v>
      </c>
      <c r="AC544" s="230" t="e">
        <f>T544-HLOOKUP(V544,Minimas!$C$3:$CD$12,3,FALSE)</f>
        <v>#N/A</v>
      </c>
      <c r="AD544" s="230" t="e">
        <f>T544-HLOOKUP(V544,Minimas!$C$3:$CD$12,4,FALSE)</f>
        <v>#N/A</v>
      </c>
      <c r="AE544" s="230" t="e">
        <f>T544-HLOOKUP(V544,Minimas!$C$3:$CD$12,5,FALSE)</f>
        <v>#N/A</v>
      </c>
      <c r="AF544" s="230" t="e">
        <f>T544-HLOOKUP(V544,Minimas!$C$3:$CD$12,6,FALSE)</f>
        <v>#N/A</v>
      </c>
      <c r="AG544" s="230" t="e">
        <f>T544-HLOOKUP(V544,Minimas!$C$3:$CD$12,7,FALSE)</f>
        <v>#N/A</v>
      </c>
      <c r="AH544" s="230" t="e">
        <f>T544-HLOOKUP(V544,Minimas!$C$3:$CD$12,8,FALSE)</f>
        <v>#N/A</v>
      </c>
      <c r="AI544" s="230" t="e">
        <f>T544-HLOOKUP(V544,Minimas!$C$3:$CD$12,9,FALSE)</f>
        <v>#N/A</v>
      </c>
      <c r="AJ544" s="230" t="e">
        <f>T544-HLOOKUP(V544,Minimas!$C$3:$CD$12,10,FALSE)</f>
        <v>#N/A</v>
      </c>
      <c r="AK544" s="231" t="str">
        <f t="shared" si="102"/>
        <v xml:space="preserve"> </v>
      </c>
      <c r="AL544" s="232"/>
      <c r="AM544" s="232" t="str">
        <f t="shared" si="103"/>
        <v xml:space="preserve"> </v>
      </c>
      <c r="AN544" s="232" t="str">
        <f t="shared" si="104"/>
        <v xml:space="preserve"> </v>
      </c>
    </row>
    <row r="545" spans="28:40" x14ac:dyDescent="0.25">
      <c r="AB545" s="230" t="e">
        <f>T545-HLOOKUP(V545,Minimas!$C$3:$CD$12,2,FALSE)</f>
        <v>#N/A</v>
      </c>
      <c r="AC545" s="230" t="e">
        <f>T545-HLOOKUP(V545,Minimas!$C$3:$CD$12,3,FALSE)</f>
        <v>#N/A</v>
      </c>
      <c r="AD545" s="230" t="e">
        <f>T545-HLOOKUP(V545,Minimas!$C$3:$CD$12,4,FALSE)</f>
        <v>#N/A</v>
      </c>
      <c r="AE545" s="230" t="e">
        <f>T545-HLOOKUP(V545,Minimas!$C$3:$CD$12,5,FALSE)</f>
        <v>#N/A</v>
      </c>
      <c r="AF545" s="230" t="e">
        <f>T545-HLOOKUP(V545,Minimas!$C$3:$CD$12,6,FALSE)</f>
        <v>#N/A</v>
      </c>
      <c r="AG545" s="230" t="e">
        <f>T545-HLOOKUP(V545,Minimas!$C$3:$CD$12,7,FALSE)</f>
        <v>#N/A</v>
      </c>
      <c r="AH545" s="230" t="e">
        <f>T545-HLOOKUP(V545,Minimas!$C$3:$CD$12,8,FALSE)</f>
        <v>#N/A</v>
      </c>
      <c r="AI545" s="230" t="e">
        <f>T545-HLOOKUP(V545,Minimas!$C$3:$CD$12,9,FALSE)</f>
        <v>#N/A</v>
      </c>
      <c r="AJ545" s="230" t="e">
        <f>T545-HLOOKUP(V545,Minimas!$C$3:$CD$12,10,FALSE)</f>
        <v>#N/A</v>
      </c>
      <c r="AK545" s="231" t="str">
        <f t="shared" si="102"/>
        <v xml:space="preserve"> </v>
      </c>
      <c r="AL545" s="232"/>
      <c r="AM545" s="232" t="str">
        <f t="shared" si="103"/>
        <v xml:space="preserve"> </v>
      </c>
      <c r="AN545" s="232" t="str">
        <f t="shared" si="104"/>
        <v xml:space="preserve"> </v>
      </c>
    </row>
    <row r="546" spans="28:40" x14ac:dyDescent="0.25">
      <c r="AB546" s="230" t="e">
        <f>T546-HLOOKUP(V546,Minimas!$C$3:$CD$12,2,FALSE)</f>
        <v>#N/A</v>
      </c>
      <c r="AC546" s="230" t="e">
        <f>T546-HLOOKUP(V546,Minimas!$C$3:$CD$12,3,FALSE)</f>
        <v>#N/A</v>
      </c>
      <c r="AD546" s="230" t="e">
        <f>T546-HLOOKUP(V546,Minimas!$C$3:$CD$12,4,FALSE)</f>
        <v>#N/A</v>
      </c>
      <c r="AE546" s="230" t="e">
        <f>T546-HLOOKUP(V546,Minimas!$C$3:$CD$12,5,FALSE)</f>
        <v>#N/A</v>
      </c>
      <c r="AF546" s="230" t="e">
        <f>T546-HLOOKUP(V546,Minimas!$C$3:$CD$12,6,FALSE)</f>
        <v>#N/A</v>
      </c>
      <c r="AG546" s="230" t="e">
        <f>T546-HLOOKUP(V546,Minimas!$C$3:$CD$12,7,FALSE)</f>
        <v>#N/A</v>
      </c>
      <c r="AH546" s="230" t="e">
        <f>T546-HLOOKUP(V546,Minimas!$C$3:$CD$12,8,FALSE)</f>
        <v>#N/A</v>
      </c>
      <c r="AI546" s="230" t="e">
        <f>T546-HLOOKUP(V546,Minimas!$C$3:$CD$12,9,FALSE)</f>
        <v>#N/A</v>
      </c>
      <c r="AJ546" s="230" t="e">
        <f>T546-HLOOKUP(V546,Minimas!$C$3:$CD$12,10,FALSE)</f>
        <v>#N/A</v>
      </c>
      <c r="AK546" s="231" t="str">
        <f t="shared" si="102"/>
        <v xml:space="preserve"> </v>
      </c>
      <c r="AL546" s="232"/>
      <c r="AM546" s="232" t="str">
        <f t="shared" si="103"/>
        <v xml:space="preserve"> </v>
      </c>
      <c r="AN546" s="232" t="str">
        <f t="shared" si="104"/>
        <v xml:space="preserve"> </v>
      </c>
    </row>
    <row r="547" spans="28:40" x14ac:dyDescent="0.25">
      <c r="AB547" s="230" t="e">
        <f>T547-HLOOKUP(V547,Minimas!$C$3:$CD$12,2,FALSE)</f>
        <v>#N/A</v>
      </c>
      <c r="AC547" s="230" t="e">
        <f>T547-HLOOKUP(V547,Minimas!$C$3:$CD$12,3,FALSE)</f>
        <v>#N/A</v>
      </c>
      <c r="AD547" s="230" t="e">
        <f>T547-HLOOKUP(V547,Minimas!$C$3:$CD$12,4,FALSE)</f>
        <v>#N/A</v>
      </c>
      <c r="AE547" s="230" t="e">
        <f>T547-HLOOKUP(V547,Minimas!$C$3:$CD$12,5,FALSE)</f>
        <v>#N/A</v>
      </c>
      <c r="AF547" s="230" t="e">
        <f>T547-HLOOKUP(V547,Minimas!$C$3:$CD$12,6,FALSE)</f>
        <v>#N/A</v>
      </c>
      <c r="AG547" s="230" t="e">
        <f>T547-HLOOKUP(V547,Minimas!$C$3:$CD$12,7,FALSE)</f>
        <v>#N/A</v>
      </c>
      <c r="AH547" s="230" t="e">
        <f>T547-HLOOKUP(V547,Minimas!$C$3:$CD$12,8,FALSE)</f>
        <v>#N/A</v>
      </c>
      <c r="AI547" s="230" t="e">
        <f>T547-HLOOKUP(V547,Minimas!$C$3:$CD$12,9,FALSE)</f>
        <v>#N/A</v>
      </c>
      <c r="AJ547" s="230" t="e">
        <f>T547-HLOOKUP(V547,Minimas!$C$3:$CD$12,10,FALSE)</f>
        <v>#N/A</v>
      </c>
      <c r="AK547" s="231" t="str">
        <f t="shared" si="102"/>
        <v xml:space="preserve"> </v>
      </c>
      <c r="AL547" s="232"/>
      <c r="AM547" s="232" t="str">
        <f t="shared" si="103"/>
        <v xml:space="preserve"> </v>
      </c>
      <c r="AN547" s="232" t="str">
        <f t="shared" si="104"/>
        <v xml:space="preserve"> </v>
      </c>
    </row>
    <row r="548" spans="28:40" x14ac:dyDescent="0.25">
      <c r="AB548" s="230" t="e">
        <f>T548-HLOOKUP(V548,Minimas!$C$3:$CD$12,2,FALSE)</f>
        <v>#N/A</v>
      </c>
      <c r="AC548" s="230" t="e">
        <f>T548-HLOOKUP(V548,Minimas!$C$3:$CD$12,3,FALSE)</f>
        <v>#N/A</v>
      </c>
      <c r="AD548" s="230" t="e">
        <f>T548-HLOOKUP(V548,Minimas!$C$3:$CD$12,4,FALSE)</f>
        <v>#N/A</v>
      </c>
      <c r="AE548" s="230" t="e">
        <f>T548-HLOOKUP(V548,Minimas!$C$3:$CD$12,5,FALSE)</f>
        <v>#N/A</v>
      </c>
      <c r="AF548" s="230" t="e">
        <f>T548-HLOOKUP(V548,Minimas!$C$3:$CD$12,6,FALSE)</f>
        <v>#N/A</v>
      </c>
      <c r="AG548" s="230" t="e">
        <f>T548-HLOOKUP(V548,Minimas!$C$3:$CD$12,7,FALSE)</f>
        <v>#N/A</v>
      </c>
      <c r="AH548" s="230" t="e">
        <f>T548-HLOOKUP(V548,Minimas!$C$3:$CD$12,8,FALSE)</f>
        <v>#N/A</v>
      </c>
      <c r="AI548" s="230" t="e">
        <f>T548-HLOOKUP(V548,Minimas!$C$3:$CD$12,9,FALSE)</f>
        <v>#N/A</v>
      </c>
      <c r="AJ548" s="230" t="e">
        <f>T548-HLOOKUP(V548,Minimas!$C$3:$CD$12,10,FALSE)</f>
        <v>#N/A</v>
      </c>
      <c r="AK548" s="231" t="str">
        <f t="shared" si="102"/>
        <v xml:space="preserve"> </v>
      </c>
      <c r="AL548" s="232"/>
      <c r="AM548" s="232" t="str">
        <f t="shared" si="103"/>
        <v xml:space="preserve"> </v>
      </c>
      <c r="AN548" s="232" t="str">
        <f t="shared" si="104"/>
        <v xml:space="preserve"> </v>
      </c>
    </row>
    <row r="549" spans="28:40" x14ac:dyDescent="0.25">
      <c r="AB549" s="230" t="e">
        <f>T549-HLOOKUP(V549,Minimas!$C$3:$CD$12,2,FALSE)</f>
        <v>#N/A</v>
      </c>
      <c r="AC549" s="230" t="e">
        <f>T549-HLOOKUP(V549,Minimas!$C$3:$CD$12,3,FALSE)</f>
        <v>#N/A</v>
      </c>
      <c r="AD549" s="230" t="e">
        <f>T549-HLOOKUP(V549,Minimas!$C$3:$CD$12,4,FALSE)</f>
        <v>#N/A</v>
      </c>
      <c r="AE549" s="230" t="e">
        <f>T549-HLOOKUP(V549,Minimas!$C$3:$CD$12,5,FALSE)</f>
        <v>#N/A</v>
      </c>
      <c r="AF549" s="230" t="e">
        <f>T549-HLOOKUP(V549,Minimas!$C$3:$CD$12,6,FALSE)</f>
        <v>#N/A</v>
      </c>
      <c r="AG549" s="230" t="e">
        <f>T549-HLOOKUP(V549,Minimas!$C$3:$CD$12,7,FALSE)</f>
        <v>#N/A</v>
      </c>
      <c r="AH549" s="230" t="e">
        <f>T549-HLOOKUP(V549,Minimas!$C$3:$CD$12,8,FALSE)</f>
        <v>#N/A</v>
      </c>
      <c r="AI549" s="230" t="e">
        <f>T549-HLOOKUP(V549,Minimas!$C$3:$CD$12,9,FALSE)</f>
        <v>#N/A</v>
      </c>
      <c r="AJ549" s="230" t="e">
        <f>T549-HLOOKUP(V549,Minimas!$C$3:$CD$12,10,FALSE)</f>
        <v>#N/A</v>
      </c>
      <c r="AK549" s="231" t="str">
        <f t="shared" si="102"/>
        <v xml:space="preserve"> </v>
      </c>
      <c r="AL549" s="232"/>
      <c r="AM549" s="232" t="str">
        <f t="shared" si="103"/>
        <v xml:space="preserve"> </v>
      </c>
      <c r="AN549" s="232" t="str">
        <f t="shared" si="104"/>
        <v xml:space="preserve"> </v>
      </c>
    </row>
    <row r="550" spans="28:40" x14ac:dyDescent="0.25">
      <c r="AB550" s="230" t="e">
        <f>T550-HLOOKUP(V550,Minimas!$C$3:$CD$12,2,FALSE)</f>
        <v>#N/A</v>
      </c>
      <c r="AC550" s="230" t="e">
        <f>T550-HLOOKUP(V550,Minimas!$C$3:$CD$12,3,FALSE)</f>
        <v>#N/A</v>
      </c>
      <c r="AD550" s="230" t="e">
        <f>T550-HLOOKUP(V550,Minimas!$C$3:$CD$12,4,FALSE)</f>
        <v>#N/A</v>
      </c>
      <c r="AE550" s="230" t="e">
        <f>T550-HLOOKUP(V550,Minimas!$C$3:$CD$12,5,FALSE)</f>
        <v>#N/A</v>
      </c>
      <c r="AF550" s="230" t="e">
        <f>T550-HLOOKUP(V550,Minimas!$C$3:$CD$12,6,FALSE)</f>
        <v>#N/A</v>
      </c>
      <c r="AG550" s="230" t="e">
        <f>T550-HLOOKUP(V550,Minimas!$C$3:$CD$12,7,FALSE)</f>
        <v>#N/A</v>
      </c>
      <c r="AH550" s="230" t="e">
        <f>T550-HLOOKUP(V550,Minimas!$C$3:$CD$12,8,FALSE)</f>
        <v>#N/A</v>
      </c>
      <c r="AI550" s="230" t="e">
        <f>T550-HLOOKUP(V550,Minimas!$C$3:$CD$12,9,FALSE)</f>
        <v>#N/A</v>
      </c>
      <c r="AJ550" s="230" t="e">
        <f>T550-HLOOKUP(V550,Minimas!$C$3:$CD$12,10,FALSE)</f>
        <v>#N/A</v>
      </c>
      <c r="AK550" s="231" t="str">
        <f t="shared" si="102"/>
        <v xml:space="preserve"> </v>
      </c>
      <c r="AL550" s="232"/>
      <c r="AM550" s="232" t="str">
        <f t="shared" si="103"/>
        <v xml:space="preserve"> </v>
      </c>
      <c r="AN550" s="232" t="str">
        <f t="shared" si="104"/>
        <v xml:space="preserve"> </v>
      </c>
    </row>
    <row r="551" spans="28:40" x14ac:dyDescent="0.25">
      <c r="AB551" s="230" t="e">
        <f>T551-HLOOKUP(V551,Minimas!$C$3:$CD$12,2,FALSE)</f>
        <v>#N/A</v>
      </c>
      <c r="AC551" s="230" t="e">
        <f>T551-HLOOKUP(V551,Minimas!$C$3:$CD$12,3,FALSE)</f>
        <v>#N/A</v>
      </c>
      <c r="AD551" s="230" t="e">
        <f>T551-HLOOKUP(V551,Minimas!$C$3:$CD$12,4,FALSE)</f>
        <v>#N/A</v>
      </c>
      <c r="AE551" s="230" t="e">
        <f>T551-HLOOKUP(V551,Minimas!$C$3:$CD$12,5,FALSE)</f>
        <v>#N/A</v>
      </c>
      <c r="AF551" s="230" t="e">
        <f>T551-HLOOKUP(V551,Minimas!$C$3:$CD$12,6,FALSE)</f>
        <v>#N/A</v>
      </c>
      <c r="AG551" s="230" t="e">
        <f>T551-HLOOKUP(V551,Minimas!$C$3:$CD$12,7,FALSE)</f>
        <v>#N/A</v>
      </c>
      <c r="AH551" s="230" t="e">
        <f>T551-HLOOKUP(V551,Minimas!$C$3:$CD$12,8,FALSE)</f>
        <v>#N/A</v>
      </c>
      <c r="AI551" s="230" t="e">
        <f>T551-HLOOKUP(V551,Minimas!$C$3:$CD$12,9,FALSE)</f>
        <v>#N/A</v>
      </c>
      <c r="AJ551" s="230" t="e">
        <f>T551-HLOOKUP(V551,Minimas!$C$3:$CD$12,10,FALSE)</f>
        <v>#N/A</v>
      </c>
      <c r="AK551" s="231" t="str">
        <f t="shared" si="102"/>
        <v xml:space="preserve"> </v>
      </c>
      <c r="AL551" s="232"/>
      <c r="AM551" s="232" t="str">
        <f t="shared" si="103"/>
        <v xml:space="preserve"> </v>
      </c>
      <c r="AN551" s="232" t="str">
        <f t="shared" si="104"/>
        <v xml:space="preserve"> </v>
      </c>
    </row>
    <row r="552" spans="28:40" x14ac:dyDescent="0.25">
      <c r="AB552" s="230" t="e">
        <f>T552-HLOOKUP(V552,Minimas!$C$3:$CD$12,2,FALSE)</f>
        <v>#N/A</v>
      </c>
      <c r="AC552" s="230" t="e">
        <f>T552-HLOOKUP(V552,Minimas!$C$3:$CD$12,3,FALSE)</f>
        <v>#N/A</v>
      </c>
      <c r="AD552" s="230" t="e">
        <f>T552-HLOOKUP(V552,Minimas!$C$3:$CD$12,4,FALSE)</f>
        <v>#N/A</v>
      </c>
      <c r="AE552" s="230" t="e">
        <f>T552-HLOOKUP(V552,Minimas!$C$3:$CD$12,5,FALSE)</f>
        <v>#N/A</v>
      </c>
      <c r="AF552" s="230" t="e">
        <f>T552-HLOOKUP(V552,Minimas!$C$3:$CD$12,6,FALSE)</f>
        <v>#N/A</v>
      </c>
      <c r="AG552" s="230" t="e">
        <f>T552-HLOOKUP(V552,Minimas!$C$3:$CD$12,7,FALSE)</f>
        <v>#N/A</v>
      </c>
      <c r="AH552" s="230" t="e">
        <f>T552-HLOOKUP(V552,Minimas!$C$3:$CD$12,8,FALSE)</f>
        <v>#N/A</v>
      </c>
      <c r="AI552" s="230" t="e">
        <f>T552-HLOOKUP(V552,Minimas!$C$3:$CD$12,9,FALSE)</f>
        <v>#N/A</v>
      </c>
      <c r="AJ552" s="230" t="e">
        <f>T552-HLOOKUP(V552,Minimas!$C$3:$CD$12,10,FALSE)</f>
        <v>#N/A</v>
      </c>
      <c r="AK552" s="231" t="str">
        <f t="shared" si="102"/>
        <v xml:space="preserve"> </v>
      </c>
      <c r="AL552" s="232"/>
      <c r="AM552" s="232" t="str">
        <f t="shared" si="103"/>
        <v xml:space="preserve"> </v>
      </c>
      <c r="AN552" s="232" t="str">
        <f t="shared" si="104"/>
        <v xml:space="preserve"> </v>
      </c>
    </row>
    <row r="553" spans="28:40" x14ac:dyDescent="0.25">
      <c r="AB553" s="230" t="e">
        <f>T553-HLOOKUP(V553,Minimas!$C$3:$CD$12,2,FALSE)</f>
        <v>#N/A</v>
      </c>
      <c r="AC553" s="230" t="e">
        <f>T553-HLOOKUP(V553,Minimas!$C$3:$CD$12,3,FALSE)</f>
        <v>#N/A</v>
      </c>
      <c r="AD553" s="230" t="e">
        <f>T553-HLOOKUP(V553,Minimas!$C$3:$CD$12,4,FALSE)</f>
        <v>#N/A</v>
      </c>
      <c r="AE553" s="230" t="e">
        <f>T553-HLOOKUP(V553,Minimas!$C$3:$CD$12,5,FALSE)</f>
        <v>#N/A</v>
      </c>
      <c r="AF553" s="230" t="e">
        <f>T553-HLOOKUP(V553,Minimas!$C$3:$CD$12,6,FALSE)</f>
        <v>#N/A</v>
      </c>
      <c r="AG553" s="230" t="e">
        <f>T553-HLOOKUP(V553,Minimas!$C$3:$CD$12,7,FALSE)</f>
        <v>#N/A</v>
      </c>
      <c r="AH553" s="230" t="e">
        <f>T553-HLOOKUP(V553,Minimas!$C$3:$CD$12,8,FALSE)</f>
        <v>#N/A</v>
      </c>
      <c r="AI553" s="230" t="e">
        <f>T553-HLOOKUP(V553,Minimas!$C$3:$CD$12,9,FALSE)</f>
        <v>#N/A</v>
      </c>
      <c r="AJ553" s="230" t="e">
        <f>T553-HLOOKUP(V553,Minimas!$C$3:$CD$12,10,FALSE)</f>
        <v>#N/A</v>
      </c>
      <c r="AK553" s="231" t="str">
        <f t="shared" si="102"/>
        <v xml:space="preserve"> </v>
      </c>
      <c r="AL553" s="232"/>
      <c r="AM553" s="232" t="str">
        <f t="shared" si="103"/>
        <v xml:space="preserve"> </v>
      </c>
      <c r="AN553" s="232" t="str">
        <f t="shared" si="104"/>
        <v xml:space="preserve"> </v>
      </c>
    </row>
    <row r="554" spans="28:40" x14ac:dyDescent="0.25">
      <c r="AB554" s="230" t="e">
        <f>T554-HLOOKUP(V554,Minimas!$C$3:$CD$12,2,FALSE)</f>
        <v>#N/A</v>
      </c>
      <c r="AC554" s="230" t="e">
        <f>T554-HLOOKUP(V554,Minimas!$C$3:$CD$12,3,FALSE)</f>
        <v>#N/A</v>
      </c>
      <c r="AD554" s="230" t="e">
        <f>T554-HLOOKUP(V554,Minimas!$C$3:$CD$12,4,FALSE)</f>
        <v>#N/A</v>
      </c>
      <c r="AE554" s="230" t="e">
        <f>T554-HLOOKUP(V554,Minimas!$C$3:$CD$12,5,FALSE)</f>
        <v>#N/A</v>
      </c>
      <c r="AF554" s="230" t="e">
        <f>T554-HLOOKUP(V554,Minimas!$C$3:$CD$12,6,FALSE)</f>
        <v>#N/A</v>
      </c>
      <c r="AG554" s="230" t="e">
        <f>T554-HLOOKUP(V554,Minimas!$C$3:$CD$12,7,FALSE)</f>
        <v>#N/A</v>
      </c>
      <c r="AH554" s="230" t="e">
        <f>T554-HLOOKUP(V554,Minimas!$C$3:$CD$12,8,FALSE)</f>
        <v>#N/A</v>
      </c>
      <c r="AI554" s="230" t="e">
        <f>T554-HLOOKUP(V554,Minimas!$C$3:$CD$12,9,FALSE)</f>
        <v>#N/A</v>
      </c>
      <c r="AJ554" s="230" t="e">
        <f>T554-HLOOKUP(V554,Minimas!$C$3:$CD$12,10,FALSE)</f>
        <v>#N/A</v>
      </c>
      <c r="AK554" s="231" t="str">
        <f t="shared" si="102"/>
        <v xml:space="preserve"> </v>
      </c>
      <c r="AL554" s="232"/>
      <c r="AM554" s="232" t="str">
        <f t="shared" si="103"/>
        <v xml:space="preserve"> </v>
      </c>
      <c r="AN554" s="232" t="str">
        <f t="shared" si="104"/>
        <v xml:space="preserve"> </v>
      </c>
    </row>
    <row r="555" spans="28:40" x14ac:dyDescent="0.25">
      <c r="AB555" s="230" t="e">
        <f>T555-HLOOKUP(V555,Minimas!$C$3:$CD$12,2,FALSE)</f>
        <v>#N/A</v>
      </c>
      <c r="AC555" s="230" t="e">
        <f>T555-HLOOKUP(V555,Minimas!$C$3:$CD$12,3,FALSE)</f>
        <v>#N/A</v>
      </c>
      <c r="AD555" s="230" t="e">
        <f>T555-HLOOKUP(V555,Minimas!$C$3:$CD$12,4,FALSE)</f>
        <v>#N/A</v>
      </c>
      <c r="AE555" s="230" t="e">
        <f>T555-HLOOKUP(V555,Minimas!$C$3:$CD$12,5,FALSE)</f>
        <v>#N/A</v>
      </c>
      <c r="AF555" s="230" t="e">
        <f>T555-HLOOKUP(V555,Minimas!$C$3:$CD$12,6,FALSE)</f>
        <v>#N/A</v>
      </c>
      <c r="AG555" s="230" t="e">
        <f>T555-HLOOKUP(V555,Minimas!$C$3:$CD$12,7,FALSE)</f>
        <v>#N/A</v>
      </c>
      <c r="AH555" s="230" t="e">
        <f>T555-HLOOKUP(V555,Minimas!$C$3:$CD$12,8,FALSE)</f>
        <v>#N/A</v>
      </c>
      <c r="AI555" s="230" t="e">
        <f>T555-HLOOKUP(V555,Minimas!$C$3:$CD$12,9,FALSE)</f>
        <v>#N/A</v>
      </c>
      <c r="AJ555" s="230" t="e">
        <f>T555-HLOOKUP(V555,Minimas!$C$3:$CD$12,10,FALSE)</f>
        <v>#N/A</v>
      </c>
      <c r="AK555" s="231" t="str">
        <f t="shared" si="102"/>
        <v xml:space="preserve"> </v>
      </c>
      <c r="AL555" s="232"/>
      <c r="AM555" s="232" t="str">
        <f t="shared" si="103"/>
        <v xml:space="preserve"> </v>
      </c>
      <c r="AN555" s="232" t="str">
        <f t="shared" si="104"/>
        <v xml:space="preserve"> </v>
      </c>
    </row>
    <row r="556" spans="28:40" x14ac:dyDescent="0.25">
      <c r="AB556" s="230" t="e">
        <f>T556-HLOOKUP(V556,Minimas!$C$3:$CD$12,2,FALSE)</f>
        <v>#N/A</v>
      </c>
      <c r="AC556" s="230" t="e">
        <f>T556-HLOOKUP(V556,Minimas!$C$3:$CD$12,3,FALSE)</f>
        <v>#N/A</v>
      </c>
      <c r="AD556" s="230" t="e">
        <f>T556-HLOOKUP(V556,Minimas!$C$3:$CD$12,4,FALSE)</f>
        <v>#N/A</v>
      </c>
      <c r="AE556" s="230" t="e">
        <f>T556-HLOOKUP(V556,Minimas!$C$3:$CD$12,5,FALSE)</f>
        <v>#N/A</v>
      </c>
      <c r="AF556" s="230" t="e">
        <f>T556-HLOOKUP(V556,Minimas!$C$3:$CD$12,6,FALSE)</f>
        <v>#N/A</v>
      </c>
      <c r="AG556" s="230" t="e">
        <f>T556-HLOOKUP(V556,Minimas!$C$3:$CD$12,7,FALSE)</f>
        <v>#N/A</v>
      </c>
      <c r="AH556" s="230" t="e">
        <f>T556-HLOOKUP(V556,Minimas!$C$3:$CD$12,8,FALSE)</f>
        <v>#N/A</v>
      </c>
      <c r="AI556" s="230" t="e">
        <f>T556-HLOOKUP(V556,Minimas!$C$3:$CD$12,9,FALSE)</f>
        <v>#N/A</v>
      </c>
      <c r="AJ556" s="230" t="e">
        <f>T556-HLOOKUP(V556,Minimas!$C$3:$CD$12,10,FALSE)</f>
        <v>#N/A</v>
      </c>
      <c r="AK556" s="231" t="str">
        <f t="shared" si="102"/>
        <v xml:space="preserve"> </v>
      </c>
      <c r="AL556" s="232"/>
      <c r="AM556" s="232" t="str">
        <f t="shared" si="103"/>
        <v xml:space="preserve"> </v>
      </c>
      <c r="AN556" s="232" t="str">
        <f t="shared" si="104"/>
        <v xml:space="preserve"> </v>
      </c>
    </row>
    <row r="557" spans="28:40" x14ac:dyDescent="0.25">
      <c r="AB557" s="230" t="e">
        <f>T557-HLOOKUP(V557,Minimas!$C$3:$CD$12,2,FALSE)</f>
        <v>#N/A</v>
      </c>
      <c r="AC557" s="230" t="e">
        <f>T557-HLOOKUP(V557,Minimas!$C$3:$CD$12,3,FALSE)</f>
        <v>#N/A</v>
      </c>
      <c r="AD557" s="230" t="e">
        <f>T557-HLOOKUP(V557,Minimas!$C$3:$CD$12,4,FALSE)</f>
        <v>#N/A</v>
      </c>
      <c r="AE557" s="230" t="e">
        <f>T557-HLOOKUP(V557,Minimas!$C$3:$CD$12,5,FALSE)</f>
        <v>#N/A</v>
      </c>
      <c r="AF557" s="230" t="e">
        <f>T557-HLOOKUP(V557,Minimas!$C$3:$CD$12,6,FALSE)</f>
        <v>#N/A</v>
      </c>
      <c r="AG557" s="230" t="e">
        <f>T557-HLOOKUP(V557,Minimas!$C$3:$CD$12,7,FALSE)</f>
        <v>#N/A</v>
      </c>
      <c r="AH557" s="230" t="e">
        <f>T557-HLOOKUP(V557,Minimas!$C$3:$CD$12,8,FALSE)</f>
        <v>#N/A</v>
      </c>
      <c r="AI557" s="230" t="e">
        <f>T557-HLOOKUP(V557,Minimas!$C$3:$CD$12,9,FALSE)</f>
        <v>#N/A</v>
      </c>
      <c r="AJ557" s="230" t="e">
        <f>T557-HLOOKUP(V557,Minimas!$C$3:$CD$12,10,FALSE)</f>
        <v>#N/A</v>
      </c>
      <c r="AK557" s="231" t="str">
        <f t="shared" si="102"/>
        <v xml:space="preserve"> </v>
      </c>
      <c r="AL557" s="232"/>
      <c r="AM557" s="232" t="str">
        <f t="shared" si="103"/>
        <v xml:space="preserve"> </v>
      </c>
      <c r="AN557" s="232" t="str">
        <f t="shared" si="104"/>
        <v xml:space="preserve"> </v>
      </c>
    </row>
    <row r="558" spans="28:40" x14ac:dyDescent="0.25">
      <c r="AB558" s="230" t="e">
        <f>T558-HLOOKUP(V558,Minimas!$C$3:$CD$12,2,FALSE)</f>
        <v>#N/A</v>
      </c>
      <c r="AC558" s="230" t="e">
        <f>T558-HLOOKUP(V558,Minimas!$C$3:$CD$12,3,FALSE)</f>
        <v>#N/A</v>
      </c>
      <c r="AD558" s="230" t="e">
        <f>T558-HLOOKUP(V558,Minimas!$C$3:$CD$12,4,FALSE)</f>
        <v>#N/A</v>
      </c>
      <c r="AE558" s="230" t="e">
        <f>T558-HLOOKUP(V558,Minimas!$C$3:$CD$12,5,FALSE)</f>
        <v>#N/A</v>
      </c>
      <c r="AF558" s="230" t="e">
        <f>T558-HLOOKUP(V558,Minimas!$C$3:$CD$12,6,FALSE)</f>
        <v>#N/A</v>
      </c>
      <c r="AG558" s="230" t="e">
        <f>T558-HLOOKUP(V558,Minimas!$C$3:$CD$12,7,FALSE)</f>
        <v>#N/A</v>
      </c>
      <c r="AH558" s="230" t="e">
        <f>T558-HLOOKUP(V558,Minimas!$C$3:$CD$12,8,FALSE)</f>
        <v>#N/A</v>
      </c>
      <c r="AI558" s="230" t="e">
        <f>T558-HLOOKUP(V558,Minimas!$C$3:$CD$12,9,FALSE)</f>
        <v>#N/A</v>
      </c>
      <c r="AJ558" s="230" t="e">
        <f>T558-HLOOKUP(V558,Minimas!$C$3:$CD$12,10,FALSE)</f>
        <v>#N/A</v>
      </c>
      <c r="AK558" s="231" t="str">
        <f t="shared" si="102"/>
        <v xml:space="preserve"> </v>
      </c>
      <c r="AL558" s="232"/>
      <c r="AM558" s="232" t="str">
        <f t="shared" si="103"/>
        <v xml:space="preserve"> </v>
      </c>
      <c r="AN558" s="232" t="str">
        <f t="shared" si="104"/>
        <v xml:space="preserve"> </v>
      </c>
    </row>
    <row r="559" spans="28:40" x14ac:dyDescent="0.25">
      <c r="AB559" s="230" t="e">
        <f>T559-HLOOKUP(V559,Minimas!$C$3:$CD$12,2,FALSE)</f>
        <v>#N/A</v>
      </c>
      <c r="AC559" s="230" t="e">
        <f>T559-HLOOKUP(V559,Minimas!$C$3:$CD$12,3,FALSE)</f>
        <v>#N/A</v>
      </c>
      <c r="AD559" s="230" t="e">
        <f>T559-HLOOKUP(V559,Minimas!$C$3:$CD$12,4,FALSE)</f>
        <v>#N/A</v>
      </c>
      <c r="AE559" s="230" t="e">
        <f>T559-HLOOKUP(V559,Minimas!$C$3:$CD$12,5,FALSE)</f>
        <v>#N/A</v>
      </c>
      <c r="AF559" s="230" t="e">
        <f>T559-HLOOKUP(V559,Minimas!$C$3:$CD$12,6,FALSE)</f>
        <v>#N/A</v>
      </c>
      <c r="AG559" s="230" t="e">
        <f>T559-HLOOKUP(V559,Minimas!$C$3:$CD$12,7,FALSE)</f>
        <v>#N/A</v>
      </c>
      <c r="AH559" s="230" t="e">
        <f>T559-HLOOKUP(V559,Minimas!$C$3:$CD$12,8,FALSE)</f>
        <v>#N/A</v>
      </c>
      <c r="AI559" s="230" t="e">
        <f>T559-HLOOKUP(V559,Minimas!$C$3:$CD$12,9,FALSE)</f>
        <v>#N/A</v>
      </c>
      <c r="AJ559" s="230" t="e">
        <f>T559-HLOOKUP(V559,Minimas!$C$3:$CD$12,10,FALSE)</f>
        <v>#N/A</v>
      </c>
      <c r="AK559" s="231" t="str">
        <f t="shared" si="102"/>
        <v xml:space="preserve"> </v>
      </c>
      <c r="AL559" s="232"/>
      <c r="AM559" s="232" t="str">
        <f t="shared" si="103"/>
        <v xml:space="preserve"> </v>
      </c>
      <c r="AN559" s="232" t="str">
        <f t="shared" si="104"/>
        <v xml:space="preserve"> </v>
      </c>
    </row>
    <row r="560" spans="28:40" x14ac:dyDescent="0.25">
      <c r="AB560" s="230" t="e">
        <f>T560-HLOOKUP(V560,Minimas!$C$3:$CD$12,2,FALSE)</f>
        <v>#N/A</v>
      </c>
      <c r="AC560" s="230" t="e">
        <f>T560-HLOOKUP(V560,Minimas!$C$3:$CD$12,3,FALSE)</f>
        <v>#N/A</v>
      </c>
      <c r="AD560" s="230" t="e">
        <f>T560-HLOOKUP(V560,Minimas!$C$3:$CD$12,4,FALSE)</f>
        <v>#N/A</v>
      </c>
      <c r="AE560" s="230" t="e">
        <f>T560-HLOOKUP(V560,Minimas!$C$3:$CD$12,5,FALSE)</f>
        <v>#N/A</v>
      </c>
      <c r="AF560" s="230" t="e">
        <f>T560-HLOOKUP(V560,Minimas!$C$3:$CD$12,6,FALSE)</f>
        <v>#N/A</v>
      </c>
      <c r="AG560" s="230" t="e">
        <f>T560-HLOOKUP(V560,Minimas!$C$3:$CD$12,7,FALSE)</f>
        <v>#N/A</v>
      </c>
      <c r="AH560" s="230" t="e">
        <f>T560-HLOOKUP(V560,Minimas!$C$3:$CD$12,8,FALSE)</f>
        <v>#N/A</v>
      </c>
      <c r="AI560" s="230" t="e">
        <f>T560-HLOOKUP(V560,Minimas!$C$3:$CD$12,9,FALSE)</f>
        <v>#N/A</v>
      </c>
      <c r="AJ560" s="230" t="e">
        <f>T560-HLOOKUP(V560,Minimas!$C$3:$CD$12,10,FALSE)</f>
        <v>#N/A</v>
      </c>
      <c r="AK560" s="231" t="str">
        <f t="shared" si="102"/>
        <v xml:space="preserve"> </v>
      </c>
      <c r="AL560" s="232"/>
      <c r="AM560" s="232" t="str">
        <f t="shared" si="103"/>
        <v xml:space="preserve"> </v>
      </c>
      <c r="AN560" s="232" t="str">
        <f t="shared" si="104"/>
        <v xml:space="preserve"> </v>
      </c>
    </row>
    <row r="561" spans="28:40" x14ac:dyDescent="0.25">
      <c r="AB561" s="230" t="e">
        <f>T561-HLOOKUP(V561,Minimas!$C$3:$CD$12,2,FALSE)</f>
        <v>#N/A</v>
      </c>
      <c r="AC561" s="230" t="e">
        <f>T561-HLOOKUP(V561,Minimas!$C$3:$CD$12,3,FALSE)</f>
        <v>#N/A</v>
      </c>
      <c r="AD561" s="230" t="e">
        <f>T561-HLOOKUP(V561,Minimas!$C$3:$CD$12,4,FALSE)</f>
        <v>#N/A</v>
      </c>
      <c r="AE561" s="230" t="e">
        <f>T561-HLOOKUP(V561,Minimas!$C$3:$CD$12,5,FALSE)</f>
        <v>#N/A</v>
      </c>
      <c r="AF561" s="230" t="e">
        <f>T561-HLOOKUP(V561,Minimas!$C$3:$CD$12,6,FALSE)</f>
        <v>#N/A</v>
      </c>
      <c r="AG561" s="230" t="e">
        <f>T561-HLOOKUP(V561,Minimas!$C$3:$CD$12,7,FALSE)</f>
        <v>#N/A</v>
      </c>
      <c r="AH561" s="230" t="e">
        <f>T561-HLOOKUP(V561,Minimas!$C$3:$CD$12,8,FALSE)</f>
        <v>#N/A</v>
      </c>
      <c r="AI561" s="230" t="e">
        <f>T561-HLOOKUP(V561,Minimas!$C$3:$CD$12,9,FALSE)</f>
        <v>#N/A</v>
      </c>
      <c r="AJ561" s="230" t="e">
        <f>T561-HLOOKUP(V561,Minimas!$C$3:$CD$12,10,FALSE)</f>
        <v>#N/A</v>
      </c>
      <c r="AK561" s="231" t="str">
        <f t="shared" si="102"/>
        <v xml:space="preserve"> </v>
      </c>
      <c r="AL561" s="232"/>
      <c r="AM561" s="232" t="str">
        <f t="shared" si="103"/>
        <v xml:space="preserve"> </v>
      </c>
      <c r="AN561" s="232" t="str">
        <f t="shared" si="104"/>
        <v xml:space="preserve"> </v>
      </c>
    </row>
    <row r="562" spans="28:40" x14ac:dyDescent="0.25">
      <c r="AB562" s="230" t="e">
        <f>T562-HLOOKUP(V562,Minimas!$C$3:$CD$12,2,FALSE)</f>
        <v>#N/A</v>
      </c>
      <c r="AC562" s="230" t="e">
        <f>T562-HLOOKUP(V562,Minimas!$C$3:$CD$12,3,FALSE)</f>
        <v>#N/A</v>
      </c>
      <c r="AD562" s="230" t="e">
        <f>T562-HLOOKUP(V562,Minimas!$C$3:$CD$12,4,FALSE)</f>
        <v>#N/A</v>
      </c>
      <c r="AE562" s="230" t="e">
        <f>T562-HLOOKUP(V562,Minimas!$C$3:$CD$12,5,FALSE)</f>
        <v>#N/A</v>
      </c>
      <c r="AF562" s="230" t="e">
        <f>T562-HLOOKUP(V562,Minimas!$C$3:$CD$12,6,FALSE)</f>
        <v>#N/A</v>
      </c>
      <c r="AG562" s="230" t="e">
        <f>T562-HLOOKUP(V562,Minimas!$C$3:$CD$12,7,FALSE)</f>
        <v>#N/A</v>
      </c>
      <c r="AH562" s="230" t="e">
        <f>T562-HLOOKUP(V562,Minimas!$C$3:$CD$12,8,FALSE)</f>
        <v>#N/A</v>
      </c>
      <c r="AI562" s="230" t="e">
        <f>T562-HLOOKUP(V562,Minimas!$C$3:$CD$12,9,FALSE)</f>
        <v>#N/A</v>
      </c>
      <c r="AJ562" s="230" t="e">
        <f>T562-HLOOKUP(V562,Minimas!$C$3:$CD$12,10,FALSE)</f>
        <v>#N/A</v>
      </c>
      <c r="AK562" s="231" t="str">
        <f t="shared" si="102"/>
        <v xml:space="preserve"> </v>
      </c>
      <c r="AL562" s="232"/>
      <c r="AM562" s="232" t="str">
        <f t="shared" si="103"/>
        <v xml:space="preserve"> </v>
      </c>
      <c r="AN562" s="232" t="str">
        <f t="shared" si="104"/>
        <v xml:space="preserve"> </v>
      </c>
    </row>
    <row r="563" spans="28:40" x14ac:dyDescent="0.25">
      <c r="AB563" s="230" t="e">
        <f>T563-HLOOKUP(V563,Minimas!$C$3:$CD$12,2,FALSE)</f>
        <v>#N/A</v>
      </c>
      <c r="AC563" s="230" t="e">
        <f>T563-HLOOKUP(V563,Minimas!$C$3:$CD$12,3,FALSE)</f>
        <v>#N/A</v>
      </c>
      <c r="AD563" s="230" t="e">
        <f>T563-HLOOKUP(V563,Minimas!$C$3:$CD$12,4,FALSE)</f>
        <v>#N/A</v>
      </c>
      <c r="AE563" s="230" t="e">
        <f>T563-HLOOKUP(V563,Minimas!$C$3:$CD$12,5,FALSE)</f>
        <v>#N/A</v>
      </c>
      <c r="AF563" s="230" t="e">
        <f>T563-HLOOKUP(V563,Minimas!$C$3:$CD$12,6,FALSE)</f>
        <v>#N/A</v>
      </c>
      <c r="AG563" s="230" t="e">
        <f>T563-HLOOKUP(V563,Minimas!$C$3:$CD$12,7,FALSE)</f>
        <v>#N/A</v>
      </c>
      <c r="AH563" s="230" t="e">
        <f>T563-HLOOKUP(V563,Minimas!$C$3:$CD$12,8,FALSE)</f>
        <v>#N/A</v>
      </c>
      <c r="AI563" s="230" t="e">
        <f>T563-HLOOKUP(V563,Minimas!$C$3:$CD$12,9,FALSE)</f>
        <v>#N/A</v>
      </c>
      <c r="AJ563" s="230" t="e">
        <f>T563-HLOOKUP(V563,Minimas!$C$3:$CD$12,10,FALSE)</f>
        <v>#N/A</v>
      </c>
      <c r="AK563" s="231" t="str">
        <f t="shared" si="102"/>
        <v xml:space="preserve"> </v>
      </c>
      <c r="AL563" s="232"/>
      <c r="AM563" s="232" t="str">
        <f t="shared" si="103"/>
        <v xml:space="preserve"> </v>
      </c>
      <c r="AN563" s="232" t="str">
        <f t="shared" si="104"/>
        <v xml:space="preserve"> </v>
      </c>
    </row>
    <row r="564" spans="28:40" x14ac:dyDescent="0.25">
      <c r="AB564" s="230" t="e">
        <f>T564-HLOOKUP(V564,Minimas!$C$3:$CD$12,2,FALSE)</f>
        <v>#N/A</v>
      </c>
      <c r="AC564" s="230" t="e">
        <f>T564-HLOOKUP(V564,Minimas!$C$3:$CD$12,3,FALSE)</f>
        <v>#N/A</v>
      </c>
      <c r="AD564" s="230" t="e">
        <f>T564-HLOOKUP(V564,Minimas!$C$3:$CD$12,4,FALSE)</f>
        <v>#N/A</v>
      </c>
      <c r="AE564" s="230" t="e">
        <f>T564-HLOOKUP(V564,Minimas!$C$3:$CD$12,5,FALSE)</f>
        <v>#N/A</v>
      </c>
      <c r="AF564" s="230" t="e">
        <f>T564-HLOOKUP(V564,Minimas!$C$3:$CD$12,6,FALSE)</f>
        <v>#N/A</v>
      </c>
      <c r="AG564" s="230" t="e">
        <f>T564-HLOOKUP(V564,Minimas!$C$3:$CD$12,7,FALSE)</f>
        <v>#N/A</v>
      </c>
      <c r="AH564" s="230" t="e">
        <f>T564-HLOOKUP(V564,Minimas!$C$3:$CD$12,8,FALSE)</f>
        <v>#N/A</v>
      </c>
      <c r="AI564" s="230" t="e">
        <f>T564-HLOOKUP(V564,Minimas!$C$3:$CD$12,9,FALSE)</f>
        <v>#N/A</v>
      </c>
      <c r="AJ564" s="230" t="e">
        <f>T564-HLOOKUP(V564,Minimas!$C$3:$CD$12,10,FALSE)</f>
        <v>#N/A</v>
      </c>
      <c r="AK564" s="231" t="str">
        <f t="shared" si="102"/>
        <v xml:space="preserve"> </v>
      </c>
      <c r="AL564" s="232"/>
      <c r="AM564" s="232" t="str">
        <f t="shared" si="103"/>
        <v xml:space="preserve"> </v>
      </c>
      <c r="AN564" s="232" t="str">
        <f t="shared" si="104"/>
        <v xml:space="preserve"> </v>
      </c>
    </row>
    <row r="565" spans="28:40" x14ac:dyDescent="0.25">
      <c r="AB565" s="230" t="e">
        <f>T565-HLOOKUP(V565,Minimas!$C$3:$CD$12,2,FALSE)</f>
        <v>#N/A</v>
      </c>
      <c r="AC565" s="230" t="e">
        <f>T565-HLOOKUP(V565,Minimas!$C$3:$CD$12,3,FALSE)</f>
        <v>#N/A</v>
      </c>
      <c r="AD565" s="230" t="e">
        <f>T565-HLOOKUP(V565,Minimas!$C$3:$CD$12,4,FALSE)</f>
        <v>#N/A</v>
      </c>
      <c r="AE565" s="230" t="e">
        <f>T565-HLOOKUP(V565,Minimas!$C$3:$CD$12,5,FALSE)</f>
        <v>#N/A</v>
      </c>
      <c r="AF565" s="230" t="e">
        <f>T565-HLOOKUP(V565,Minimas!$C$3:$CD$12,6,FALSE)</f>
        <v>#N/A</v>
      </c>
      <c r="AG565" s="230" t="e">
        <f>T565-HLOOKUP(V565,Minimas!$C$3:$CD$12,7,FALSE)</f>
        <v>#N/A</v>
      </c>
      <c r="AH565" s="230" t="e">
        <f>T565-HLOOKUP(V565,Minimas!$C$3:$CD$12,8,FALSE)</f>
        <v>#N/A</v>
      </c>
      <c r="AI565" s="230" t="e">
        <f>T565-HLOOKUP(V565,Minimas!$C$3:$CD$12,9,FALSE)</f>
        <v>#N/A</v>
      </c>
      <c r="AJ565" s="230" t="e">
        <f>T565-HLOOKUP(V565,Minimas!$C$3:$CD$12,10,FALSE)</f>
        <v>#N/A</v>
      </c>
      <c r="AK565" s="231" t="str">
        <f t="shared" si="102"/>
        <v xml:space="preserve"> </v>
      </c>
      <c r="AL565" s="232"/>
      <c r="AM565" s="232" t="str">
        <f t="shared" si="103"/>
        <v xml:space="preserve"> </v>
      </c>
      <c r="AN565" s="232" t="str">
        <f t="shared" si="104"/>
        <v xml:space="preserve"> </v>
      </c>
    </row>
    <row r="566" spans="28:40" x14ac:dyDescent="0.25">
      <c r="AB566" s="230" t="e">
        <f>T566-HLOOKUP(V566,Minimas!$C$3:$CD$12,2,FALSE)</f>
        <v>#N/A</v>
      </c>
      <c r="AC566" s="230" t="e">
        <f>T566-HLOOKUP(V566,Minimas!$C$3:$CD$12,3,FALSE)</f>
        <v>#N/A</v>
      </c>
      <c r="AD566" s="230" t="e">
        <f>T566-HLOOKUP(V566,Minimas!$C$3:$CD$12,4,FALSE)</f>
        <v>#N/A</v>
      </c>
      <c r="AE566" s="230" t="e">
        <f>T566-HLOOKUP(V566,Minimas!$C$3:$CD$12,5,FALSE)</f>
        <v>#N/A</v>
      </c>
      <c r="AF566" s="230" t="e">
        <f>T566-HLOOKUP(V566,Minimas!$C$3:$CD$12,6,FALSE)</f>
        <v>#N/A</v>
      </c>
      <c r="AG566" s="230" t="e">
        <f>T566-HLOOKUP(V566,Minimas!$C$3:$CD$12,7,FALSE)</f>
        <v>#N/A</v>
      </c>
      <c r="AH566" s="230" t="e">
        <f>T566-HLOOKUP(V566,Minimas!$C$3:$CD$12,8,FALSE)</f>
        <v>#N/A</v>
      </c>
      <c r="AI566" s="230" t="e">
        <f>T566-HLOOKUP(V566,Minimas!$C$3:$CD$12,9,FALSE)</f>
        <v>#N/A</v>
      </c>
      <c r="AJ566" s="230" t="e">
        <f>T566-HLOOKUP(V566,Minimas!$C$3:$CD$12,10,FALSE)</f>
        <v>#N/A</v>
      </c>
      <c r="AK566" s="231" t="str">
        <f t="shared" si="102"/>
        <v xml:space="preserve"> </v>
      </c>
      <c r="AL566" s="232"/>
      <c r="AM566" s="232" t="str">
        <f t="shared" si="103"/>
        <v xml:space="preserve"> </v>
      </c>
      <c r="AN566" s="232" t="str">
        <f t="shared" si="104"/>
        <v xml:space="preserve"> </v>
      </c>
    </row>
    <row r="567" spans="28:40" x14ac:dyDescent="0.25">
      <c r="AB567" s="230" t="e">
        <f>T567-HLOOKUP(V567,Minimas!$C$3:$CD$12,2,FALSE)</f>
        <v>#N/A</v>
      </c>
      <c r="AC567" s="230" t="e">
        <f>T567-HLOOKUP(V567,Minimas!$C$3:$CD$12,3,FALSE)</f>
        <v>#N/A</v>
      </c>
      <c r="AD567" s="230" t="e">
        <f>T567-HLOOKUP(V567,Minimas!$C$3:$CD$12,4,FALSE)</f>
        <v>#N/A</v>
      </c>
      <c r="AE567" s="230" t="e">
        <f>T567-HLOOKUP(V567,Minimas!$C$3:$CD$12,5,FALSE)</f>
        <v>#N/A</v>
      </c>
      <c r="AF567" s="230" t="e">
        <f>T567-HLOOKUP(V567,Minimas!$C$3:$CD$12,6,FALSE)</f>
        <v>#N/A</v>
      </c>
      <c r="AG567" s="230" t="e">
        <f>T567-HLOOKUP(V567,Minimas!$C$3:$CD$12,7,FALSE)</f>
        <v>#N/A</v>
      </c>
      <c r="AH567" s="230" t="e">
        <f>T567-HLOOKUP(V567,Minimas!$C$3:$CD$12,8,FALSE)</f>
        <v>#N/A</v>
      </c>
      <c r="AI567" s="230" t="e">
        <f>T567-HLOOKUP(V567,Minimas!$C$3:$CD$12,9,FALSE)</f>
        <v>#N/A</v>
      </c>
      <c r="AJ567" s="230" t="e">
        <f>T567-HLOOKUP(V567,Minimas!$C$3:$CD$12,10,FALSE)</f>
        <v>#N/A</v>
      </c>
      <c r="AK567" s="231" t="str">
        <f t="shared" si="102"/>
        <v xml:space="preserve"> </v>
      </c>
      <c r="AL567" s="232"/>
      <c r="AM567" s="232" t="str">
        <f t="shared" si="103"/>
        <v xml:space="preserve"> </v>
      </c>
      <c r="AN567" s="232" t="str">
        <f t="shared" si="104"/>
        <v xml:space="preserve"> </v>
      </c>
    </row>
    <row r="568" spans="28:40" x14ac:dyDescent="0.25">
      <c r="AB568" s="230" t="e">
        <f>T568-HLOOKUP(V568,Minimas!$C$3:$CD$12,2,FALSE)</f>
        <v>#N/A</v>
      </c>
      <c r="AC568" s="230" t="e">
        <f>T568-HLOOKUP(V568,Minimas!$C$3:$CD$12,3,FALSE)</f>
        <v>#N/A</v>
      </c>
      <c r="AD568" s="230" t="e">
        <f>T568-HLOOKUP(V568,Minimas!$C$3:$CD$12,4,FALSE)</f>
        <v>#N/A</v>
      </c>
      <c r="AE568" s="230" t="e">
        <f>T568-HLOOKUP(V568,Minimas!$C$3:$CD$12,5,FALSE)</f>
        <v>#N/A</v>
      </c>
      <c r="AF568" s="230" t="e">
        <f>T568-HLOOKUP(V568,Minimas!$C$3:$CD$12,6,FALSE)</f>
        <v>#N/A</v>
      </c>
      <c r="AG568" s="230" t="e">
        <f>T568-HLOOKUP(V568,Minimas!$C$3:$CD$12,7,FALSE)</f>
        <v>#N/A</v>
      </c>
      <c r="AH568" s="230" t="e">
        <f>T568-HLOOKUP(V568,Minimas!$C$3:$CD$12,8,FALSE)</f>
        <v>#N/A</v>
      </c>
      <c r="AI568" s="230" t="e">
        <f>T568-HLOOKUP(V568,Minimas!$C$3:$CD$12,9,FALSE)</f>
        <v>#N/A</v>
      </c>
      <c r="AJ568" s="230" t="e">
        <f>T568-HLOOKUP(V568,Minimas!$C$3:$CD$12,10,FALSE)</f>
        <v>#N/A</v>
      </c>
      <c r="AK568" s="231" t="str">
        <f t="shared" si="102"/>
        <v xml:space="preserve"> </v>
      </c>
      <c r="AL568" s="232"/>
      <c r="AM568" s="232" t="str">
        <f t="shared" si="103"/>
        <v xml:space="preserve"> </v>
      </c>
      <c r="AN568" s="232" t="str">
        <f t="shared" si="104"/>
        <v xml:space="preserve"> </v>
      </c>
    </row>
    <row r="569" spans="28:40" x14ac:dyDescent="0.25">
      <c r="AB569" s="230" t="e">
        <f>T569-HLOOKUP(V569,Minimas!$C$3:$CD$12,2,FALSE)</f>
        <v>#N/A</v>
      </c>
      <c r="AC569" s="230" t="e">
        <f>T569-HLOOKUP(V569,Minimas!$C$3:$CD$12,3,FALSE)</f>
        <v>#N/A</v>
      </c>
      <c r="AD569" s="230" t="e">
        <f>T569-HLOOKUP(V569,Minimas!$C$3:$CD$12,4,FALSE)</f>
        <v>#N/A</v>
      </c>
      <c r="AE569" s="230" t="e">
        <f>T569-HLOOKUP(V569,Minimas!$C$3:$CD$12,5,FALSE)</f>
        <v>#N/A</v>
      </c>
      <c r="AF569" s="230" t="e">
        <f>T569-HLOOKUP(V569,Minimas!$C$3:$CD$12,6,FALSE)</f>
        <v>#N/A</v>
      </c>
      <c r="AG569" s="230" t="e">
        <f>T569-HLOOKUP(V569,Minimas!$C$3:$CD$12,7,FALSE)</f>
        <v>#N/A</v>
      </c>
      <c r="AH569" s="230" t="e">
        <f>T569-HLOOKUP(V569,Minimas!$C$3:$CD$12,8,FALSE)</f>
        <v>#N/A</v>
      </c>
      <c r="AI569" s="230" t="e">
        <f>T569-HLOOKUP(V569,Minimas!$C$3:$CD$12,9,FALSE)</f>
        <v>#N/A</v>
      </c>
      <c r="AJ569" s="230" t="e">
        <f>T569-HLOOKUP(V569,Minimas!$C$3:$CD$12,10,FALSE)</f>
        <v>#N/A</v>
      </c>
      <c r="AK569" s="231" t="str">
        <f t="shared" si="102"/>
        <v xml:space="preserve"> </v>
      </c>
      <c r="AL569" s="232"/>
      <c r="AM569" s="232" t="str">
        <f t="shared" si="103"/>
        <v xml:space="preserve"> </v>
      </c>
      <c r="AN569" s="232" t="str">
        <f t="shared" si="104"/>
        <v xml:space="preserve"> </v>
      </c>
    </row>
    <row r="570" spans="28:40" x14ac:dyDescent="0.25">
      <c r="AB570" s="230" t="e">
        <f>T570-HLOOKUP(V570,Minimas!$C$3:$CD$12,2,FALSE)</f>
        <v>#N/A</v>
      </c>
      <c r="AC570" s="230" t="e">
        <f>T570-HLOOKUP(V570,Minimas!$C$3:$CD$12,3,FALSE)</f>
        <v>#N/A</v>
      </c>
      <c r="AD570" s="230" t="e">
        <f>T570-HLOOKUP(V570,Minimas!$C$3:$CD$12,4,FALSE)</f>
        <v>#N/A</v>
      </c>
      <c r="AE570" s="230" t="e">
        <f>T570-HLOOKUP(V570,Minimas!$C$3:$CD$12,5,FALSE)</f>
        <v>#N/A</v>
      </c>
      <c r="AF570" s="230" t="e">
        <f>T570-HLOOKUP(V570,Minimas!$C$3:$CD$12,6,FALSE)</f>
        <v>#N/A</v>
      </c>
      <c r="AG570" s="230" t="e">
        <f>T570-HLOOKUP(V570,Minimas!$C$3:$CD$12,7,FALSE)</f>
        <v>#N/A</v>
      </c>
      <c r="AH570" s="230" t="e">
        <f>T570-HLOOKUP(V570,Minimas!$C$3:$CD$12,8,FALSE)</f>
        <v>#N/A</v>
      </c>
      <c r="AI570" s="230" t="e">
        <f>T570-HLOOKUP(V570,Minimas!$C$3:$CD$12,9,FALSE)</f>
        <v>#N/A</v>
      </c>
      <c r="AJ570" s="230" t="e">
        <f>T570-HLOOKUP(V570,Minimas!$C$3:$CD$12,10,FALSE)</f>
        <v>#N/A</v>
      </c>
      <c r="AK570" s="231" t="str">
        <f t="shared" si="102"/>
        <v xml:space="preserve"> </v>
      </c>
      <c r="AL570" s="232"/>
      <c r="AM570" s="232" t="str">
        <f t="shared" si="103"/>
        <v xml:space="preserve"> </v>
      </c>
      <c r="AN570" s="232" t="str">
        <f t="shared" si="104"/>
        <v xml:space="preserve"> </v>
      </c>
    </row>
    <row r="571" spans="28:40" x14ac:dyDescent="0.25">
      <c r="AB571" s="230" t="e">
        <f>T571-HLOOKUP(V571,Minimas!$C$3:$CD$12,2,FALSE)</f>
        <v>#N/A</v>
      </c>
      <c r="AC571" s="230" t="e">
        <f>T571-HLOOKUP(V571,Minimas!$C$3:$CD$12,3,FALSE)</f>
        <v>#N/A</v>
      </c>
      <c r="AD571" s="230" t="e">
        <f>T571-HLOOKUP(V571,Minimas!$C$3:$CD$12,4,FALSE)</f>
        <v>#N/A</v>
      </c>
      <c r="AE571" s="230" t="e">
        <f>T571-HLOOKUP(V571,Minimas!$C$3:$CD$12,5,FALSE)</f>
        <v>#N/A</v>
      </c>
      <c r="AF571" s="230" t="e">
        <f>T571-HLOOKUP(V571,Minimas!$C$3:$CD$12,6,FALSE)</f>
        <v>#N/A</v>
      </c>
      <c r="AG571" s="230" t="e">
        <f>T571-HLOOKUP(V571,Minimas!$C$3:$CD$12,7,FALSE)</f>
        <v>#N/A</v>
      </c>
      <c r="AH571" s="230" t="e">
        <f>T571-HLOOKUP(V571,Minimas!$C$3:$CD$12,8,FALSE)</f>
        <v>#N/A</v>
      </c>
      <c r="AI571" s="230" t="e">
        <f>T571-HLOOKUP(V571,Minimas!$C$3:$CD$12,9,FALSE)</f>
        <v>#N/A</v>
      </c>
      <c r="AJ571" s="230" t="e">
        <f>T571-HLOOKUP(V571,Minimas!$C$3:$CD$12,10,FALSE)</f>
        <v>#N/A</v>
      </c>
      <c r="AK571" s="231" t="str">
        <f t="shared" si="102"/>
        <v xml:space="preserve"> </v>
      </c>
      <c r="AL571" s="232"/>
      <c r="AM571" s="232" t="str">
        <f t="shared" si="103"/>
        <v xml:space="preserve"> </v>
      </c>
      <c r="AN571" s="232" t="str">
        <f t="shared" si="104"/>
        <v xml:space="preserve"> </v>
      </c>
    </row>
    <row r="572" spans="28:40" x14ac:dyDescent="0.25">
      <c r="AB572" s="230" t="e">
        <f>T572-HLOOKUP(V572,Minimas!$C$3:$CD$12,2,FALSE)</f>
        <v>#N/A</v>
      </c>
      <c r="AC572" s="230" t="e">
        <f>T572-HLOOKUP(V572,Minimas!$C$3:$CD$12,3,FALSE)</f>
        <v>#N/A</v>
      </c>
      <c r="AD572" s="230" t="e">
        <f>T572-HLOOKUP(V572,Minimas!$C$3:$CD$12,4,FALSE)</f>
        <v>#N/A</v>
      </c>
      <c r="AE572" s="230" t="e">
        <f>T572-HLOOKUP(V572,Minimas!$C$3:$CD$12,5,FALSE)</f>
        <v>#N/A</v>
      </c>
      <c r="AF572" s="230" t="e">
        <f>T572-HLOOKUP(V572,Minimas!$C$3:$CD$12,6,FALSE)</f>
        <v>#N/A</v>
      </c>
      <c r="AG572" s="230" t="e">
        <f>T572-HLOOKUP(V572,Minimas!$C$3:$CD$12,7,FALSE)</f>
        <v>#N/A</v>
      </c>
      <c r="AH572" s="230" t="e">
        <f>T572-HLOOKUP(V572,Minimas!$C$3:$CD$12,8,FALSE)</f>
        <v>#N/A</v>
      </c>
      <c r="AI572" s="230" t="e">
        <f>T572-HLOOKUP(V572,Minimas!$C$3:$CD$12,9,FALSE)</f>
        <v>#N/A</v>
      </c>
      <c r="AJ572" s="230" t="e">
        <f>T572-HLOOKUP(V572,Minimas!$C$3:$CD$12,10,FALSE)</f>
        <v>#N/A</v>
      </c>
      <c r="AK572" s="231" t="str">
        <f t="shared" si="102"/>
        <v xml:space="preserve"> </v>
      </c>
      <c r="AL572" s="232"/>
      <c r="AM572" s="232" t="str">
        <f t="shared" si="103"/>
        <v xml:space="preserve"> </v>
      </c>
      <c r="AN572" s="232" t="str">
        <f t="shared" si="104"/>
        <v xml:space="preserve"> </v>
      </c>
    </row>
    <row r="573" spans="28:40" x14ac:dyDescent="0.25">
      <c r="AB573" s="230" t="e">
        <f>T573-HLOOKUP(V573,Minimas!$C$3:$CD$12,2,FALSE)</f>
        <v>#N/A</v>
      </c>
      <c r="AC573" s="230" t="e">
        <f>T573-HLOOKUP(V573,Minimas!$C$3:$CD$12,3,FALSE)</f>
        <v>#N/A</v>
      </c>
      <c r="AD573" s="230" t="e">
        <f>T573-HLOOKUP(V573,Minimas!$C$3:$CD$12,4,FALSE)</f>
        <v>#N/A</v>
      </c>
      <c r="AE573" s="230" t="e">
        <f>T573-HLOOKUP(V573,Minimas!$C$3:$CD$12,5,FALSE)</f>
        <v>#N/A</v>
      </c>
      <c r="AF573" s="230" t="e">
        <f>T573-HLOOKUP(V573,Minimas!$C$3:$CD$12,6,FALSE)</f>
        <v>#N/A</v>
      </c>
      <c r="AG573" s="230" t="e">
        <f>T573-HLOOKUP(V573,Minimas!$C$3:$CD$12,7,FALSE)</f>
        <v>#N/A</v>
      </c>
      <c r="AH573" s="230" t="e">
        <f>T573-HLOOKUP(V573,Minimas!$C$3:$CD$12,8,FALSE)</f>
        <v>#N/A</v>
      </c>
      <c r="AI573" s="230" t="e">
        <f>T573-HLOOKUP(V573,Minimas!$C$3:$CD$12,9,FALSE)</f>
        <v>#N/A</v>
      </c>
      <c r="AJ573" s="230" t="e">
        <f>T573-HLOOKUP(V573,Minimas!$C$3:$CD$12,10,FALSE)</f>
        <v>#N/A</v>
      </c>
      <c r="AK573" s="231" t="str">
        <f t="shared" si="102"/>
        <v xml:space="preserve"> </v>
      </c>
      <c r="AL573" s="232"/>
      <c r="AM573" s="232" t="str">
        <f t="shared" si="103"/>
        <v xml:space="preserve"> </v>
      </c>
      <c r="AN573" s="232" t="str">
        <f t="shared" si="104"/>
        <v xml:space="preserve"> </v>
      </c>
    </row>
    <row r="574" spans="28:40" x14ac:dyDescent="0.25">
      <c r="AB574" s="230" t="e">
        <f>T574-HLOOKUP(V574,Minimas!$C$3:$CD$12,2,FALSE)</f>
        <v>#N/A</v>
      </c>
      <c r="AC574" s="230" t="e">
        <f>T574-HLOOKUP(V574,Minimas!$C$3:$CD$12,3,FALSE)</f>
        <v>#N/A</v>
      </c>
      <c r="AD574" s="230" t="e">
        <f>T574-HLOOKUP(V574,Minimas!$C$3:$CD$12,4,FALSE)</f>
        <v>#N/A</v>
      </c>
      <c r="AE574" s="230" t="e">
        <f>T574-HLOOKUP(V574,Minimas!$C$3:$CD$12,5,FALSE)</f>
        <v>#N/A</v>
      </c>
      <c r="AF574" s="230" t="e">
        <f>T574-HLOOKUP(V574,Minimas!$C$3:$CD$12,6,FALSE)</f>
        <v>#N/A</v>
      </c>
      <c r="AG574" s="230" t="e">
        <f>T574-HLOOKUP(V574,Minimas!$C$3:$CD$12,7,FALSE)</f>
        <v>#N/A</v>
      </c>
      <c r="AH574" s="230" t="e">
        <f>T574-HLOOKUP(V574,Minimas!$C$3:$CD$12,8,FALSE)</f>
        <v>#N/A</v>
      </c>
      <c r="AI574" s="230" t="e">
        <f>T574-HLOOKUP(V574,Minimas!$C$3:$CD$12,9,FALSE)</f>
        <v>#N/A</v>
      </c>
      <c r="AJ574" s="230" t="e">
        <f>T574-HLOOKUP(V574,Minimas!$C$3:$CD$12,10,FALSE)</f>
        <v>#N/A</v>
      </c>
      <c r="AK574" s="231" t="str">
        <f t="shared" si="102"/>
        <v xml:space="preserve"> </v>
      </c>
      <c r="AL574" s="232"/>
      <c r="AM574" s="232" t="str">
        <f t="shared" si="103"/>
        <v xml:space="preserve"> </v>
      </c>
      <c r="AN574" s="232" t="str">
        <f t="shared" si="104"/>
        <v xml:space="preserve"> </v>
      </c>
    </row>
    <row r="575" spans="28:40" x14ac:dyDescent="0.25">
      <c r="AB575" s="230" t="e">
        <f>T575-HLOOKUP(V575,Minimas!$C$3:$CD$12,2,FALSE)</f>
        <v>#N/A</v>
      </c>
      <c r="AC575" s="230" t="e">
        <f>T575-HLOOKUP(V575,Minimas!$C$3:$CD$12,3,FALSE)</f>
        <v>#N/A</v>
      </c>
      <c r="AD575" s="230" t="e">
        <f>T575-HLOOKUP(V575,Minimas!$C$3:$CD$12,4,FALSE)</f>
        <v>#N/A</v>
      </c>
      <c r="AE575" s="230" t="e">
        <f>T575-HLOOKUP(V575,Minimas!$C$3:$CD$12,5,FALSE)</f>
        <v>#N/A</v>
      </c>
      <c r="AF575" s="230" t="e">
        <f>T575-HLOOKUP(V575,Minimas!$C$3:$CD$12,6,FALSE)</f>
        <v>#N/A</v>
      </c>
      <c r="AG575" s="230" t="e">
        <f>T575-HLOOKUP(V575,Minimas!$C$3:$CD$12,7,FALSE)</f>
        <v>#N/A</v>
      </c>
      <c r="AH575" s="230" t="e">
        <f>T575-HLOOKUP(V575,Minimas!$C$3:$CD$12,8,FALSE)</f>
        <v>#N/A</v>
      </c>
      <c r="AI575" s="230" t="e">
        <f>T575-HLOOKUP(V575,Minimas!$C$3:$CD$12,9,FALSE)</f>
        <v>#N/A</v>
      </c>
      <c r="AJ575" s="230" t="e">
        <f>T575-HLOOKUP(V575,Minimas!$C$3:$CD$12,10,FALSE)</f>
        <v>#N/A</v>
      </c>
      <c r="AK575" s="231" t="str">
        <f t="shared" si="102"/>
        <v xml:space="preserve"> </v>
      </c>
      <c r="AL575" s="232"/>
      <c r="AM575" s="232" t="str">
        <f t="shared" si="103"/>
        <v xml:space="preserve"> </v>
      </c>
      <c r="AN575" s="232" t="str">
        <f t="shared" si="104"/>
        <v xml:space="preserve"> </v>
      </c>
    </row>
    <row r="576" spans="28:40" x14ac:dyDescent="0.25">
      <c r="AB576" s="230" t="e">
        <f>T576-HLOOKUP(V576,Minimas!$C$3:$CD$12,2,FALSE)</f>
        <v>#N/A</v>
      </c>
      <c r="AC576" s="230" t="e">
        <f>T576-HLOOKUP(V576,Minimas!$C$3:$CD$12,3,FALSE)</f>
        <v>#N/A</v>
      </c>
      <c r="AD576" s="230" t="e">
        <f>T576-HLOOKUP(V576,Minimas!$C$3:$CD$12,4,FALSE)</f>
        <v>#N/A</v>
      </c>
      <c r="AE576" s="230" t="e">
        <f>T576-HLOOKUP(V576,Minimas!$C$3:$CD$12,5,FALSE)</f>
        <v>#N/A</v>
      </c>
      <c r="AF576" s="230" t="e">
        <f>T576-HLOOKUP(V576,Minimas!$C$3:$CD$12,6,FALSE)</f>
        <v>#N/A</v>
      </c>
      <c r="AG576" s="230" t="e">
        <f>T576-HLOOKUP(V576,Minimas!$C$3:$CD$12,7,FALSE)</f>
        <v>#N/A</v>
      </c>
      <c r="AH576" s="230" t="e">
        <f>T576-HLOOKUP(V576,Minimas!$C$3:$CD$12,8,FALSE)</f>
        <v>#N/A</v>
      </c>
      <c r="AI576" s="230" t="e">
        <f>T576-HLOOKUP(V576,Minimas!$C$3:$CD$12,9,FALSE)</f>
        <v>#N/A</v>
      </c>
      <c r="AJ576" s="230" t="e">
        <f>T576-HLOOKUP(V576,Minimas!$C$3:$CD$12,10,FALSE)</f>
        <v>#N/A</v>
      </c>
      <c r="AK576" s="231" t="str">
        <f t="shared" si="102"/>
        <v xml:space="preserve"> </v>
      </c>
      <c r="AL576" s="232"/>
      <c r="AM576" s="232" t="str">
        <f t="shared" si="103"/>
        <v xml:space="preserve"> </v>
      </c>
      <c r="AN576" s="232" t="str">
        <f t="shared" si="104"/>
        <v xml:space="preserve"> </v>
      </c>
    </row>
    <row r="577" spans="28:40" x14ac:dyDescent="0.25">
      <c r="AB577" s="230" t="e">
        <f>T577-HLOOKUP(V577,Minimas!$C$3:$CD$12,2,FALSE)</f>
        <v>#N/A</v>
      </c>
      <c r="AC577" s="230" t="e">
        <f>T577-HLOOKUP(V577,Minimas!$C$3:$CD$12,3,FALSE)</f>
        <v>#N/A</v>
      </c>
      <c r="AD577" s="230" t="e">
        <f>T577-HLOOKUP(V577,Minimas!$C$3:$CD$12,4,FALSE)</f>
        <v>#N/A</v>
      </c>
      <c r="AE577" s="230" t="e">
        <f>T577-HLOOKUP(V577,Minimas!$C$3:$CD$12,5,FALSE)</f>
        <v>#N/A</v>
      </c>
      <c r="AF577" s="230" t="e">
        <f>T577-HLOOKUP(V577,Minimas!$C$3:$CD$12,6,FALSE)</f>
        <v>#N/A</v>
      </c>
      <c r="AG577" s="230" t="e">
        <f>T577-HLOOKUP(V577,Minimas!$C$3:$CD$12,7,FALSE)</f>
        <v>#N/A</v>
      </c>
      <c r="AH577" s="230" t="e">
        <f>T577-HLOOKUP(V577,Minimas!$C$3:$CD$12,8,FALSE)</f>
        <v>#N/A</v>
      </c>
      <c r="AI577" s="230" t="e">
        <f>T577-HLOOKUP(V577,Minimas!$C$3:$CD$12,9,FALSE)</f>
        <v>#N/A</v>
      </c>
      <c r="AJ577" s="230" t="e">
        <f>T577-HLOOKUP(V577,Minimas!$C$3:$CD$12,10,FALSE)</f>
        <v>#N/A</v>
      </c>
      <c r="AK577" s="231" t="str">
        <f t="shared" si="102"/>
        <v xml:space="preserve"> </v>
      </c>
      <c r="AL577" s="232"/>
      <c r="AM577" s="232" t="str">
        <f t="shared" si="103"/>
        <v xml:space="preserve"> </v>
      </c>
      <c r="AN577" s="232" t="str">
        <f t="shared" si="104"/>
        <v xml:space="preserve"> </v>
      </c>
    </row>
    <row r="578" spans="28:40" x14ac:dyDescent="0.25">
      <c r="AB578" s="230" t="e">
        <f>T578-HLOOKUP(V578,Minimas!$C$3:$CD$12,2,FALSE)</f>
        <v>#N/A</v>
      </c>
      <c r="AC578" s="230" t="e">
        <f>T578-HLOOKUP(V578,Minimas!$C$3:$CD$12,3,FALSE)</f>
        <v>#N/A</v>
      </c>
      <c r="AD578" s="230" t="e">
        <f>T578-HLOOKUP(V578,Minimas!$C$3:$CD$12,4,FALSE)</f>
        <v>#N/A</v>
      </c>
      <c r="AE578" s="230" t="e">
        <f>T578-HLOOKUP(V578,Minimas!$C$3:$CD$12,5,FALSE)</f>
        <v>#N/A</v>
      </c>
      <c r="AF578" s="230" t="e">
        <f>T578-HLOOKUP(V578,Minimas!$C$3:$CD$12,6,FALSE)</f>
        <v>#N/A</v>
      </c>
      <c r="AG578" s="230" t="e">
        <f>T578-HLOOKUP(V578,Minimas!$C$3:$CD$12,7,FALSE)</f>
        <v>#N/A</v>
      </c>
      <c r="AH578" s="230" t="e">
        <f>T578-HLOOKUP(V578,Minimas!$C$3:$CD$12,8,FALSE)</f>
        <v>#N/A</v>
      </c>
      <c r="AI578" s="230" t="e">
        <f>T578-HLOOKUP(V578,Minimas!$C$3:$CD$12,9,FALSE)</f>
        <v>#N/A</v>
      </c>
      <c r="AJ578" s="230" t="e">
        <f>T578-HLOOKUP(V578,Minimas!$C$3:$CD$12,10,FALSE)</f>
        <v>#N/A</v>
      </c>
      <c r="AK578" s="231" t="str">
        <f t="shared" si="102"/>
        <v xml:space="preserve"> </v>
      </c>
      <c r="AL578" s="232"/>
      <c r="AM578" s="232" t="str">
        <f t="shared" si="103"/>
        <v xml:space="preserve"> </v>
      </c>
      <c r="AN578" s="232" t="str">
        <f t="shared" si="104"/>
        <v xml:space="preserve"> </v>
      </c>
    </row>
    <row r="579" spans="28:40" x14ac:dyDescent="0.25">
      <c r="AB579" s="230" t="e">
        <f>T579-HLOOKUP(V579,Minimas!$C$3:$CD$12,2,FALSE)</f>
        <v>#N/A</v>
      </c>
      <c r="AC579" s="230" t="e">
        <f>T579-HLOOKUP(V579,Minimas!$C$3:$CD$12,3,FALSE)</f>
        <v>#N/A</v>
      </c>
      <c r="AD579" s="230" t="e">
        <f>T579-HLOOKUP(V579,Minimas!$C$3:$CD$12,4,FALSE)</f>
        <v>#N/A</v>
      </c>
      <c r="AE579" s="230" t="e">
        <f>T579-HLOOKUP(V579,Minimas!$C$3:$CD$12,5,FALSE)</f>
        <v>#N/A</v>
      </c>
      <c r="AF579" s="230" t="e">
        <f>T579-HLOOKUP(V579,Minimas!$C$3:$CD$12,6,FALSE)</f>
        <v>#N/A</v>
      </c>
      <c r="AG579" s="230" t="e">
        <f>T579-HLOOKUP(V579,Minimas!$C$3:$CD$12,7,FALSE)</f>
        <v>#N/A</v>
      </c>
      <c r="AH579" s="230" t="e">
        <f>T579-HLOOKUP(V579,Minimas!$C$3:$CD$12,8,FALSE)</f>
        <v>#N/A</v>
      </c>
      <c r="AI579" s="230" t="e">
        <f>T579-HLOOKUP(V579,Minimas!$C$3:$CD$12,9,FALSE)</f>
        <v>#N/A</v>
      </c>
      <c r="AJ579" s="230" t="e">
        <f>T579-HLOOKUP(V579,Minimas!$C$3:$CD$12,10,FALSE)</f>
        <v>#N/A</v>
      </c>
      <c r="AK579" s="231" t="str">
        <f t="shared" si="102"/>
        <v xml:space="preserve"> </v>
      </c>
      <c r="AL579" s="232"/>
      <c r="AM579" s="232" t="str">
        <f t="shared" si="103"/>
        <v xml:space="preserve"> </v>
      </c>
      <c r="AN579" s="232" t="str">
        <f t="shared" si="104"/>
        <v xml:space="preserve"> </v>
      </c>
    </row>
    <row r="580" spans="28:40" x14ac:dyDescent="0.25">
      <c r="AB580" s="230" t="e">
        <f>T580-HLOOKUP(V580,Minimas!$C$3:$CD$12,2,FALSE)</f>
        <v>#N/A</v>
      </c>
      <c r="AC580" s="230" t="e">
        <f>T580-HLOOKUP(V580,Minimas!$C$3:$CD$12,3,FALSE)</f>
        <v>#N/A</v>
      </c>
      <c r="AD580" s="230" t="e">
        <f>T580-HLOOKUP(V580,Minimas!$C$3:$CD$12,4,FALSE)</f>
        <v>#N/A</v>
      </c>
      <c r="AE580" s="230" t="e">
        <f>T580-HLOOKUP(V580,Minimas!$C$3:$CD$12,5,FALSE)</f>
        <v>#N/A</v>
      </c>
      <c r="AF580" s="230" t="e">
        <f>T580-HLOOKUP(V580,Minimas!$C$3:$CD$12,6,FALSE)</f>
        <v>#N/A</v>
      </c>
      <c r="AG580" s="230" t="e">
        <f>T580-HLOOKUP(V580,Minimas!$C$3:$CD$12,7,FALSE)</f>
        <v>#N/A</v>
      </c>
      <c r="AH580" s="230" t="e">
        <f>T580-HLOOKUP(V580,Minimas!$C$3:$CD$12,8,FALSE)</f>
        <v>#N/A</v>
      </c>
      <c r="AI580" s="230" t="e">
        <f>T580-HLOOKUP(V580,Minimas!$C$3:$CD$12,9,FALSE)</f>
        <v>#N/A</v>
      </c>
      <c r="AJ580" s="230" t="e">
        <f>T580-HLOOKUP(V580,Minimas!$C$3:$CD$12,10,FALSE)</f>
        <v>#N/A</v>
      </c>
      <c r="AK580" s="231" t="str">
        <f t="shared" ref="AK580:AK643" si="105">IF(E580=0," ",IF(AJ580&gt;=0,$AJ$5,IF(AI580&gt;=0,$AI$5,IF(AH580&gt;=0,$AH$5,IF(AG580&gt;=0,$AG$5,IF(AF580&gt;=0,$AF$5,IF(AE580&gt;=0,$AE$5,IF(AD580&gt;=0,$AD$5,IF(AC580&gt;=0,$AC$5,$AB$5)))))))))</f>
        <v xml:space="preserve"> </v>
      </c>
      <c r="AL580" s="232"/>
      <c r="AM580" s="232" t="str">
        <f t="shared" ref="AM580:AM643" si="106">IF(AK580="","",AK580)</f>
        <v xml:space="preserve"> </v>
      </c>
      <c r="AN580" s="232" t="str">
        <f t="shared" ref="AN580:AN643" si="107">IF(E580=0," ",IF(AJ580&gt;=0,AJ580,IF(AI580&gt;=0,AI580,IF(AH580&gt;=0,AH580,IF(AG580&gt;=0,AG580,IF(AF580&gt;=0,AF580,IF(AE580&gt;=0,AE580,IF(AD580&gt;=0,AD580,IF(AC580&gt;=0,AC580,AB580)))))))))</f>
        <v xml:space="preserve"> </v>
      </c>
    </row>
    <row r="581" spans="28:40" x14ac:dyDescent="0.25">
      <c r="AB581" s="230" t="e">
        <f>T581-HLOOKUP(V581,Minimas!$C$3:$CD$12,2,FALSE)</f>
        <v>#N/A</v>
      </c>
      <c r="AC581" s="230" t="e">
        <f>T581-HLOOKUP(V581,Minimas!$C$3:$CD$12,3,FALSE)</f>
        <v>#N/A</v>
      </c>
      <c r="AD581" s="230" t="e">
        <f>T581-HLOOKUP(V581,Minimas!$C$3:$CD$12,4,FALSE)</f>
        <v>#N/A</v>
      </c>
      <c r="AE581" s="230" t="e">
        <f>T581-HLOOKUP(V581,Minimas!$C$3:$CD$12,5,FALSE)</f>
        <v>#N/A</v>
      </c>
      <c r="AF581" s="230" t="e">
        <f>T581-HLOOKUP(V581,Minimas!$C$3:$CD$12,6,FALSE)</f>
        <v>#N/A</v>
      </c>
      <c r="AG581" s="230" t="e">
        <f>T581-HLOOKUP(V581,Minimas!$C$3:$CD$12,7,FALSE)</f>
        <v>#N/A</v>
      </c>
      <c r="AH581" s="230" t="e">
        <f>T581-HLOOKUP(V581,Minimas!$C$3:$CD$12,8,FALSE)</f>
        <v>#N/A</v>
      </c>
      <c r="AI581" s="230" t="e">
        <f>T581-HLOOKUP(V581,Minimas!$C$3:$CD$12,9,FALSE)</f>
        <v>#N/A</v>
      </c>
      <c r="AJ581" s="230" t="e">
        <f>T581-HLOOKUP(V581,Minimas!$C$3:$CD$12,10,FALSE)</f>
        <v>#N/A</v>
      </c>
      <c r="AK581" s="231" t="str">
        <f t="shared" si="105"/>
        <v xml:space="preserve"> </v>
      </c>
      <c r="AL581" s="232"/>
      <c r="AM581" s="232" t="str">
        <f t="shared" si="106"/>
        <v xml:space="preserve"> </v>
      </c>
      <c r="AN581" s="232" t="str">
        <f t="shared" si="107"/>
        <v xml:space="preserve"> </v>
      </c>
    </row>
    <row r="582" spans="28:40" x14ac:dyDescent="0.25">
      <c r="AB582" s="230" t="e">
        <f>T582-HLOOKUP(V582,Minimas!$C$3:$CD$12,2,FALSE)</f>
        <v>#N/A</v>
      </c>
      <c r="AC582" s="230" t="e">
        <f>T582-HLOOKUP(V582,Minimas!$C$3:$CD$12,3,FALSE)</f>
        <v>#N/A</v>
      </c>
      <c r="AD582" s="230" t="e">
        <f>T582-HLOOKUP(V582,Minimas!$C$3:$CD$12,4,FALSE)</f>
        <v>#N/A</v>
      </c>
      <c r="AE582" s="230" t="e">
        <f>T582-HLOOKUP(V582,Minimas!$C$3:$CD$12,5,FALSE)</f>
        <v>#N/A</v>
      </c>
      <c r="AF582" s="230" t="e">
        <f>T582-HLOOKUP(V582,Minimas!$C$3:$CD$12,6,FALSE)</f>
        <v>#N/A</v>
      </c>
      <c r="AG582" s="230" t="e">
        <f>T582-HLOOKUP(V582,Minimas!$C$3:$CD$12,7,FALSE)</f>
        <v>#N/A</v>
      </c>
      <c r="AH582" s="230" t="e">
        <f>T582-HLOOKUP(V582,Minimas!$C$3:$CD$12,8,FALSE)</f>
        <v>#N/A</v>
      </c>
      <c r="AI582" s="230" t="e">
        <f>T582-HLOOKUP(V582,Minimas!$C$3:$CD$12,9,FALSE)</f>
        <v>#N/A</v>
      </c>
      <c r="AJ582" s="230" t="e">
        <f>T582-HLOOKUP(V582,Minimas!$C$3:$CD$12,10,FALSE)</f>
        <v>#N/A</v>
      </c>
      <c r="AK582" s="231" t="str">
        <f t="shared" si="105"/>
        <v xml:space="preserve"> </v>
      </c>
      <c r="AL582" s="232"/>
      <c r="AM582" s="232" t="str">
        <f t="shared" si="106"/>
        <v xml:space="preserve"> </v>
      </c>
      <c r="AN582" s="232" t="str">
        <f t="shared" si="107"/>
        <v xml:space="preserve"> </v>
      </c>
    </row>
    <row r="583" spans="28:40" x14ac:dyDescent="0.25">
      <c r="AB583" s="230" t="e">
        <f>T583-HLOOKUP(V583,Minimas!$C$3:$CD$12,2,FALSE)</f>
        <v>#N/A</v>
      </c>
      <c r="AC583" s="230" t="e">
        <f>T583-HLOOKUP(V583,Minimas!$C$3:$CD$12,3,FALSE)</f>
        <v>#N/A</v>
      </c>
      <c r="AD583" s="230" t="e">
        <f>T583-HLOOKUP(V583,Minimas!$C$3:$CD$12,4,FALSE)</f>
        <v>#N/A</v>
      </c>
      <c r="AE583" s="230" t="e">
        <f>T583-HLOOKUP(V583,Minimas!$C$3:$CD$12,5,FALSE)</f>
        <v>#N/A</v>
      </c>
      <c r="AF583" s="230" t="e">
        <f>T583-HLOOKUP(V583,Minimas!$C$3:$CD$12,6,FALSE)</f>
        <v>#N/A</v>
      </c>
      <c r="AG583" s="230" t="e">
        <f>T583-HLOOKUP(V583,Minimas!$C$3:$CD$12,7,FALSE)</f>
        <v>#N/A</v>
      </c>
      <c r="AH583" s="230" t="e">
        <f>T583-HLOOKUP(V583,Minimas!$C$3:$CD$12,8,FALSE)</f>
        <v>#N/A</v>
      </c>
      <c r="AI583" s="230" t="e">
        <f>T583-HLOOKUP(V583,Minimas!$C$3:$CD$12,9,FALSE)</f>
        <v>#N/A</v>
      </c>
      <c r="AJ583" s="230" t="e">
        <f>T583-HLOOKUP(V583,Minimas!$C$3:$CD$12,10,FALSE)</f>
        <v>#N/A</v>
      </c>
      <c r="AK583" s="231" t="str">
        <f t="shared" si="105"/>
        <v xml:space="preserve"> </v>
      </c>
      <c r="AL583" s="232"/>
      <c r="AM583" s="232" t="str">
        <f t="shared" si="106"/>
        <v xml:space="preserve"> </v>
      </c>
      <c r="AN583" s="232" t="str">
        <f t="shared" si="107"/>
        <v xml:space="preserve"> </v>
      </c>
    </row>
    <row r="584" spans="28:40" x14ac:dyDescent="0.25">
      <c r="AB584" s="230" t="e">
        <f>T584-HLOOKUP(V584,Minimas!$C$3:$CD$12,2,FALSE)</f>
        <v>#N/A</v>
      </c>
      <c r="AC584" s="230" t="e">
        <f>T584-HLOOKUP(V584,Minimas!$C$3:$CD$12,3,FALSE)</f>
        <v>#N/A</v>
      </c>
      <c r="AD584" s="230" t="e">
        <f>T584-HLOOKUP(V584,Minimas!$C$3:$CD$12,4,FALSE)</f>
        <v>#N/A</v>
      </c>
      <c r="AE584" s="230" t="e">
        <f>T584-HLOOKUP(V584,Minimas!$C$3:$CD$12,5,FALSE)</f>
        <v>#N/A</v>
      </c>
      <c r="AF584" s="230" t="e">
        <f>T584-HLOOKUP(V584,Minimas!$C$3:$CD$12,6,FALSE)</f>
        <v>#N/A</v>
      </c>
      <c r="AG584" s="230" t="e">
        <f>T584-HLOOKUP(V584,Minimas!$C$3:$CD$12,7,FALSE)</f>
        <v>#N/A</v>
      </c>
      <c r="AH584" s="230" t="e">
        <f>T584-HLOOKUP(V584,Minimas!$C$3:$CD$12,8,FALSE)</f>
        <v>#N/A</v>
      </c>
      <c r="AI584" s="230" t="e">
        <f>T584-HLOOKUP(V584,Minimas!$C$3:$CD$12,9,FALSE)</f>
        <v>#N/A</v>
      </c>
      <c r="AJ584" s="230" t="e">
        <f>T584-HLOOKUP(V584,Minimas!$C$3:$CD$12,10,FALSE)</f>
        <v>#N/A</v>
      </c>
      <c r="AK584" s="231" t="str">
        <f t="shared" si="105"/>
        <v xml:space="preserve"> </v>
      </c>
      <c r="AL584" s="232"/>
      <c r="AM584" s="232" t="str">
        <f t="shared" si="106"/>
        <v xml:space="preserve"> </v>
      </c>
      <c r="AN584" s="232" t="str">
        <f t="shared" si="107"/>
        <v xml:space="preserve"> </v>
      </c>
    </row>
    <row r="585" spans="28:40" x14ac:dyDescent="0.25">
      <c r="AB585" s="230" t="e">
        <f>T585-HLOOKUP(V585,Minimas!$C$3:$CD$12,2,FALSE)</f>
        <v>#N/A</v>
      </c>
      <c r="AC585" s="230" t="e">
        <f>T585-HLOOKUP(V585,Minimas!$C$3:$CD$12,3,FALSE)</f>
        <v>#N/A</v>
      </c>
      <c r="AD585" s="230" t="e">
        <f>T585-HLOOKUP(V585,Minimas!$C$3:$CD$12,4,FALSE)</f>
        <v>#N/A</v>
      </c>
      <c r="AE585" s="230" t="e">
        <f>T585-HLOOKUP(V585,Minimas!$C$3:$CD$12,5,FALSE)</f>
        <v>#N/A</v>
      </c>
      <c r="AF585" s="230" t="e">
        <f>T585-HLOOKUP(V585,Minimas!$C$3:$CD$12,6,FALSE)</f>
        <v>#N/A</v>
      </c>
      <c r="AG585" s="230" t="e">
        <f>T585-HLOOKUP(V585,Minimas!$C$3:$CD$12,7,FALSE)</f>
        <v>#N/A</v>
      </c>
      <c r="AH585" s="230" t="e">
        <f>T585-HLOOKUP(V585,Minimas!$C$3:$CD$12,8,FALSE)</f>
        <v>#N/A</v>
      </c>
      <c r="AI585" s="230" t="e">
        <f>T585-HLOOKUP(V585,Minimas!$C$3:$CD$12,9,FALSE)</f>
        <v>#N/A</v>
      </c>
      <c r="AJ585" s="230" t="e">
        <f>T585-HLOOKUP(V585,Minimas!$C$3:$CD$12,10,FALSE)</f>
        <v>#N/A</v>
      </c>
      <c r="AK585" s="231" t="str">
        <f t="shared" si="105"/>
        <v xml:space="preserve"> </v>
      </c>
      <c r="AL585" s="232"/>
      <c r="AM585" s="232" t="str">
        <f t="shared" si="106"/>
        <v xml:space="preserve"> </v>
      </c>
      <c r="AN585" s="232" t="str">
        <f t="shared" si="107"/>
        <v xml:space="preserve"> </v>
      </c>
    </row>
    <row r="586" spans="28:40" x14ac:dyDescent="0.25">
      <c r="AB586" s="230" t="e">
        <f>T586-HLOOKUP(V586,Minimas!$C$3:$CD$12,2,FALSE)</f>
        <v>#N/A</v>
      </c>
      <c r="AC586" s="230" t="e">
        <f>T586-HLOOKUP(V586,Minimas!$C$3:$CD$12,3,FALSE)</f>
        <v>#N/A</v>
      </c>
      <c r="AD586" s="230" t="e">
        <f>T586-HLOOKUP(V586,Minimas!$C$3:$CD$12,4,FALSE)</f>
        <v>#N/A</v>
      </c>
      <c r="AE586" s="230" t="e">
        <f>T586-HLOOKUP(V586,Minimas!$C$3:$CD$12,5,FALSE)</f>
        <v>#N/A</v>
      </c>
      <c r="AF586" s="230" t="e">
        <f>T586-HLOOKUP(V586,Minimas!$C$3:$CD$12,6,FALSE)</f>
        <v>#N/A</v>
      </c>
      <c r="AG586" s="230" t="e">
        <f>T586-HLOOKUP(V586,Minimas!$C$3:$CD$12,7,FALSE)</f>
        <v>#N/A</v>
      </c>
      <c r="AH586" s="230" t="e">
        <f>T586-HLOOKUP(V586,Minimas!$C$3:$CD$12,8,FALSE)</f>
        <v>#N/A</v>
      </c>
      <c r="AI586" s="230" t="e">
        <f>T586-HLOOKUP(V586,Minimas!$C$3:$CD$12,9,FALSE)</f>
        <v>#N/A</v>
      </c>
      <c r="AJ586" s="230" t="e">
        <f>T586-HLOOKUP(V586,Minimas!$C$3:$CD$12,10,FALSE)</f>
        <v>#N/A</v>
      </c>
      <c r="AK586" s="231" t="str">
        <f t="shared" si="105"/>
        <v xml:space="preserve"> </v>
      </c>
      <c r="AL586" s="232"/>
      <c r="AM586" s="232" t="str">
        <f t="shared" si="106"/>
        <v xml:space="preserve"> </v>
      </c>
      <c r="AN586" s="232" t="str">
        <f t="shared" si="107"/>
        <v xml:space="preserve"> </v>
      </c>
    </row>
    <row r="587" spans="28:40" x14ac:dyDescent="0.25">
      <c r="AB587" s="230" t="e">
        <f>T587-HLOOKUP(V587,Minimas!$C$3:$CD$12,2,FALSE)</f>
        <v>#N/A</v>
      </c>
      <c r="AC587" s="230" t="e">
        <f>T587-HLOOKUP(V587,Minimas!$C$3:$CD$12,3,FALSE)</f>
        <v>#N/A</v>
      </c>
      <c r="AD587" s="230" t="e">
        <f>T587-HLOOKUP(V587,Minimas!$C$3:$CD$12,4,FALSE)</f>
        <v>#N/A</v>
      </c>
      <c r="AE587" s="230" t="e">
        <f>T587-HLOOKUP(V587,Minimas!$C$3:$CD$12,5,FALSE)</f>
        <v>#N/A</v>
      </c>
      <c r="AF587" s="230" t="e">
        <f>T587-HLOOKUP(V587,Minimas!$C$3:$CD$12,6,FALSE)</f>
        <v>#N/A</v>
      </c>
      <c r="AG587" s="230" t="e">
        <f>T587-HLOOKUP(V587,Minimas!$C$3:$CD$12,7,FALSE)</f>
        <v>#N/A</v>
      </c>
      <c r="AH587" s="230" t="e">
        <f>T587-HLOOKUP(V587,Minimas!$C$3:$CD$12,8,FALSE)</f>
        <v>#N/A</v>
      </c>
      <c r="AI587" s="230" t="e">
        <f>T587-HLOOKUP(V587,Minimas!$C$3:$CD$12,9,FALSE)</f>
        <v>#N/A</v>
      </c>
      <c r="AJ587" s="230" t="e">
        <f>T587-HLOOKUP(V587,Minimas!$C$3:$CD$12,10,FALSE)</f>
        <v>#N/A</v>
      </c>
      <c r="AK587" s="231" t="str">
        <f t="shared" si="105"/>
        <v xml:space="preserve"> </v>
      </c>
      <c r="AL587" s="232"/>
      <c r="AM587" s="232" t="str">
        <f t="shared" si="106"/>
        <v xml:space="preserve"> </v>
      </c>
      <c r="AN587" s="232" t="str">
        <f t="shared" si="107"/>
        <v xml:space="preserve"> </v>
      </c>
    </row>
    <row r="588" spans="28:40" x14ac:dyDescent="0.25">
      <c r="AB588" s="230" t="e">
        <f>T588-HLOOKUP(V588,Minimas!$C$3:$CD$12,2,FALSE)</f>
        <v>#N/A</v>
      </c>
      <c r="AC588" s="230" t="e">
        <f>T588-HLOOKUP(V588,Minimas!$C$3:$CD$12,3,FALSE)</f>
        <v>#N/A</v>
      </c>
      <c r="AD588" s="230" t="e">
        <f>T588-HLOOKUP(V588,Minimas!$C$3:$CD$12,4,FALSE)</f>
        <v>#N/A</v>
      </c>
      <c r="AE588" s="230" t="e">
        <f>T588-HLOOKUP(V588,Minimas!$C$3:$CD$12,5,FALSE)</f>
        <v>#N/A</v>
      </c>
      <c r="AF588" s="230" t="e">
        <f>T588-HLOOKUP(V588,Minimas!$C$3:$CD$12,6,FALSE)</f>
        <v>#N/A</v>
      </c>
      <c r="AG588" s="230" t="e">
        <f>T588-HLOOKUP(V588,Minimas!$C$3:$CD$12,7,FALSE)</f>
        <v>#N/A</v>
      </c>
      <c r="AH588" s="230" t="e">
        <f>T588-HLOOKUP(V588,Minimas!$C$3:$CD$12,8,FALSE)</f>
        <v>#N/A</v>
      </c>
      <c r="AI588" s="230" t="e">
        <f>T588-HLOOKUP(V588,Minimas!$C$3:$CD$12,9,FALSE)</f>
        <v>#N/A</v>
      </c>
      <c r="AJ588" s="230" t="e">
        <f>T588-HLOOKUP(V588,Minimas!$C$3:$CD$12,10,FALSE)</f>
        <v>#N/A</v>
      </c>
      <c r="AK588" s="231" t="str">
        <f t="shared" si="105"/>
        <v xml:space="preserve"> </v>
      </c>
      <c r="AL588" s="232"/>
      <c r="AM588" s="232" t="str">
        <f t="shared" si="106"/>
        <v xml:space="preserve"> </v>
      </c>
      <c r="AN588" s="232" t="str">
        <f t="shared" si="107"/>
        <v xml:space="preserve"> </v>
      </c>
    </row>
    <row r="589" spans="28:40" x14ac:dyDescent="0.25">
      <c r="AB589" s="230" t="e">
        <f>T589-HLOOKUP(V589,Minimas!$C$3:$CD$12,2,FALSE)</f>
        <v>#N/A</v>
      </c>
      <c r="AC589" s="230" t="e">
        <f>T589-HLOOKUP(V589,Minimas!$C$3:$CD$12,3,FALSE)</f>
        <v>#N/A</v>
      </c>
      <c r="AD589" s="230" t="e">
        <f>T589-HLOOKUP(V589,Minimas!$C$3:$CD$12,4,FALSE)</f>
        <v>#N/A</v>
      </c>
      <c r="AE589" s="230" t="e">
        <f>T589-HLOOKUP(V589,Minimas!$C$3:$CD$12,5,FALSE)</f>
        <v>#N/A</v>
      </c>
      <c r="AF589" s="230" t="e">
        <f>T589-HLOOKUP(V589,Minimas!$C$3:$CD$12,6,FALSE)</f>
        <v>#N/A</v>
      </c>
      <c r="AG589" s="230" t="e">
        <f>T589-HLOOKUP(V589,Minimas!$C$3:$CD$12,7,FALSE)</f>
        <v>#N/A</v>
      </c>
      <c r="AH589" s="230" t="e">
        <f>T589-HLOOKUP(V589,Minimas!$C$3:$CD$12,8,FALSE)</f>
        <v>#N/A</v>
      </c>
      <c r="AI589" s="230" t="e">
        <f>T589-HLOOKUP(V589,Minimas!$C$3:$CD$12,9,FALSE)</f>
        <v>#N/A</v>
      </c>
      <c r="AJ589" s="230" t="e">
        <f>T589-HLOOKUP(V589,Minimas!$C$3:$CD$12,10,FALSE)</f>
        <v>#N/A</v>
      </c>
      <c r="AK589" s="231" t="str">
        <f t="shared" si="105"/>
        <v xml:space="preserve"> </v>
      </c>
      <c r="AL589" s="232"/>
      <c r="AM589" s="232" t="str">
        <f t="shared" si="106"/>
        <v xml:space="preserve"> </v>
      </c>
      <c r="AN589" s="232" t="str">
        <f t="shared" si="107"/>
        <v xml:space="preserve"> </v>
      </c>
    </row>
    <row r="590" spans="28:40" x14ac:dyDescent="0.25">
      <c r="AB590" s="230" t="e">
        <f>T590-HLOOKUP(V590,Minimas!$C$3:$CD$12,2,FALSE)</f>
        <v>#N/A</v>
      </c>
      <c r="AC590" s="230" t="e">
        <f>T590-HLOOKUP(V590,Minimas!$C$3:$CD$12,3,FALSE)</f>
        <v>#N/A</v>
      </c>
      <c r="AD590" s="230" t="e">
        <f>T590-HLOOKUP(V590,Minimas!$C$3:$CD$12,4,FALSE)</f>
        <v>#N/A</v>
      </c>
      <c r="AE590" s="230" t="e">
        <f>T590-HLOOKUP(V590,Minimas!$C$3:$CD$12,5,FALSE)</f>
        <v>#N/A</v>
      </c>
      <c r="AF590" s="230" t="e">
        <f>T590-HLOOKUP(V590,Minimas!$C$3:$CD$12,6,FALSE)</f>
        <v>#N/A</v>
      </c>
      <c r="AG590" s="230" t="e">
        <f>T590-HLOOKUP(V590,Minimas!$C$3:$CD$12,7,FALSE)</f>
        <v>#N/A</v>
      </c>
      <c r="AH590" s="230" t="e">
        <f>T590-HLOOKUP(V590,Minimas!$C$3:$CD$12,8,FALSE)</f>
        <v>#N/A</v>
      </c>
      <c r="AI590" s="230" t="e">
        <f>T590-HLOOKUP(V590,Minimas!$C$3:$CD$12,9,FALSE)</f>
        <v>#N/A</v>
      </c>
      <c r="AJ590" s="230" t="e">
        <f>T590-HLOOKUP(V590,Minimas!$C$3:$CD$12,10,FALSE)</f>
        <v>#N/A</v>
      </c>
      <c r="AK590" s="231" t="str">
        <f t="shared" si="105"/>
        <v xml:space="preserve"> </v>
      </c>
      <c r="AL590" s="232"/>
      <c r="AM590" s="232" t="str">
        <f t="shared" si="106"/>
        <v xml:space="preserve"> </v>
      </c>
      <c r="AN590" s="232" t="str">
        <f t="shared" si="107"/>
        <v xml:space="preserve"> </v>
      </c>
    </row>
    <row r="591" spans="28:40" x14ac:dyDescent="0.25">
      <c r="AB591" s="230" t="e">
        <f>T591-HLOOKUP(V591,Minimas!$C$3:$CD$12,2,FALSE)</f>
        <v>#N/A</v>
      </c>
      <c r="AC591" s="230" t="e">
        <f>T591-HLOOKUP(V591,Minimas!$C$3:$CD$12,3,FALSE)</f>
        <v>#N/A</v>
      </c>
      <c r="AD591" s="230" t="e">
        <f>T591-HLOOKUP(V591,Minimas!$C$3:$CD$12,4,FALSE)</f>
        <v>#N/A</v>
      </c>
      <c r="AE591" s="230" t="e">
        <f>T591-HLOOKUP(V591,Minimas!$C$3:$CD$12,5,FALSE)</f>
        <v>#N/A</v>
      </c>
      <c r="AF591" s="230" t="e">
        <f>T591-HLOOKUP(V591,Minimas!$C$3:$CD$12,6,FALSE)</f>
        <v>#N/A</v>
      </c>
      <c r="AG591" s="230" t="e">
        <f>T591-HLOOKUP(V591,Minimas!$C$3:$CD$12,7,FALSE)</f>
        <v>#N/A</v>
      </c>
      <c r="AH591" s="230" t="e">
        <f>T591-HLOOKUP(V591,Minimas!$C$3:$CD$12,8,FALSE)</f>
        <v>#N/A</v>
      </c>
      <c r="AI591" s="230" t="e">
        <f>T591-HLOOKUP(V591,Minimas!$C$3:$CD$12,9,FALSE)</f>
        <v>#N/A</v>
      </c>
      <c r="AJ591" s="230" t="e">
        <f>T591-HLOOKUP(V591,Minimas!$C$3:$CD$12,10,FALSE)</f>
        <v>#N/A</v>
      </c>
      <c r="AK591" s="231" t="str">
        <f t="shared" si="105"/>
        <v xml:space="preserve"> </v>
      </c>
      <c r="AL591" s="232"/>
      <c r="AM591" s="232" t="str">
        <f t="shared" si="106"/>
        <v xml:space="preserve"> </v>
      </c>
      <c r="AN591" s="232" t="str">
        <f t="shared" si="107"/>
        <v xml:space="preserve"> </v>
      </c>
    </row>
    <row r="592" spans="28:40" x14ac:dyDescent="0.25">
      <c r="AB592" s="230" t="e">
        <f>T592-HLOOKUP(V592,Minimas!$C$3:$CD$12,2,FALSE)</f>
        <v>#N/A</v>
      </c>
      <c r="AC592" s="230" t="e">
        <f>T592-HLOOKUP(V592,Minimas!$C$3:$CD$12,3,FALSE)</f>
        <v>#N/A</v>
      </c>
      <c r="AD592" s="230" t="e">
        <f>T592-HLOOKUP(V592,Minimas!$C$3:$CD$12,4,FALSE)</f>
        <v>#N/A</v>
      </c>
      <c r="AE592" s="230" t="e">
        <f>T592-HLOOKUP(V592,Minimas!$C$3:$CD$12,5,FALSE)</f>
        <v>#N/A</v>
      </c>
      <c r="AF592" s="230" t="e">
        <f>T592-HLOOKUP(V592,Minimas!$C$3:$CD$12,6,FALSE)</f>
        <v>#N/A</v>
      </c>
      <c r="AG592" s="230" t="e">
        <f>T592-HLOOKUP(V592,Minimas!$C$3:$CD$12,7,FALSE)</f>
        <v>#N/A</v>
      </c>
      <c r="AH592" s="230" t="e">
        <f>T592-HLOOKUP(V592,Minimas!$C$3:$CD$12,8,FALSE)</f>
        <v>#N/A</v>
      </c>
      <c r="AI592" s="230" t="e">
        <f>T592-HLOOKUP(V592,Minimas!$C$3:$CD$12,9,FALSE)</f>
        <v>#N/A</v>
      </c>
      <c r="AJ592" s="230" t="e">
        <f>T592-HLOOKUP(V592,Minimas!$C$3:$CD$12,10,FALSE)</f>
        <v>#N/A</v>
      </c>
      <c r="AK592" s="231" t="str">
        <f t="shared" si="105"/>
        <v xml:space="preserve"> </v>
      </c>
      <c r="AL592" s="232"/>
      <c r="AM592" s="232" t="str">
        <f t="shared" si="106"/>
        <v xml:space="preserve"> </v>
      </c>
      <c r="AN592" s="232" t="str">
        <f t="shared" si="107"/>
        <v xml:space="preserve"> </v>
      </c>
    </row>
    <row r="593" spans="28:40" x14ac:dyDescent="0.25">
      <c r="AB593" s="230" t="e">
        <f>T593-HLOOKUP(V593,Minimas!$C$3:$CD$12,2,FALSE)</f>
        <v>#N/A</v>
      </c>
      <c r="AC593" s="230" t="e">
        <f>T593-HLOOKUP(V593,Minimas!$C$3:$CD$12,3,FALSE)</f>
        <v>#N/A</v>
      </c>
      <c r="AD593" s="230" t="e">
        <f>T593-HLOOKUP(V593,Minimas!$C$3:$CD$12,4,FALSE)</f>
        <v>#N/A</v>
      </c>
      <c r="AE593" s="230" t="e">
        <f>T593-HLOOKUP(V593,Minimas!$C$3:$CD$12,5,FALSE)</f>
        <v>#N/A</v>
      </c>
      <c r="AF593" s="230" t="e">
        <f>T593-HLOOKUP(V593,Minimas!$C$3:$CD$12,6,FALSE)</f>
        <v>#N/A</v>
      </c>
      <c r="AG593" s="230" t="e">
        <f>T593-HLOOKUP(V593,Minimas!$C$3:$CD$12,7,FALSE)</f>
        <v>#N/A</v>
      </c>
      <c r="AH593" s="230" t="e">
        <f>T593-HLOOKUP(V593,Minimas!$C$3:$CD$12,8,FALSE)</f>
        <v>#N/A</v>
      </c>
      <c r="AI593" s="230" t="e">
        <f>T593-HLOOKUP(V593,Minimas!$C$3:$CD$12,9,FALSE)</f>
        <v>#N/A</v>
      </c>
      <c r="AJ593" s="230" t="e">
        <f>T593-HLOOKUP(V593,Minimas!$C$3:$CD$12,10,FALSE)</f>
        <v>#N/A</v>
      </c>
      <c r="AK593" s="231" t="str">
        <f t="shared" si="105"/>
        <v xml:space="preserve"> </v>
      </c>
      <c r="AL593" s="232"/>
      <c r="AM593" s="232" t="str">
        <f t="shared" si="106"/>
        <v xml:space="preserve"> </v>
      </c>
      <c r="AN593" s="232" t="str">
        <f t="shared" si="107"/>
        <v xml:space="preserve"> </v>
      </c>
    </row>
    <row r="594" spans="28:40" x14ac:dyDescent="0.25">
      <c r="AB594" s="230" t="e">
        <f>T594-HLOOKUP(V594,Minimas!$C$3:$CD$12,2,FALSE)</f>
        <v>#N/A</v>
      </c>
      <c r="AC594" s="230" t="e">
        <f>T594-HLOOKUP(V594,Minimas!$C$3:$CD$12,3,FALSE)</f>
        <v>#N/A</v>
      </c>
      <c r="AD594" s="230" t="e">
        <f>T594-HLOOKUP(V594,Minimas!$C$3:$CD$12,4,FALSE)</f>
        <v>#N/A</v>
      </c>
      <c r="AE594" s="230" t="e">
        <f>T594-HLOOKUP(V594,Minimas!$C$3:$CD$12,5,FALSE)</f>
        <v>#N/A</v>
      </c>
      <c r="AF594" s="230" t="e">
        <f>T594-HLOOKUP(V594,Minimas!$C$3:$CD$12,6,FALSE)</f>
        <v>#N/A</v>
      </c>
      <c r="AG594" s="230" t="e">
        <f>T594-HLOOKUP(V594,Minimas!$C$3:$CD$12,7,FALSE)</f>
        <v>#N/A</v>
      </c>
      <c r="AH594" s="230" t="e">
        <f>T594-HLOOKUP(V594,Minimas!$C$3:$CD$12,8,FALSE)</f>
        <v>#N/A</v>
      </c>
      <c r="AI594" s="230" t="e">
        <f>T594-HLOOKUP(V594,Minimas!$C$3:$CD$12,9,FALSE)</f>
        <v>#N/A</v>
      </c>
      <c r="AJ594" s="230" t="e">
        <f>T594-HLOOKUP(V594,Minimas!$C$3:$CD$12,10,FALSE)</f>
        <v>#N/A</v>
      </c>
      <c r="AK594" s="231" t="str">
        <f t="shared" si="105"/>
        <v xml:space="preserve"> </v>
      </c>
      <c r="AL594" s="232"/>
      <c r="AM594" s="232" t="str">
        <f t="shared" si="106"/>
        <v xml:space="preserve"> </v>
      </c>
      <c r="AN594" s="232" t="str">
        <f t="shared" si="107"/>
        <v xml:space="preserve"> </v>
      </c>
    </row>
    <row r="595" spans="28:40" x14ac:dyDescent="0.25">
      <c r="AB595" s="230" t="e">
        <f>T595-HLOOKUP(V595,Minimas!$C$3:$CD$12,2,FALSE)</f>
        <v>#N/A</v>
      </c>
      <c r="AC595" s="230" t="e">
        <f>T595-HLOOKUP(V595,Minimas!$C$3:$CD$12,3,FALSE)</f>
        <v>#N/A</v>
      </c>
      <c r="AD595" s="230" t="e">
        <f>T595-HLOOKUP(V595,Minimas!$C$3:$CD$12,4,FALSE)</f>
        <v>#N/A</v>
      </c>
      <c r="AE595" s="230" t="e">
        <f>T595-HLOOKUP(V595,Minimas!$C$3:$CD$12,5,FALSE)</f>
        <v>#N/A</v>
      </c>
      <c r="AF595" s="230" t="e">
        <f>T595-HLOOKUP(V595,Minimas!$C$3:$CD$12,6,FALSE)</f>
        <v>#N/A</v>
      </c>
      <c r="AG595" s="230" t="e">
        <f>T595-HLOOKUP(V595,Minimas!$C$3:$CD$12,7,FALSE)</f>
        <v>#N/A</v>
      </c>
      <c r="AH595" s="230" t="e">
        <f>T595-HLOOKUP(V595,Minimas!$C$3:$CD$12,8,FALSE)</f>
        <v>#N/A</v>
      </c>
      <c r="AI595" s="230" t="e">
        <f>T595-HLOOKUP(V595,Minimas!$C$3:$CD$12,9,FALSE)</f>
        <v>#N/A</v>
      </c>
      <c r="AJ595" s="230" t="e">
        <f>T595-HLOOKUP(V595,Minimas!$C$3:$CD$12,10,FALSE)</f>
        <v>#N/A</v>
      </c>
      <c r="AK595" s="231" t="str">
        <f t="shared" si="105"/>
        <v xml:space="preserve"> </v>
      </c>
      <c r="AL595" s="232"/>
      <c r="AM595" s="232" t="str">
        <f t="shared" si="106"/>
        <v xml:space="preserve"> </v>
      </c>
      <c r="AN595" s="232" t="str">
        <f t="shared" si="107"/>
        <v xml:space="preserve"> </v>
      </c>
    </row>
    <row r="596" spans="28:40" x14ac:dyDescent="0.25">
      <c r="AB596" s="230" t="e">
        <f>T596-HLOOKUP(V596,Minimas!$C$3:$CD$12,2,FALSE)</f>
        <v>#N/A</v>
      </c>
      <c r="AC596" s="230" t="e">
        <f>T596-HLOOKUP(V596,Minimas!$C$3:$CD$12,3,FALSE)</f>
        <v>#N/A</v>
      </c>
      <c r="AD596" s="230" t="e">
        <f>T596-HLOOKUP(V596,Minimas!$C$3:$CD$12,4,FALSE)</f>
        <v>#N/A</v>
      </c>
      <c r="AE596" s="230" t="e">
        <f>T596-HLOOKUP(V596,Minimas!$C$3:$CD$12,5,FALSE)</f>
        <v>#N/A</v>
      </c>
      <c r="AF596" s="230" t="e">
        <f>T596-HLOOKUP(V596,Minimas!$C$3:$CD$12,6,FALSE)</f>
        <v>#N/A</v>
      </c>
      <c r="AG596" s="230" t="e">
        <f>T596-HLOOKUP(V596,Minimas!$C$3:$CD$12,7,FALSE)</f>
        <v>#N/A</v>
      </c>
      <c r="AH596" s="230" t="e">
        <f>T596-HLOOKUP(V596,Minimas!$C$3:$CD$12,8,FALSE)</f>
        <v>#N/A</v>
      </c>
      <c r="AI596" s="230" t="e">
        <f>T596-HLOOKUP(V596,Minimas!$C$3:$CD$12,9,FALSE)</f>
        <v>#N/A</v>
      </c>
      <c r="AJ596" s="230" t="e">
        <f>T596-HLOOKUP(V596,Minimas!$C$3:$CD$12,10,FALSE)</f>
        <v>#N/A</v>
      </c>
      <c r="AK596" s="231" t="str">
        <f t="shared" si="105"/>
        <v xml:space="preserve"> </v>
      </c>
      <c r="AL596" s="232"/>
      <c r="AM596" s="232" t="str">
        <f t="shared" si="106"/>
        <v xml:space="preserve"> </v>
      </c>
      <c r="AN596" s="232" t="str">
        <f t="shared" si="107"/>
        <v xml:space="preserve"> </v>
      </c>
    </row>
    <row r="597" spans="28:40" x14ac:dyDescent="0.25">
      <c r="AB597" s="230" t="e">
        <f>T597-HLOOKUP(V597,Minimas!$C$3:$CD$12,2,FALSE)</f>
        <v>#N/A</v>
      </c>
      <c r="AC597" s="230" t="e">
        <f>T597-HLOOKUP(V597,Minimas!$C$3:$CD$12,3,FALSE)</f>
        <v>#N/A</v>
      </c>
      <c r="AD597" s="230" t="e">
        <f>T597-HLOOKUP(V597,Minimas!$C$3:$CD$12,4,FALSE)</f>
        <v>#N/A</v>
      </c>
      <c r="AE597" s="230" t="e">
        <f>T597-HLOOKUP(V597,Minimas!$C$3:$CD$12,5,FALSE)</f>
        <v>#N/A</v>
      </c>
      <c r="AF597" s="230" t="e">
        <f>T597-HLOOKUP(V597,Minimas!$C$3:$CD$12,6,FALSE)</f>
        <v>#N/A</v>
      </c>
      <c r="AG597" s="230" t="e">
        <f>T597-HLOOKUP(V597,Minimas!$C$3:$CD$12,7,FALSE)</f>
        <v>#N/A</v>
      </c>
      <c r="AH597" s="230" t="e">
        <f>T597-HLOOKUP(V597,Minimas!$C$3:$CD$12,8,FALSE)</f>
        <v>#N/A</v>
      </c>
      <c r="AI597" s="230" t="e">
        <f>T597-HLOOKUP(V597,Minimas!$C$3:$CD$12,9,FALSE)</f>
        <v>#N/A</v>
      </c>
      <c r="AJ597" s="230" t="e">
        <f>T597-HLOOKUP(V597,Minimas!$C$3:$CD$12,10,FALSE)</f>
        <v>#N/A</v>
      </c>
      <c r="AK597" s="231" t="str">
        <f t="shared" si="105"/>
        <v xml:space="preserve"> </v>
      </c>
      <c r="AL597" s="232"/>
      <c r="AM597" s="232" t="str">
        <f t="shared" si="106"/>
        <v xml:space="preserve"> </v>
      </c>
      <c r="AN597" s="232" t="str">
        <f t="shared" si="107"/>
        <v xml:space="preserve"> </v>
      </c>
    </row>
    <row r="598" spans="28:40" x14ac:dyDescent="0.25">
      <c r="AB598" s="230" t="e">
        <f>T598-HLOOKUP(V598,Minimas!$C$3:$CD$12,2,FALSE)</f>
        <v>#N/A</v>
      </c>
      <c r="AC598" s="230" t="e">
        <f>T598-HLOOKUP(V598,Minimas!$C$3:$CD$12,3,FALSE)</f>
        <v>#N/A</v>
      </c>
      <c r="AD598" s="230" t="e">
        <f>T598-HLOOKUP(V598,Minimas!$C$3:$CD$12,4,FALSE)</f>
        <v>#N/A</v>
      </c>
      <c r="AE598" s="230" t="e">
        <f>T598-HLOOKUP(V598,Minimas!$C$3:$CD$12,5,FALSE)</f>
        <v>#N/A</v>
      </c>
      <c r="AF598" s="230" t="e">
        <f>T598-HLOOKUP(V598,Minimas!$C$3:$CD$12,6,FALSE)</f>
        <v>#N/A</v>
      </c>
      <c r="AG598" s="230" t="e">
        <f>T598-HLOOKUP(V598,Minimas!$C$3:$CD$12,7,FALSE)</f>
        <v>#N/A</v>
      </c>
      <c r="AH598" s="230" t="e">
        <f>T598-HLOOKUP(V598,Minimas!$C$3:$CD$12,8,FALSE)</f>
        <v>#N/A</v>
      </c>
      <c r="AI598" s="230" t="e">
        <f>T598-HLOOKUP(V598,Minimas!$C$3:$CD$12,9,FALSE)</f>
        <v>#N/A</v>
      </c>
      <c r="AJ598" s="230" t="e">
        <f>T598-HLOOKUP(V598,Minimas!$C$3:$CD$12,10,FALSE)</f>
        <v>#N/A</v>
      </c>
      <c r="AK598" s="231" t="str">
        <f t="shared" si="105"/>
        <v xml:space="preserve"> </v>
      </c>
      <c r="AL598" s="232"/>
      <c r="AM598" s="232" t="str">
        <f t="shared" si="106"/>
        <v xml:space="preserve"> </v>
      </c>
      <c r="AN598" s="232" t="str">
        <f t="shared" si="107"/>
        <v xml:space="preserve"> </v>
      </c>
    </row>
    <row r="599" spans="28:40" x14ac:dyDescent="0.25">
      <c r="AB599" s="230" t="e">
        <f>T599-HLOOKUP(V599,Minimas!$C$3:$CD$12,2,FALSE)</f>
        <v>#N/A</v>
      </c>
      <c r="AC599" s="230" t="e">
        <f>T599-HLOOKUP(V599,Minimas!$C$3:$CD$12,3,FALSE)</f>
        <v>#N/A</v>
      </c>
      <c r="AD599" s="230" t="e">
        <f>T599-HLOOKUP(V599,Minimas!$C$3:$CD$12,4,FALSE)</f>
        <v>#N/A</v>
      </c>
      <c r="AE599" s="230" t="e">
        <f>T599-HLOOKUP(V599,Minimas!$C$3:$CD$12,5,FALSE)</f>
        <v>#N/A</v>
      </c>
      <c r="AF599" s="230" t="e">
        <f>T599-HLOOKUP(V599,Minimas!$C$3:$CD$12,6,FALSE)</f>
        <v>#N/A</v>
      </c>
      <c r="AG599" s="230" t="e">
        <f>T599-HLOOKUP(V599,Minimas!$C$3:$CD$12,7,FALSE)</f>
        <v>#N/A</v>
      </c>
      <c r="AH599" s="230" t="e">
        <f>T599-HLOOKUP(V599,Minimas!$C$3:$CD$12,8,FALSE)</f>
        <v>#N/A</v>
      </c>
      <c r="AI599" s="230" t="e">
        <f>T599-HLOOKUP(V599,Minimas!$C$3:$CD$12,9,FALSE)</f>
        <v>#N/A</v>
      </c>
      <c r="AJ599" s="230" t="e">
        <f>T599-HLOOKUP(V599,Minimas!$C$3:$CD$12,10,FALSE)</f>
        <v>#N/A</v>
      </c>
      <c r="AK599" s="231" t="str">
        <f t="shared" si="105"/>
        <v xml:space="preserve"> </v>
      </c>
      <c r="AL599" s="232"/>
      <c r="AM599" s="232" t="str">
        <f t="shared" si="106"/>
        <v xml:space="preserve"> </v>
      </c>
      <c r="AN599" s="232" t="str">
        <f t="shared" si="107"/>
        <v xml:space="preserve"> </v>
      </c>
    </row>
    <row r="600" spans="28:40" x14ac:dyDescent="0.25">
      <c r="AB600" s="230" t="e">
        <f>T600-HLOOKUP(V600,Minimas!$C$3:$CD$12,2,FALSE)</f>
        <v>#N/A</v>
      </c>
      <c r="AC600" s="230" t="e">
        <f>T600-HLOOKUP(V600,Minimas!$C$3:$CD$12,3,FALSE)</f>
        <v>#N/A</v>
      </c>
      <c r="AD600" s="230" t="e">
        <f>T600-HLOOKUP(V600,Minimas!$C$3:$CD$12,4,FALSE)</f>
        <v>#N/A</v>
      </c>
      <c r="AE600" s="230" t="e">
        <f>T600-HLOOKUP(V600,Minimas!$C$3:$CD$12,5,FALSE)</f>
        <v>#N/A</v>
      </c>
      <c r="AF600" s="230" t="e">
        <f>T600-HLOOKUP(V600,Minimas!$C$3:$CD$12,6,FALSE)</f>
        <v>#N/A</v>
      </c>
      <c r="AG600" s="230" t="e">
        <f>T600-HLOOKUP(V600,Minimas!$C$3:$CD$12,7,FALSE)</f>
        <v>#N/A</v>
      </c>
      <c r="AH600" s="230" t="e">
        <f>T600-HLOOKUP(V600,Minimas!$C$3:$CD$12,8,FALSE)</f>
        <v>#N/A</v>
      </c>
      <c r="AI600" s="230" t="e">
        <f>T600-HLOOKUP(V600,Minimas!$C$3:$CD$12,9,FALSE)</f>
        <v>#N/A</v>
      </c>
      <c r="AJ600" s="230" t="e">
        <f>T600-HLOOKUP(V600,Minimas!$C$3:$CD$12,10,FALSE)</f>
        <v>#N/A</v>
      </c>
      <c r="AK600" s="231" t="str">
        <f t="shared" si="105"/>
        <v xml:space="preserve"> </v>
      </c>
      <c r="AL600" s="232"/>
      <c r="AM600" s="232" t="str">
        <f t="shared" si="106"/>
        <v xml:space="preserve"> </v>
      </c>
      <c r="AN600" s="232" t="str">
        <f t="shared" si="107"/>
        <v xml:space="preserve"> </v>
      </c>
    </row>
    <row r="601" spans="28:40" x14ac:dyDescent="0.25">
      <c r="AB601" s="230" t="e">
        <f>T601-HLOOKUP(V601,Minimas!$C$3:$CD$12,2,FALSE)</f>
        <v>#N/A</v>
      </c>
      <c r="AC601" s="230" t="e">
        <f>T601-HLOOKUP(V601,Minimas!$C$3:$CD$12,3,FALSE)</f>
        <v>#N/A</v>
      </c>
      <c r="AD601" s="230" t="e">
        <f>T601-HLOOKUP(V601,Minimas!$C$3:$CD$12,4,FALSE)</f>
        <v>#N/A</v>
      </c>
      <c r="AE601" s="230" t="e">
        <f>T601-HLOOKUP(V601,Minimas!$C$3:$CD$12,5,FALSE)</f>
        <v>#N/A</v>
      </c>
      <c r="AF601" s="230" t="e">
        <f>T601-HLOOKUP(V601,Minimas!$C$3:$CD$12,6,FALSE)</f>
        <v>#N/A</v>
      </c>
      <c r="AG601" s="230" t="e">
        <f>T601-HLOOKUP(V601,Minimas!$C$3:$CD$12,7,FALSE)</f>
        <v>#N/A</v>
      </c>
      <c r="AH601" s="230" t="e">
        <f>T601-HLOOKUP(V601,Minimas!$C$3:$CD$12,8,FALSE)</f>
        <v>#N/A</v>
      </c>
      <c r="AI601" s="230" t="e">
        <f>T601-HLOOKUP(V601,Minimas!$C$3:$CD$12,9,FALSE)</f>
        <v>#N/A</v>
      </c>
      <c r="AJ601" s="230" t="e">
        <f>T601-HLOOKUP(V601,Minimas!$C$3:$CD$12,10,FALSE)</f>
        <v>#N/A</v>
      </c>
      <c r="AK601" s="231" t="str">
        <f t="shared" si="105"/>
        <v xml:space="preserve"> </v>
      </c>
      <c r="AL601" s="232"/>
      <c r="AM601" s="232" t="str">
        <f t="shared" si="106"/>
        <v xml:space="preserve"> </v>
      </c>
      <c r="AN601" s="232" t="str">
        <f t="shared" si="107"/>
        <v xml:space="preserve"> </v>
      </c>
    </row>
    <row r="602" spans="28:40" x14ac:dyDescent="0.25">
      <c r="AB602" s="230" t="e">
        <f>T602-HLOOKUP(V602,Minimas!$C$3:$CD$12,2,FALSE)</f>
        <v>#N/A</v>
      </c>
      <c r="AC602" s="230" t="e">
        <f>T602-HLOOKUP(V602,Minimas!$C$3:$CD$12,3,FALSE)</f>
        <v>#N/A</v>
      </c>
      <c r="AD602" s="230" t="e">
        <f>T602-HLOOKUP(V602,Minimas!$C$3:$CD$12,4,FALSE)</f>
        <v>#N/A</v>
      </c>
      <c r="AE602" s="230" t="e">
        <f>T602-HLOOKUP(V602,Minimas!$C$3:$CD$12,5,FALSE)</f>
        <v>#N/A</v>
      </c>
      <c r="AF602" s="230" t="e">
        <f>T602-HLOOKUP(V602,Minimas!$C$3:$CD$12,6,FALSE)</f>
        <v>#N/A</v>
      </c>
      <c r="AG602" s="230" t="e">
        <f>T602-HLOOKUP(V602,Minimas!$C$3:$CD$12,7,FALSE)</f>
        <v>#N/A</v>
      </c>
      <c r="AH602" s="230" t="e">
        <f>T602-HLOOKUP(V602,Minimas!$C$3:$CD$12,8,FALSE)</f>
        <v>#N/A</v>
      </c>
      <c r="AI602" s="230" t="e">
        <f>T602-HLOOKUP(V602,Minimas!$C$3:$CD$12,9,FALSE)</f>
        <v>#N/A</v>
      </c>
      <c r="AJ602" s="230" t="e">
        <f>T602-HLOOKUP(V602,Minimas!$C$3:$CD$12,10,FALSE)</f>
        <v>#N/A</v>
      </c>
      <c r="AK602" s="231" t="str">
        <f t="shared" si="105"/>
        <v xml:space="preserve"> </v>
      </c>
      <c r="AL602" s="232"/>
      <c r="AM602" s="232" t="str">
        <f t="shared" si="106"/>
        <v xml:space="preserve"> </v>
      </c>
      <c r="AN602" s="232" t="str">
        <f t="shared" si="107"/>
        <v xml:space="preserve"> </v>
      </c>
    </row>
    <row r="603" spans="28:40" x14ac:dyDescent="0.25">
      <c r="AB603" s="230" t="e">
        <f>T603-HLOOKUP(V603,Minimas!$C$3:$CD$12,2,FALSE)</f>
        <v>#N/A</v>
      </c>
      <c r="AC603" s="230" t="e">
        <f>T603-HLOOKUP(V603,Minimas!$C$3:$CD$12,3,FALSE)</f>
        <v>#N/A</v>
      </c>
      <c r="AD603" s="230" t="e">
        <f>T603-HLOOKUP(V603,Minimas!$C$3:$CD$12,4,FALSE)</f>
        <v>#N/A</v>
      </c>
      <c r="AE603" s="230" t="e">
        <f>T603-HLOOKUP(V603,Minimas!$C$3:$CD$12,5,FALSE)</f>
        <v>#N/A</v>
      </c>
      <c r="AF603" s="230" t="e">
        <f>T603-HLOOKUP(V603,Minimas!$C$3:$CD$12,6,FALSE)</f>
        <v>#N/A</v>
      </c>
      <c r="AG603" s="230" t="e">
        <f>T603-HLOOKUP(V603,Minimas!$C$3:$CD$12,7,FALSE)</f>
        <v>#N/A</v>
      </c>
      <c r="AH603" s="230" t="e">
        <f>T603-HLOOKUP(V603,Minimas!$C$3:$CD$12,8,FALSE)</f>
        <v>#N/A</v>
      </c>
      <c r="AI603" s="230" t="e">
        <f>T603-HLOOKUP(V603,Minimas!$C$3:$CD$12,9,FALSE)</f>
        <v>#N/A</v>
      </c>
      <c r="AJ603" s="230" t="e">
        <f>T603-HLOOKUP(V603,Minimas!$C$3:$CD$12,10,FALSE)</f>
        <v>#N/A</v>
      </c>
      <c r="AK603" s="231" t="str">
        <f t="shared" si="105"/>
        <v xml:space="preserve"> </v>
      </c>
      <c r="AL603" s="232"/>
      <c r="AM603" s="232" t="str">
        <f t="shared" si="106"/>
        <v xml:space="preserve"> </v>
      </c>
      <c r="AN603" s="232" t="str">
        <f t="shared" si="107"/>
        <v xml:space="preserve"> </v>
      </c>
    </row>
    <row r="604" spans="28:40" x14ac:dyDescent="0.25">
      <c r="AB604" s="230" t="e">
        <f>T604-HLOOKUP(V604,Minimas!$C$3:$CD$12,2,FALSE)</f>
        <v>#N/A</v>
      </c>
      <c r="AC604" s="230" t="e">
        <f>T604-HLOOKUP(V604,Minimas!$C$3:$CD$12,3,FALSE)</f>
        <v>#N/A</v>
      </c>
      <c r="AD604" s="230" t="e">
        <f>T604-HLOOKUP(V604,Minimas!$C$3:$CD$12,4,FALSE)</f>
        <v>#N/A</v>
      </c>
      <c r="AE604" s="230" t="e">
        <f>T604-HLOOKUP(V604,Minimas!$C$3:$CD$12,5,FALSE)</f>
        <v>#N/A</v>
      </c>
      <c r="AF604" s="230" t="e">
        <f>T604-HLOOKUP(V604,Minimas!$C$3:$CD$12,6,FALSE)</f>
        <v>#N/A</v>
      </c>
      <c r="AG604" s="230" t="e">
        <f>T604-HLOOKUP(V604,Minimas!$C$3:$CD$12,7,FALSE)</f>
        <v>#N/A</v>
      </c>
      <c r="AH604" s="230" t="e">
        <f>T604-HLOOKUP(V604,Minimas!$C$3:$CD$12,8,FALSE)</f>
        <v>#N/A</v>
      </c>
      <c r="AI604" s="230" t="e">
        <f>T604-HLOOKUP(V604,Minimas!$C$3:$CD$12,9,FALSE)</f>
        <v>#N/A</v>
      </c>
      <c r="AJ604" s="230" t="e">
        <f>T604-HLOOKUP(V604,Minimas!$C$3:$CD$12,10,FALSE)</f>
        <v>#N/A</v>
      </c>
      <c r="AK604" s="231" t="str">
        <f t="shared" si="105"/>
        <v xml:space="preserve"> </v>
      </c>
      <c r="AL604" s="232"/>
      <c r="AM604" s="232" t="str">
        <f t="shared" si="106"/>
        <v xml:space="preserve"> </v>
      </c>
      <c r="AN604" s="232" t="str">
        <f t="shared" si="107"/>
        <v xml:space="preserve"> </v>
      </c>
    </row>
    <row r="605" spans="28:40" x14ac:dyDescent="0.25">
      <c r="AB605" s="230" t="e">
        <f>T605-HLOOKUP(V605,Minimas!$C$3:$CD$12,2,FALSE)</f>
        <v>#N/A</v>
      </c>
      <c r="AC605" s="230" t="e">
        <f>T605-HLOOKUP(V605,Minimas!$C$3:$CD$12,3,FALSE)</f>
        <v>#N/A</v>
      </c>
      <c r="AD605" s="230" t="e">
        <f>T605-HLOOKUP(V605,Minimas!$C$3:$CD$12,4,FALSE)</f>
        <v>#N/A</v>
      </c>
      <c r="AE605" s="230" t="e">
        <f>T605-HLOOKUP(V605,Minimas!$C$3:$CD$12,5,FALSE)</f>
        <v>#N/A</v>
      </c>
      <c r="AF605" s="230" t="e">
        <f>T605-HLOOKUP(V605,Minimas!$C$3:$CD$12,6,FALSE)</f>
        <v>#N/A</v>
      </c>
      <c r="AG605" s="230" t="e">
        <f>T605-HLOOKUP(V605,Minimas!$C$3:$CD$12,7,FALSE)</f>
        <v>#N/A</v>
      </c>
      <c r="AH605" s="230" t="e">
        <f>T605-HLOOKUP(V605,Minimas!$C$3:$CD$12,8,FALSE)</f>
        <v>#N/A</v>
      </c>
      <c r="AI605" s="230" t="e">
        <f>T605-HLOOKUP(V605,Minimas!$C$3:$CD$12,9,FALSE)</f>
        <v>#N/A</v>
      </c>
      <c r="AJ605" s="230" t="e">
        <f>T605-HLOOKUP(V605,Minimas!$C$3:$CD$12,10,FALSE)</f>
        <v>#N/A</v>
      </c>
      <c r="AK605" s="231" t="str">
        <f t="shared" si="105"/>
        <v xml:space="preserve"> </v>
      </c>
      <c r="AL605" s="232"/>
      <c r="AM605" s="232" t="str">
        <f t="shared" si="106"/>
        <v xml:space="preserve"> </v>
      </c>
      <c r="AN605" s="232" t="str">
        <f t="shared" si="107"/>
        <v xml:space="preserve"> </v>
      </c>
    </row>
    <row r="606" spans="28:40" x14ac:dyDescent="0.25">
      <c r="AB606" s="230" t="e">
        <f>T606-HLOOKUP(V606,Minimas!$C$3:$CD$12,2,FALSE)</f>
        <v>#N/A</v>
      </c>
      <c r="AC606" s="230" t="e">
        <f>T606-HLOOKUP(V606,Minimas!$C$3:$CD$12,3,FALSE)</f>
        <v>#N/A</v>
      </c>
      <c r="AD606" s="230" t="e">
        <f>T606-HLOOKUP(V606,Minimas!$C$3:$CD$12,4,FALSE)</f>
        <v>#N/A</v>
      </c>
      <c r="AE606" s="230" t="e">
        <f>T606-HLOOKUP(V606,Minimas!$C$3:$CD$12,5,FALSE)</f>
        <v>#N/A</v>
      </c>
      <c r="AF606" s="230" t="e">
        <f>T606-HLOOKUP(V606,Minimas!$C$3:$CD$12,6,FALSE)</f>
        <v>#N/A</v>
      </c>
      <c r="AG606" s="230" t="e">
        <f>T606-HLOOKUP(V606,Minimas!$C$3:$CD$12,7,FALSE)</f>
        <v>#N/A</v>
      </c>
      <c r="AH606" s="230" t="e">
        <f>T606-HLOOKUP(V606,Minimas!$C$3:$CD$12,8,FALSE)</f>
        <v>#N/A</v>
      </c>
      <c r="AI606" s="230" t="e">
        <f>T606-HLOOKUP(V606,Minimas!$C$3:$CD$12,9,FALSE)</f>
        <v>#N/A</v>
      </c>
      <c r="AJ606" s="230" t="e">
        <f>T606-HLOOKUP(V606,Minimas!$C$3:$CD$12,10,FALSE)</f>
        <v>#N/A</v>
      </c>
      <c r="AK606" s="231" t="str">
        <f t="shared" si="105"/>
        <v xml:space="preserve"> </v>
      </c>
      <c r="AL606" s="232"/>
      <c r="AM606" s="232" t="str">
        <f t="shared" si="106"/>
        <v xml:space="preserve"> </v>
      </c>
      <c r="AN606" s="232" t="str">
        <f t="shared" si="107"/>
        <v xml:space="preserve"> </v>
      </c>
    </row>
    <row r="607" spans="28:40" x14ac:dyDescent="0.25">
      <c r="AB607" s="230" t="e">
        <f>T607-HLOOKUP(V607,Minimas!$C$3:$CD$12,2,FALSE)</f>
        <v>#N/A</v>
      </c>
      <c r="AC607" s="230" t="e">
        <f>T607-HLOOKUP(V607,Minimas!$C$3:$CD$12,3,FALSE)</f>
        <v>#N/A</v>
      </c>
      <c r="AD607" s="230" t="e">
        <f>T607-HLOOKUP(V607,Minimas!$C$3:$CD$12,4,FALSE)</f>
        <v>#N/A</v>
      </c>
      <c r="AE607" s="230" t="e">
        <f>T607-HLOOKUP(V607,Minimas!$C$3:$CD$12,5,FALSE)</f>
        <v>#N/A</v>
      </c>
      <c r="AF607" s="230" t="e">
        <f>T607-HLOOKUP(V607,Minimas!$C$3:$CD$12,6,FALSE)</f>
        <v>#N/A</v>
      </c>
      <c r="AG607" s="230" t="e">
        <f>T607-HLOOKUP(V607,Minimas!$C$3:$CD$12,7,FALSE)</f>
        <v>#N/A</v>
      </c>
      <c r="AH607" s="230" t="e">
        <f>T607-HLOOKUP(V607,Minimas!$C$3:$CD$12,8,FALSE)</f>
        <v>#N/A</v>
      </c>
      <c r="AI607" s="230" t="e">
        <f>T607-HLOOKUP(V607,Minimas!$C$3:$CD$12,9,FALSE)</f>
        <v>#N/A</v>
      </c>
      <c r="AJ607" s="230" t="e">
        <f>T607-HLOOKUP(V607,Minimas!$C$3:$CD$12,10,FALSE)</f>
        <v>#N/A</v>
      </c>
      <c r="AK607" s="231" t="str">
        <f t="shared" si="105"/>
        <v xml:space="preserve"> </v>
      </c>
      <c r="AL607" s="232"/>
      <c r="AM607" s="232" t="str">
        <f t="shared" si="106"/>
        <v xml:space="preserve"> </v>
      </c>
      <c r="AN607" s="232" t="str">
        <f t="shared" si="107"/>
        <v xml:space="preserve"> </v>
      </c>
    </row>
    <row r="608" spans="28:40" x14ac:dyDescent="0.25">
      <c r="AB608" s="230" t="e">
        <f>T608-HLOOKUP(V608,Minimas!$C$3:$CD$12,2,FALSE)</f>
        <v>#N/A</v>
      </c>
      <c r="AC608" s="230" t="e">
        <f>T608-HLOOKUP(V608,Minimas!$C$3:$CD$12,3,FALSE)</f>
        <v>#N/A</v>
      </c>
      <c r="AD608" s="230" t="e">
        <f>T608-HLOOKUP(V608,Minimas!$C$3:$CD$12,4,FALSE)</f>
        <v>#N/A</v>
      </c>
      <c r="AE608" s="230" t="e">
        <f>T608-HLOOKUP(V608,Minimas!$C$3:$CD$12,5,FALSE)</f>
        <v>#N/A</v>
      </c>
      <c r="AF608" s="230" t="e">
        <f>T608-HLOOKUP(V608,Minimas!$C$3:$CD$12,6,FALSE)</f>
        <v>#N/A</v>
      </c>
      <c r="AG608" s="230" t="e">
        <f>T608-HLOOKUP(V608,Minimas!$C$3:$CD$12,7,FALSE)</f>
        <v>#N/A</v>
      </c>
      <c r="AH608" s="230" t="e">
        <f>T608-HLOOKUP(V608,Minimas!$C$3:$CD$12,8,FALSE)</f>
        <v>#N/A</v>
      </c>
      <c r="AI608" s="230" t="e">
        <f>T608-HLOOKUP(V608,Minimas!$C$3:$CD$12,9,FALSE)</f>
        <v>#N/A</v>
      </c>
      <c r="AJ608" s="230" t="e">
        <f>T608-HLOOKUP(V608,Minimas!$C$3:$CD$12,10,FALSE)</f>
        <v>#N/A</v>
      </c>
      <c r="AK608" s="231" t="str">
        <f t="shared" si="105"/>
        <v xml:space="preserve"> </v>
      </c>
      <c r="AL608" s="232"/>
      <c r="AM608" s="232" t="str">
        <f t="shared" si="106"/>
        <v xml:space="preserve"> </v>
      </c>
      <c r="AN608" s="232" t="str">
        <f t="shared" si="107"/>
        <v xml:space="preserve"> </v>
      </c>
    </row>
    <row r="609" spans="28:40" x14ac:dyDescent="0.25">
      <c r="AB609" s="230" t="e">
        <f>T609-HLOOKUP(V609,Minimas!$C$3:$CD$12,2,FALSE)</f>
        <v>#N/A</v>
      </c>
      <c r="AC609" s="230" t="e">
        <f>T609-HLOOKUP(V609,Minimas!$C$3:$CD$12,3,FALSE)</f>
        <v>#N/A</v>
      </c>
      <c r="AD609" s="230" t="e">
        <f>T609-HLOOKUP(V609,Minimas!$C$3:$CD$12,4,FALSE)</f>
        <v>#N/A</v>
      </c>
      <c r="AE609" s="230" t="e">
        <f>T609-HLOOKUP(V609,Minimas!$C$3:$CD$12,5,FALSE)</f>
        <v>#N/A</v>
      </c>
      <c r="AF609" s="230" t="e">
        <f>T609-HLOOKUP(V609,Minimas!$C$3:$CD$12,6,FALSE)</f>
        <v>#N/A</v>
      </c>
      <c r="AG609" s="230" t="e">
        <f>T609-HLOOKUP(V609,Minimas!$C$3:$CD$12,7,FALSE)</f>
        <v>#N/A</v>
      </c>
      <c r="AH609" s="230" t="e">
        <f>T609-HLOOKUP(V609,Minimas!$C$3:$CD$12,8,FALSE)</f>
        <v>#N/A</v>
      </c>
      <c r="AI609" s="230" t="e">
        <f>T609-HLOOKUP(V609,Minimas!$C$3:$CD$12,9,FALSE)</f>
        <v>#N/A</v>
      </c>
      <c r="AJ609" s="230" t="e">
        <f>T609-HLOOKUP(V609,Minimas!$C$3:$CD$12,10,FALSE)</f>
        <v>#N/A</v>
      </c>
      <c r="AK609" s="231" t="str">
        <f t="shared" si="105"/>
        <v xml:space="preserve"> </v>
      </c>
      <c r="AL609" s="232"/>
      <c r="AM609" s="232" t="str">
        <f t="shared" si="106"/>
        <v xml:space="preserve"> </v>
      </c>
      <c r="AN609" s="232" t="str">
        <f t="shared" si="107"/>
        <v xml:space="preserve"> </v>
      </c>
    </row>
    <row r="610" spans="28:40" x14ac:dyDescent="0.25">
      <c r="AB610" s="230" t="e">
        <f>T610-HLOOKUP(V610,Minimas!$C$3:$CD$12,2,FALSE)</f>
        <v>#N/A</v>
      </c>
      <c r="AC610" s="230" t="e">
        <f>T610-HLOOKUP(V610,Minimas!$C$3:$CD$12,3,FALSE)</f>
        <v>#N/A</v>
      </c>
      <c r="AD610" s="230" t="e">
        <f>T610-HLOOKUP(V610,Minimas!$C$3:$CD$12,4,FALSE)</f>
        <v>#N/A</v>
      </c>
      <c r="AE610" s="230" t="e">
        <f>T610-HLOOKUP(V610,Minimas!$C$3:$CD$12,5,FALSE)</f>
        <v>#N/A</v>
      </c>
      <c r="AF610" s="230" t="e">
        <f>T610-HLOOKUP(V610,Minimas!$C$3:$CD$12,6,FALSE)</f>
        <v>#N/A</v>
      </c>
      <c r="AG610" s="230" t="e">
        <f>T610-HLOOKUP(V610,Minimas!$C$3:$CD$12,7,FALSE)</f>
        <v>#N/A</v>
      </c>
      <c r="AH610" s="230" t="e">
        <f>T610-HLOOKUP(V610,Minimas!$C$3:$CD$12,8,FALSE)</f>
        <v>#N/A</v>
      </c>
      <c r="AI610" s="230" t="e">
        <f>T610-HLOOKUP(V610,Minimas!$C$3:$CD$12,9,FALSE)</f>
        <v>#N/A</v>
      </c>
      <c r="AJ610" s="230" t="e">
        <f>T610-HLOOKUP(V610,Minimas!$C$3:$CD$12,10,FALSE)</f>
        <v>#N/A</v>
      </c>
      <c r="AK610" s="231" t="str">
        <f t="shared" si="105"/>
        <v xml:space="preserve"> </v>
      </c>
      <c r="AL610" s="232"/>
      <c r="AM610" s="232" t="str">
        <f t="shared" si="106"/>
        <v xml:space="preserve"> </v>
      </c>
      <c r="AN610" s="232" t="str">
        <f t="shared" si="107"/>
        <v xml:space="preserve"> </v>
      </c>
    </row>
    <row r="611" spans="28:40" x14ac:dyDescent="0.25">
      <c r="AB611" s="230" t="e">
        <f>T611-HLOOKUP(V611,Minimas!$C$3:$CD$12,2,FALSE)</f>
        <v>#N/A</v>
      </c>
      <c r="AC611" s="230" t="e">
        <f>T611-HLOOKUP(V611,Minimas!$C$3:$CD$12,3,FALSE)</f>
        <v>#N/A</v>
      </c>
      <c r="AD611" s="230" t="e">
        <f>T611-HLOOKUP(V611,Minimas!$C$3:$CD$12,4,FALSE)</f>
        <v>#N/A</v>
      </c>
      <c r="AE611" s="230" t="e">
        <f>T611-HLOOKUP(V611,Minimas!$C$3:$CD$12,5,FALSE)</f>
        <v>#N/A</v>
      </c>
      <c r="AF611" s="230" t="e">
        <f>T611-HLOOKUP(V611,Minimas!$C$3:$CD$12,6,FALSE)</f>
        <v>#N/A</v>
      </c>
      <c r="AG611" s="230" t="e">
        <f>T611-HLOOKUP(V611,Minimas!$C$3:$CD$12,7,FALSE)</f>
        <v>#N/A</v>
      </c>
      <c r="AH611" s="230" t="e">
        <f>T611-HLOOKUP(V611,Minimas!$C$3:$CD$12,8,FALSE)</f>
        <v>#N/A</v>
      </c>
      <c r="AI611" s="230" t="e">
        <f>T611-HLOOKUP(V611,Minimas!$C$3:$CD$12,9,FALSE)</f>
        <v>#N/A</v>
      </c>
      <c r="AJ611" s="230" t="e">
        <f>T611-HLOOKUP(V611,Minimas!$C$3:$CD$12,10,FALSE)</f>
        <v>#N/A</v>
      </c>
      <c r="AK611" s="231" t="str">
        <f t="shared" si="105"/>
        <v xml:space="preserve"> </v>
      </c>
      <c r="AL611" s="232"/>
      <c r="AM611" s="232" t="str">
        <f t="shared" si="106"/>
        <v xml:space="preserve"> </v>
      </c>
      <c r="AN611" s="232" t="str">
        <f t="shared" si="107"/>
        <v xml:space="preserve"> </v>
      </c>
    </row>
    <row r="612" spans="28:40" x14ac:dyDescent="0.25">
      <c r="AB612" s="230" t="e">
        <f>T612-HLOOKUP(V612,Minimas!$C$3:$CD$12,2,FALSE)</f>
        <v>#N/A</v>
      </c>
      <c r="AC612" s="230" t="e">
        <f>T612-HLOOKUP(V612,Minimas!$C$3:$CD$12,3,FALSE)</f>
        <v>#N/A</v>
      </c>
      <c r="AD612" s="230" t="e">
        <f>T612-HLOOKUP(V612,Minimas!$C$3:$CD$12,4,FALSE)</f>
        <v>#N/A</v>
      </c>
      <c r="AE612" s="230" t="e">
        <f>T612-HLOOKUP(V612,Minimas!$C$3:$CD$12,5,FALSE)</f>
        <v>#N/A</v>
      </c>
      <c r="AF612" s="230" t="e">
        <f>T612-HLOOKUP(V612,Minimas!$C$3:$CD$12,6,FALSE)</f>
        <v>#N/A</v>
      </c>
      <c r="AG612" s="230" t="e">
        <f>T612-HLOOKUP(V612,Minimas!$C$3:$CD$12,7,FALSE)</f>
        <v>#N/A</v>
      </c>
      <c r="AH612" s="230" t="e">
        <f>T612-HLOOKUP(V612,Minimas!$C$3:$CD$12,8,FALSE)</f>
        <v>#N/A</v>
      </c>
      <c r="AI612" s="230" t="e">
        <f>T612-HLOOKUP(V612,Minimas!$C$3:$CD$12,9,FALSE)</f>
        <v>#N/A</v>
      </c>
      <c r="AJ612" s="230" t="e">
        <f>T612-HLOOKUP(V612,Minimas!$C$3:$CD$12,10,FALSE)</f>
        <v>#N/A</v>
      </c>
      <c r="AK612" s="231" t="str">
        <f t="shared" si="105"/>
        <v xml:space="preserve"> </v>
      </c>
      <c r="AL612" s="232"/>
      <c r="AM612" s="232" t="str">
        <f t="shared" si="106"/>
        <v xml:space="preserve"> </v>
      </c>
      <c r="AN612" s="232" t="str">
        <f t="shared" si="107"/>
        <v xml:space="preserve"> </v>
      </c>
    </row>
    <row r="613" spans="28:40" x14ac:dyDescent="0.25">
      <c r="AB613" s="230" t="e">
        <f>T613-HLOOKUP(V613,Minimas!$C$3:$CD$12,2,FALSE)</f>
        <v>#N/A</v>
      </c>
      <c r="AC613" s="230" t="e">
        <f>T613-HLOOKUP(V613,Minimas!$C$3:$CD$12,3,FALSE)</f>
        <v>#N/A</v>
      </c>
      <c r="AD613" s="230" t="e">
        <f>T613-HLOOKUP(V613,Minimas!$C$3:$CD$12,4,FALSE)</f>
        <v>#N/A</v>
      </c>
      <c r="AE613" s="230" t="e">
        <f>T613-HLOOKUP(V613,Minimas!$C$3:$CD$12,5,FALSE)</f>
        <v>#N/A</v>
      </c>
      <c r="AF613" s="230" t="e">
        <f>T613-HLOOKUP(V613,Minimas!$C$3:$CD$12,6,FALSE)</f>
        <v>#N/A</v>
      </c>
      <c r="AG613" s="230" t="e">
        <f>T613-HLOOKUP(V613,Minimas!$C$3:$CD$12,7,FALSE)</f>
        <v>#N/A</v>
      </c>
      <c r="AH613" s="230" t="e">
        <f>T613-HLOOKUP(V613,Minimas!$C$3:$CD$12,8,FALSE)</f>
        <v>#N/A</v>
      </c>
      <c r="AI613" s="230" t="e">
        <f>T613-HLOOKUP(V613,Minimas!$C$3:$CD$12,9,FALSE)</f>
        <v>#N/A</v>
      </c>
      <c r="AJ613" s="230" t="e">
        <f>T613-HLOOKUP(V613,Minimas!$C$3:$CD$12,10,FALSE)</f>
        <v>#N/A</v>
      </c>
      <c r="AK613" s="231" t="str">
        <f t="shared" si="105"/>
        <v xml:space="preserve"> </v>
      </c>
      <c r="AL613" s="232"/>
      <c r="AM613" s="232" t="str">
        <f t="shared" si="106"/>
        <v xml:space="preserve"> </v>
      </c>
      <c r="AN613" s="232" t="str">
        <f t="shared" si="107"/>
        <v xml:space="preserve"> </v>
      </c>
    </row>
    <row r="614" spans="28:40" x14ac:dyDescent="0.25">
      <c r="AB614" s="230" t="e">
        <f>T614-HLOOKUP(V614,Minimas!$C$3:$CD$12,2,FALSE)</f>
        <v>#N/A</v>
      </c>
      <c r="AC614" s="230" t="e">
        <f>T614-HLOOKUP(V614,Minimas!$C$3:$CD$12,3,FALSE)</f>
        <v>#N/A</v>
      </c>
      <c r="AD614" s="230" t="e">
        <f>T614-HLOOKUP(V614,Minimas!$C$3:$CD$12,4,FALSE)</f>
        <v>#N/A</v>
      </c>
      <c r="AE614" s="230" t="e">
        <f>T614-HLOOKUP(V614,Minimas!$C$3:$CD$12,5,FALSE)</f>
        <v>#N/A</v>
      </c>
      <c r="AF614" s="230" t="e">
        <f>T614-HLOOKUP(V614,Minimas!$C$3:$CD$12,6,FALSE)</f>
        <v>#N/A</v>
      </c>
      <c r="AG614" s="230" t="e">
        <f>T614-HLOOKUP(V614,Minimas!$C$3:$CD$12,7,FALSE)</f>
        <v>#N/A</v>
      </c>
      <c r="AH614" s="230" t="e">
        <f>T614-HLOOKUP(V614,Minimas!$C$3:$CD$12,8,FALSE)</f>
        <v>#N/A</v>
      </c>
      <c r="AI614" s="230" t="e">
        <f>T614-HLOOKUP(V614,Minimas!$C$3:$CD$12,9,FALSE)</f>
        <v>#N/A</v>
      </c>
      <c r="AJ614" s="230" t="e">
        <f>T614-HLOOKUP(V614,Minimas!$C$3:$CD$12,10,FALSE)</f>
        <v>#N/A</v>
      </c>
      <c r="AK614" s="231" t="str">
        <f t="shared" si="105"/>
        <v xml:space="preserve"> </v>
      </c>
      <c r="AL614" s="232"/>
      <c r="AM614" s="232" t="str">
        <f t="shared" si="106"/>
        <v xml:space="preserve"> </v>
      </c>
      <c r="AN614" s="232" t="str">
        <f t="shared" si="107"/>
        <v xml:space="preserve"> </v>
      </c>
    </row>
    <row r="615" spans="28:40" x14ac:dyDescent="0.25">
      <c r="AB615" s="230" t="e">
        <f>T615-HLOOKUP(V615,Minimas!$C$3:$CD$12,2,FALSE)</f>
        <v>#N/A</v>
      </c>
      <c r="AC615" s="230" t="e">
        <f>T615-HLOOKUP(V615,Minimas!$C$3:$CD$12,3,FALSE)</f>
        <v>#N/A</v>
      </c>
      <c r="AD615" s="230" t="e">
        <f>T615-HLOOKUP(V615,Minimas!$C$3:$CD$12,4,FALSE)</f>
        <v>#N/A</v>
      </c>
      <c r="AE615" s="230" t="e">
        <f>T615-HLOOKUP(V615,Minimas!$C$3:$CD$12,5,FALSE)</f>
        <v>#N/A</v>
      </c>
      <c r="AF615" s="230" t="e">
        <f>T615-HLOOKUP(V615,Minimas!$C$3:$CD$12,6,FALSE)</f>
        <v>#N/A</v>
      </c>
      <c r="AG615" s="230" t="e">
        <f>T615-HLOOKUP(V615,Minimas!$C$3:$CD$12,7,FALSE)</f>
        <v>#N/A</v>
      </c>
      <c r="AH615" s="230" t="e">
        <f>T615-HLOOKUP(V615,Minimas!$C$3:$CD$12,8,FALSE)</f>
        <v>#N/A</v>
      </c>
      <c r="AI615" s="230" t="e">
        <f>T615-HLOOKUP(V615,Minimas!$C$3:$CD$12,9,FALSE)</f>
        <v>#N/A</v>
      </c>
      <c r="AJ615" s="230" t="e">
        <f>T615-HLOOKUP(V615,Minimas!$C$3:$CD$12,10,FALSE)</f>
        <v>#N/A</v>
      </c>
      <c r="AK615" s="231" t="str">
        <f t="shared" si="105"/>
        <v xml:space="preserve"> </v>
      </c>
      <c r="AL615" s="232"/>
      <c r="AM615" s="232" t="str">
        <f t="shared" si="106"/>
        <v xml:space="preserve"> </v>
      </c>
      <c r="AN615" s="232" t="str">
        <f t="shared" si="107"/>
        <v xml:space="preserve"> </v>
      </c>
    </row>
    <row r="616" spans="28:40" x14ac:dyDescent="0.25">
      <c r="AB616" s="230" t="e">
        <f>T616-HLOOKUP(V616,Minimas!$C$3:$CD$12,2,FALSE)</f>
        <v>#N/A</v>
      </c>
      <c r="AC616" s="230" t="e">
        <f>T616-HLOOKUP(V616,Minimas!$C$3:$CD$12,3,FALSE)</f>
        <v>#N/A</v>
      </c>
      <c r="AD616" s="230" t="e">
        <f>T616-HLOOKUP(V616,Minimas!$C$3:$CD$12,4,FALSE)</f>
        <v>#N/A</v>
      </c>
      <c r="AE616" s="230" t="e">
        <f>T616-HLOOKUP(V616,Minimas!$C$3:$CD$12,5,FALSE)</f>
        <v>#N/A</v>
      </c>
      <c r="AF616" s="230" t="e">
        <f>T616-HLOOKUP(V616,Minimas!$C$3:$CD$12,6,FALSE)</f>
        <v>#N/A</v>
      </c>
      <c r="AG616" s="230" t="e">
        <f>T616-HLOOKUP(V616,Minimas!$C$3:$CD$12,7,FALSE)</f>
        <v>#N/A</v>
      </c>
      <c r="AH616" s="230" t="e">
        <f>T616-HLOOKUP(V616,Minimas!$C$3:$CD$12,8,FALSE)</f>
        <v>#N/A</v>
      </c>
      <c r="AI616" s="230" t="e">
        <f>T616-HLOOKUP(V616,Minimas!$C$3:$CD$12,9,FALSE)</f>
        <v>#N/A</v>
      </c>
      <c r="AJ616" s="230" t="e">
        <f>T616-HLOOKUP(V616,Minimas!$C$3:$CD$12,10,FALSE)</f>
        <v>#N/A</v>
      </c>
      <c r="AK616" s="231" t="str">
        <f t="shared" si="105"/>
        <v xml:space="preserve"> </v>
      </c>
      <c r="AL616" s="232"/>
      <c r="AM616" s="232" t="str">
        <f t="shared" si="106"/>
        <v xml:space="preserve"> </v>
      </c>
      <c r="AN616" s="232" t="str">
        <f t="shared" si="107"/>
        <v xml:space="preserve"> </v>
      </c>
    </row>
    <row r="617" spans="28:40" x14ac:dyDescent="0.25">
      <c r="AB617" s="230" t="e">
        <f>T617-HLOOKUP(V617,Minimas!$C$3:$CD$12,2,FALSE)</f>
        <v>#N/A</v>
      </c>
      <c r="AC617" s="230" t="e">
        <f>T617-HLOOKUP(V617,Minimas!$C$3:$CD$12,3,FALSE)</f>
        <v>#N/A</v>
      </c>
      <c r="AD617" s="230" t="e">
        <f>T617-HLOOKUP(V617,Minimas!$C$3:$CD$12,4,FALSE)</f>
        <v>#N/A</v>
      </c>
      <c r="AE617" s="230" t="e">
        <f>T617-HLOOKUP(V617,Minimas!$C$3:$CD$12,5,FALSE)</f>
        <v>#N/A</v>
      </c>
      <c r="AF617" s="230" t="e">
        <f>T617-HLOOKUP(V617,Minimas!$C$3:$CD$12,6,FALSE)</f>
        <v>#N/A</v>
      </c>
      <c r="AG617" s="230" t="e">
        <f>T617-HLOOKUP(V617,Minimas!$C$3:$CD$12,7,FALSE)</f>
        <v>#N/A</v>
      </c>
      <c r="AH617" s="230" t="e">
        <f>T617-HLOOKUP(V617,Minimas!$C$3:$CD$12,8,FALSE)</f>
        <v>#N/A</v>
      </c>
      <c r="AI617" s="230" t="e">
        <f>T617-HLOOKUP(V617,Minimas!$C$3:$CD$12,9,FALSE)</f>
        <v>#N/A</v>
      </c>
      <c r="AJ617" s="230" t="e">
        <f>T617-HLOOKUP(V617,Minimas!$C$3:$CD$12,10,FALSE)</f>
        <v>#N/A</v>
      </c>
      <c r="AK617" s="231" t="str">
        <f t="shared" si="105"/>
        <v xml:space="preserve"> </v>
      </c>
      <c r="AL617" s="232"/>
      <c r="AM617" s="232" t="str">
        <f t="shared" si="106"/>
        <v xml:space="preserve"> </v>
      </c>
      <c r="AN617" s="232" t="str">
        <f t="shared" si="107"/>
        <v xml:space="preserve"> </v>
      </c>
    </row>
    <row r="618" spans="28:40" x14ac:dyDescent="0.25">
      <c r="AB618" s="230" t="e">
        <f>T618-HLOOKUP(V618,Minimas!$C$3:$CD$12,2,FALSE)</f>
        <v>#N/A</v>
      </c>
      <c r="AC618" s="230" t="e">
        <f>T618-HLOOKUP(V618,Minimas!$C$3:$CD$12,3,FALSE)</f>
        <v>#N/A</v>
      </c>
      <c r="AD618" s="230" t="e">
        <f>T618-HLOOKUP(V618,Minimas!$C$3:$CD$12,4,FALSE)</f>
        <v>#N/A</v>
      </c>
      <c r="AE618" s="230" t="e">
        <f>T618-HLOOKUP(V618,Minimas!$C$3:$CD$12,5,FALSE)</f>
        <v>#N/A</v>
      </c>
      <c r="AF618" s="230" t="e">
        <f>T618-HLOOKUP(V618,Minimas!$C$3:$CD$12,6,FALSE)</f>
        <v>#N/A</v>
      </c>
      <c r="AG618" s="230" t="e">
        <f>T618-HLOOKUP(V618,Minimas!$C$3:$CD$12,7,FALSE)</f>
        <v>#N/A</v>
      </c>
      <c r="AH618" s="230" t="e">
        <f>T618-HLOOKUP(V618,Minimas!$C$3:$CD$12,8,FALSE)</f>
        <v>#N/A</v>
      </c>
      <c r="AI618" s="230" t="e">
        <f>T618-HLOOKUP(V618,Minimas!$C$3:$CD$12,9,FALSE)</f>
        <v>#N/A</v>
      </c>
      <c r="AJ618" s="230" t="e">
        <f>T618-HLOOKUP(V618,Minimas!$C$3:$CD$12,10,FALSE)</f>
        <v>#N/A</v>
      </c>
      <c r="AK618" s="231" t="str">
        <f t="shared" si="105"/>
        <v xml:space="preserve"> </v>
      </c>
      <c r="AL618" s="232"/>
      <c r="AM618" s="232" t="str">
        <f t="shared" si="106"/>
        <v xml:space="preserve"> </v>
      </c>
      <c r="AN618" s="232" t="str">
        <f t="shared" si="107"/>
        <v xml:space="preserve"> </v>
      </c>
    </row>
    <row r="619" spans="28:40" x14ac:dyDescent="0.25">
      <c r="AB619" s="230" t="e">
        <f>T619-HLOOKUP(V619,Minimas!$C$3:$CD$12,2,FALSE)</f>
        <v>#N/A</v>
      </c>
      <c r="AC619" s="230" t="e">
        <f>T619-HLOOKUP(V619,Minimas!$C$3:$CD$12,3,FALSE)</f>
        <v>#N/A</v>
      </c>
      <c r="AD619" s="230" t="e">
        <f>T619-HLOOKUP(V619,Minimas!$C$3:$CD$12,4,FALSE)</f>
        <v>#N/A</v>
      </c>
      <c r="AE619" s="230" t="e">
        <f>T619-HLOOKUP(V619,Minimas!$C$3:$CD$12,5,FALSE)</f>
        <v>#N/A</v>
      </c>
      <c r="AF619" s="230" t="e">
        <f>T619-HLOOKUP(V619,Minimas!$C$3:$CD$12,6,FALSE)</f>
        <v>#N/A</v>
      </c>
      <c r="AG619" s="230" t="e">
        <f>T619-HLOOKUP(V619,Minimas!$C$3:$CD$12,7,FALSE)</f>
        <v>#N/A</v>
      </c>
      <c r="AH619" s="230" t="e">
        <f>T619-HLOOKUP(V619,Minimas!$C$3:$CD$12,8,FALSE)</f>
        <v>#N/A</v>
      </c>
      <c r="AI619" s="230" t="e">
        <f>T619-HLOOKUP(V619,Minimas!$C$3:$CD$12,9,FALSE)</f>
        <v>#N/A</v>
      </c>
      <c r="AJ619" s="230" t="e">
        <f>T619-HLOOKUP(V619,Minimas!$C$3:$CD$12,10,FALSE)</f>
        <v>#N/A</v>
      </c>
      <c r="AK619" s="231" t="str">
        <f t="shared" si="105"/>
        <v xml:space="preserve"> </v>
      </c>
      <c r="AL619" s="232"/>
      <c r="AM619" s="232" t="str">
        <f t="shared" si="106"/>
        <v xml:space="preserve"> </v>
      </c>
      <c r="AN619" s="232" t="str">
        <f t="shared" si="107"/>
        <v xml:space="preserve"> </v>
      </c>
    </row>
    <row r="620" spans="28:40" x14ac:dyDescent="0.25">
      <c r="AB620" s="230" t="e">
        <f>T620-HLOOKUP(V620,Minimas!$C$3:$CD$12,2,FALSE)</f>
        <v>#N/A</v>
      </c>
      <c r="AC620" s="230" t="e">
        <f>T620-HLOOKUP(V620,Minimas!$C$3:$CD$12,3,FALSE)</f>
        <v>#N/A</v>
      </c>
      <c r="AD620" s="230" t="e">
        <f>T620-HLOOKUP(V620,Minimas!$C$3:$CD$12,4,FALSE)</f>
        <v>#N/A</v>
      </c>
      <c r="AE620" s="230" t="e">
        <f>T620-HLOOKUP(V620,Minimas!$C$3:$CD$12,5,FALSE)</f>
        <v>#N/A</v>
      </c>
      <c r="AF620" s="230" t="e">
        <f>T620-HLOOKUP(V620,Minimas!$C$3:$CD$12,6,FALSE)</f>
        <v>#N/A</v>
      </c>
      <c r="AG620" s="230" t="e">
        <f>T620-HLOOKUP(V620,Minimas!$C$3:$CD$12,7,FALSE)</f>
        <v>#N/A</v>
      </c>
      <c r="AH620" s="230" t="e">
        <f>T620-HLOOKUP(V620,Minimas!$C$3:$CD$12,8,FALSE)</f>
        <v>#N/A</v>
      </c>
      <c r="AI620" s="230" t="e">
        <f>T620-HLOOKUP(V620,Minimas!$C$3:$CD$12,9,FALSE)</f>
        <v>#N/A</v>
      </c>
      <c r="AJ620" s="230" t="e">
        <f>T620-HLOOKUP(V620,Minimas!$C$3:$CD$12,10,FALSE)</f>
        <v>#N/A</v>
      </c>
      <c r="AK620" s="231" t="str">
        <f t="shared" si="105"/>
        <v xml:space="preserve"> </v>
      </c>
      <c r="AL620" s="232"/>
      <c r="AM620" s="232" t="str">
        <f t="shared" si="106"/>
        <v xml:space="preserve"> </v>
      </c>
      <c r="AN620" s="232" t="str">
        <f t="shared" si="107"/>
        <v xml:space="preserve"> </v>
      </c>
    </row>
    <row r="621" spans="28:40" x14ac:dyDescent="0.25">
      <c r="AB621" s="230" t="e">
        <f>T621-HLOOKUP(V621,Minimas!$C$3:$CD$12,2,FALSE)</f>
        <v>#N/A</v>
      </c>
      <c r="AC621" s="230" t="e">
        <f>T621-HLOOKUP(V621,Minimas!$C$3:$CD$12,3,FALSE)</f>
        <v>#N/A</v>
      </c>
      <c r="AD621" s="230" t="e">
        <f>T621-HLOOKUP(V621,Minimas!$C$3:$CD$12,4,FALSE)</f>
        <v>#N/A</v>
      </c>
      <c r="AE621" s="230" t="e">
        <f>T621-HLOOKUP(V621,Minimas!$C$3:$CD$12,5,FALSE)</f>
        <v>#N/A</v>
      </c>
      <c r="AF621" s="230" t="e">
        <f>T621-HLOOKUP(V621,Minimas!$C$3:$CD$12,6,FALSE)</f>
        <v>#N/A</v>
      </c>
      <c r="AG621" s="230" t="e">
        <f>T621-HLOOKUP(V621,Minimas!$C$3:$CD$12,7,FALSE)</f>
        <v>#N/A</v>
      </c>
      <c r="AH621" s="230" t="e">
        <f>T621-HLOOKUP(V621,Minimas!$C$3:$CD$12,8,FALSE)</f>
        <v>#N/A</v>
      </c>
      <c r="AI621" s="230" t="e">
        <f>T621-HLOOKUP(V621,Minimas!$C$3:$CD$12,9,FALSE)</f>
        <v>#N/A</v>
      </c>
      <c r="AJ621" s="230" t="e">
        <f>T621-HLOOKUP(V621,Minimas!$C$3:$CD$12,10,FALSE)</f>
        <v>#N/A</v>
      </c>
      <c r="AK621" s="231" t="str">
        <f t="shared" si="105"/>
        <v xml:space="preserve"> </v>
      </c>
      <c r="AL621" s="232"/>
      <c r="AM621" s="232" t="str">
        <f t="shared" si="106"/>
        <v xml:space="preserve"> </v>
      </c>
      <c r="AN621" s="232" t="str">
        <f t="shared" si="107"/>
        <v xml:space="preserve"> </v>
      </c>
    </row>
    <row r="622" spans="28:40" x14ac:dyDescent="0.25">
      <c r="AB622" s="230" t="e">
        <f>T622-HLOOKUP(V622,Minimas!$C$3:$CD$12,2,FALSE)</f>
        <v>#N/A</v>
      </c>
      <c r="AC622" s="230" t="e">
        <f>T622-HLOOKUP(V622,Minimas!$C$3:$CD$12,3,FALSE)</f>
        <v>#N/A</v>
      </c>
      <c r="AD622" s="230" t="e">
        <f>T622-HLOOKUP(V622,Minimas!$C$3:$CD$12,4,FALSE)</f>
        <v>#N/A</v>
      </c>
      <c r="AE622" s="230" t="e">
        <f>T622-HLOOKUP(V622,Minimas!$C$3:$CD$12,5,FALSE)</f>
        <v>#N/A</v>
      </c>
      <c r="AF622" s="230" t="e">
        <f>T622-HLOOKUP(V622,Minimas!$C$3:$CD$12,6,FALSE)</f>
        <v>#N/A</v>
      </c>
      <c r="AG622" s="230" t="e">
        <f>T622-HLOOKUP(V622,Minimas!$C$3:$CD$12,7,FALSE)</f>
        <v>#N/A</v>
      </c>
      <c r="AH622" s="230" t="e">
        <f>T622-HLOOKUP(V622,Minimas!$C$3:$CD$12,8,FALSE)</f>
        <v>#N/A</v>
      </c>
      <c r="AI622" s="230" t="e">
        <f>T622-HLOOKUP(V622,Minimas!$C$3:$CD$12,9,FALSE)</f>
        <v>#N/A</v>
      </c>
      <c r="AJ622" s="230" t="e">
        <f>T622-HLOOKUP(V622,Minimas!$C$3:$CD$12,10,FALSE)</f>
        <v>#N/A</v>
      </c>
      <c r="AK622" s="231" t="str">
        <f t="shared" si="105"/>
        <v xml:space="preserve"> </v>
      </c>
      <c r="AL622" s="232"/>
      <c r="AM622" s="232" t="str">
        <f t="shared" si="106"/>
        <v xml:space="preserve"> </v>
      </c>
      <c r="AN622" s="232" t="str">
        <f t="shared" si="107"/>
        <v xml:space="preserve"> </v>
      </c>
    </row>
    <row r="623" spans="28:40" x14ac:dyDescent="0.25">
      <c r="AB623" s="230" t="e">
        <f>T623-HLOOKUP(V623,Minimas!$C$3:$CD$12,2,FALSE)</f>
        <v>#N/A</v>
      </c>
      <c r="AC623" s="230" t="e">
        <f>T623-HLOOKUP(V623,Minimas!$C$3:$CD$12,3,FALSE)</f>
        <v>#N/A</v>
      </c>
      <c r="AD623" s="230" t="e">
        <f>T623-HLOOKUP(V623,Minimas!$C$3:$CD$12,4,FALSE)</f>
        <v>#N/A</v>
      </c>
      <c r="AE623" s="230" t="e">
        <f>T623-HLOOKUP(V623,Minimas!$C$3:$CD$12,5,FALSE)</f>
        <v>#N/A</v>
      </c>
      <c r="AF623" s="230" t="e">
        <f>T623-HLOOKUP(V623,Minimas!$C$3:$CD$12,6,FALSE)</f>
        <v>#N/A</v>
      </c>
      <c r="AG623" s="230" t="e">
        <f>T623-HLOOKUP(V623,Minimas!$C$3:$CD$12,7,FALSE)</f>
        <v>#N/A</v>
      </c>
      <c r="AH623" s="230" t="e">
        <f>T623-HLOOKUP(V623,Minimas!$C$3:$CD$12,8,FALSE)</f>
        <v>#N/A</v>
      </c>
      <c r="AI623" s="230" t="e">
        <f>T623-HLOOKUP(V623,Minimas!$C$3:$CD$12,9,FALSE)</f>
        <v>#N/A</v>
      </c>
      <c r="AJ623" s="230" t="e">
        <f>T623-HLOOKUP(V623,Minimas!$C$3:$CD$12,10,FALSE)</f>
        <v>#N/A</v>
      </c>
      <c r="AK623" s="231" t="str">
        <f t="shared" si="105"/>
        <v xml:space="preserve"> </v>
      </c>
      <c r="AL623" s="232"/>
      <c r="AM623" s="232" t="str">
        <f t="shared" si="106"/>
        <v xml:space="preserve"> </v>
      </c>
      <c r="AN623" s="232" t="str">
        <f t="shared" si="107"/>
        <v xml:space="preserve"> </v>
      </c>
    </row>
    <row r="624" spans="28:40" x14ac:dyDescent="0.25">
      <c r="AB624" s="230" t="e">
        <f>T624-HLOOKUP(V624,Minimas!$C$3:$CD$12,2,FALSE)</f>
        <v>#N/A</v>
      </c>
      <c r="AC624" s="230" t="e">
        <f>T624-HLOOKUP(V624,Minimas!$C$3:$CD$12,3,FALSE)</f>
        <v>#N/A</v>
      </c>
      <c r="AD624" s="230" t="e">
        <f>T624-HLOOKUP(V624,Minimas!$C$3:$CD$12,4,FALSE)</f>
        <v>#N/A</v>
      </c>
      <c r="AE624" s="230" t="e">
        <f>T624-HLOOKUP(V624,Minimas!$C$3:$CD$12,5,FALSE)</f>
        <v>#N/A</v>
      </c>
      <c r="AF624" s="230" t="e">
        <f>T624-HLOOKUP(V624,Minimas!$C$3:$CD$12,6,FALSE)</f>
        <v>#N/A</v>
      </c>
      <c r="AG624" s="230" t="e">
        <f>T624-HLOOKUP(V624,Minimas!$C$3:$CD$12,7,FALSE)</f>
        <v>#N/A</v>
      </c>
      <c r="AH624" s="230" t="e">
        <f>T624-HLOOKUP(V624,Minimas!$C$3:$CD$12,8,FALSE)</f>
        <v>#N/A</v>
      </c>
      <c r="AI624" s="230" t="e">
        <f>T624-HLOOKUP(V624,Minimas!$C$3:$CD$12,9,FALSE)</f>
        <v>#N/A</v>
      </c>
      <c r="AJ624" s="230" t="e">
        <f>T624-HLOOKUP(V624,Minimas!$C$3:$CD$12,10,FALSE)</f>
        <v>#N/A</v>
      </c>
      <c r="AK624" s="231" t="str">
        <f t="shared" si="105"/>
        <v xml:space="preserve"> </v>
      </c>
      <c r="AL624" s="232"/>
      <c r="AM624" s="232" t="str">
        <f t="shared" si="106"/>
        <v xml:space="preserve"> </v>
      </c>
      <c r="AN624" s="232" t="str">
        <f t="shared" si="107"/>
        <v xml:space="preserve"> </v>
      </c>
    </row>
    <row r="625" spans="28:40" x14ac:dyDescent="0.25">
      <c r="AB625" s="230" t="e">
        <f>T625-HLOOKUP(V625,Minimas!$C$3:$CD$12,2,FALSE)</f>
        <v>#N/A</v>
      </c>
      <c r="AC625" s="230" t="e">
        <f>T625-HLOOKUP(V625,Minimas!$C$3:$CD$12,3,FALSE)</f>
        <v>#N/A</v>
      </c>
      <c r="AD625" s="230" t="e">
        <f>T625-HLOOKUP(V625,Minimas!$C$3:$CD$12,4,FALSE)</f>
        <v>#N/A</v>
      </c>
      <c r="AE625" s="230" t="e">
        <f>T625-HLOOKUP(V625,Minimas!$C$3:$CD$12,5,FALSE)</f>
        <v>#N/A</v>
      </c>
      <c r="AF625" s="230" t="e">
        <f>T625-HLOOKUP(V625,Minimas!$C$3:$CD$12,6,FALSE)</f>
        <v>#N/A</v>
      </c>
      <c r="AG625" s="230" t="e">
        <f>T625-HLOOKUP(V625,Minimas!$C$3:$CD$12,7,FALSE)</f>
        <v>#N/A</v>
      </c>
      <c r="AH625" s="230" t="e">
        <f>T625-HLOOKUP(V625,Minimas!$C$3:$CD$12,8,FALSE)</f>
        <v>#N/A</v>
      </c>
      <c r="AI625" s="230" t="e">
        <f>T625-HLOOKUP(V625,Minimas!$C$3:$CD$12,9,FALSE)</f>
        <v>#N/A</v>
      </c>
      <c r="AJ625" s="230" t="e">
        <f>T625-HLOOKUP(V625,Minimas!$C$3:$CD$12,10,FALSE)</f>
        <v>#N/A</v>
      </c>
      <c r="AK625" s="231" t="str">
        <f t="shared" si="105"/>
        <v xml:space="preserve"> </v>
      </c>
      <c r="AL625" s="232"/>
      <c r="AM625" s="232" t="str">
        <f t="shared" si="106"/>
        <v xml:space="preserve"> </v>
      </c>
      <c r="AN625" s="232" t="str">
        <f t="shared" si="107"/>
        <v xml:space="preserve"> </v>
      </c>
    </row>
    <row r="626" spans="28:40" x14ac:dyDescent="0.25">
      <c r="AB626" s="230" t="e">
        <f>T626-HLOOKUP(V626,Minimas!$C$3:$CD$12,2,FALSE)</f>
        <v>#N/A</v>
      </c>
      <c r="AC626" s="230" t="e">
        <f>T626-HLOOKUP(V626,Minimas!$C$3:$CD$12,3,FALSE)</f>
        <v>#N/A</v>
      </c>
      <c r="AD626" s="230" t="e">
        <f>T626-HLOOKUP(V626,Minimas!$C$3:$CD$12,4,FALSE)</f>
        <v>#N/A</v>
      </c>
      <c r="AE626" s="230" t="e">
        <f>T626-HLOOKUP(V626,Minimas!$C$3:$CD$12,5,FALSE)</f>
        <v>#N/A</v>
      </c>
      <c r="AF626" s="230" t="e">
        <f>T626-HLOOKUP(V626,Minimas!$C$3:$CD$12,6,FALSE)</f>
        <v>#N/A</v>
      </c>
      <c r="AG626" s="230" t="e">
        <f>T626-HLOOKUP(V626,Minimas!$C$3:$CD$12,7,FALSE)</f>
        <v>#N/A</v>
      </c>
      <c r="AH626" s="230" t="e">
        <f>T626-HLOOKUP(V626,Minimas!$C$3:$CD$12,8,FALSE)</f>
        <v>#N/A</v>
      </c>
      <c r="AI626" s="230" t="e">
        <f>T626-HLOOKUP(V626,Minimas!$C$3:$CD$12,9,FALSE)</f>
        <v>#N/A</v>
      </c>
      <c r="AJ626" s="230" t="e">
        <f>T626-HLOOKUP(V626,Minimas!$C$3:$CD$12,10,FALSE)</f>
        <v>#N/A</v>
      </c>
      <c r="AK626" s="231" t="str">
        <f t="shared" si="105"/>
        <v xml:space="preserve"> </v>
      </c>
      <c r="AL626" s="232"/>
      <c r="AM626" s="232" t="str">
        <f t="shared" si="106"/>
        <v xml:space="preserve"> </v>
      </c>
      <c r="AN626" s="232" t="str">
        <f t="shared" si="107"/>
        <v xml:space="preserve"> </v>
      </c>
    </row>
    <row r="627" spans="28:40" x14ac:dyDescent="0.25">
      <c r="AB627" s="230" t="e">
        <f>T627-HLOOKUP(V627,Minimas!$C$3:$CD$12,2,FALSE)</f>
        <v>#N/A</v>
      </c>
      <c r="AC627" s="230" t="e">
        <f>T627-HLOOKUP(V627,Minimas!$C$3:$CD$12,3,FALSE)</f>
        <v>#N/A</v>
      </c>
      <c r="AD627" s="230" t="e">
        <f>T627-HLOOKUP(V627,Minimas!$C$3:$CD$12,4,FALSE)</f>
        <v>#N/A</v>
      </c>
      <c r="AE627" s="230" t="e">
        <f>T627-HLOOKUP(V627,Minimas!$C$3:$CD$12,5,FALSE)</f>
        <v>#N/A</v>
      </c>
      <c r="AF627" s="230" t="e">
        <f>T627-HLOOKUP(V627,Minimas!$C$3:$CD$12,6,FALSE)</f>
        <v>#N/A</v>
      </c>
      <c r="AG627" s="230" t="e">
        <f>T627-HLOOKUP(V627,Minimas!$C$3:$CD$12,7,FALSE)</f>
        <v>#N/A</v>
      </c>
      <c r="AH627" s="230" t="e">
        <f>T627-HLOOKUP(V627,Minimas!$C$3:$CD$12,8,FALSE)</f>
        <v>#N/A</v>
      </c>
      <c r="AI627" s="230" t="e">
        <f>T627-HLOOKUP(V627,Minimas!$C$3:$CD$12,9,FALSE)</f>
        <v>#N/A</v>
      </c>
      <c r="AJ627" s="230" t="e">
        <f>T627-HLOOKUP(V627,Minimas!$C$3:$CD$12,10,FALSE)</f>
        <v>#N/A</v>
      </c>
      <c r="AK627" s="231" t="str">
        <f t="shared" si="105"/>
        <v xml:space="preserve"> </v>
      </c>
      <c r="AL627" s="232"/>
      <c r="AM627" s="232" t="str">
        <f t="shared" si="106"/>
        <v xml:space="preserve"> </v>
      </c>
      <c r="AN627" s="232" t="str">
        <f t="shared" si="107"/>
        <v xml:space="preserve"> </v>
      </c>
    </row>
    <row r="628" spans="28:40" x14ac:dyDescent="0.25">
      <c r="AB628" s="230" t="e">
        <f>T628-HLOOKUP(V628,Minimas!$C$3:$CD$12,2,FALSE)</f>
        <v>#N/A</v>
      </c>
      <c r="AC628" s="230" t="e">
        <f>T628-HLOOKUP(V628,Minimas!$C$3:$CD$12,3,FALSE)</f>
        <v>#N/A</v>
      </c>
      <c r="AD628" s="230" t="e">
        <f>T628-HLOOKUP(V628,Minimas!$C$3:$CD$12,4,FALSE)</f>
        <v>#N/A</v>
      </c>
      <c r="AE628" s="230" t="e">
        <f>T628-HLOOKUP(V628,Minimas!$C$3:$CD$12,5,FALSE)</f>
        <v>#N/A</v>
      </c>
      <c r="AF628" s="230" t="e">
        <f>T628-HLOOKUP(V628,Minimas!$C$3:$CD$12,6,FALSE)</f>
        <v>#N/A</v>
      </c>
      <c r="AG628" s="230" t="e">
        <f>T628-HLOOKUP(V628,Minimas!$C$3:$CD$12,7,FALSE)</f>
        <v>#N/A</v>
      </c>
      <c r="AH628" s="230" t="e">
        <f>T628-HLOOKUP(V628,Minimas!$C$3:$CD$12,8,FALSE)</f>
        <v>#N/A</v>
      </c>
      <c r="AI628" s="230" t="e">
        <f>T628-HLOOKUP(V628,Minimas!$C$3:$CD$12,9,FALSE)</f>
        <v>#N/A</v>
      </c>
      <c r="AJ628" s="230" t="e">
        <f>T628-HLOOKUP(V628,Minimas!$C$3:$CD$12,10,FALSE)</f>
        <v>#N/A</v>
      </c>
      <c r="AK628" s="231" t="str">
        <f t="shared" si="105"/>
        <v xml:space="preserve"> </v>
      </c>
      <c r="AL628" s="232"/>
      <c r="AM628" s="232" t="str">
        <f t="shared" si="106"/>
        <v xml:space="preserve"> </v>
      </c>
      <c r="AN628" s="232" t="str">
        <f t="shared" si="107"/>
        <v xml:space="preserve"> </v>
      </c>
    </row>
    <row r="629" spans="28:40" x14ac:dyDescent="0.25">
      <c r="AB629" s="230" t="e">
        <f>T629-HLOOKUP(V629,Minimas!$C$3:$CD$12,2,FALSE)</f>
        <v>#N/A</v>
      </c>
      <c r="AC629" s="230" t="e">
        <f>T629-HLOOKUP(V629,Minimas!$C$3:$CD$12,3,FALSE)</f>
        <v>#N/A</v>
      </c>
      <c r="AD629" s="230" t="e">
        <f>T629-HLOOKUP(V629,Minimas!$C$3:$CD$12,4,FALSE)</f>
        <v>#N/A</v>
      </c>
      <c r="AE629" s="230" t="e">
        <f>T629-HLOOKUP(V629,Minimas!$C$3:$CD$12,5,FALSE)</f>
        <v>#N/A</v>
      </c>
      <c r="AF629" s="230" t="e">
        <f>T629-HLOOKUP(V629,Minimas!$C$3:$CD$12,6,FALSE)</f>
        <v>#N/A</v>
      </c>
      <c r="AG629" s="230" t="e">
        <f>T629-HLOOKUP(V629,Minimas!$C$3:$CD$12,7,FALSE)</f>
        <v>#N/A</v>
      </c>
      <c r="AH629" s="230" t="e">
        <f>T629-HLOOKUP(V629,Minimas!$C$3:$CD$12,8,FALSE)</f>
        <v>#N/A</v>
      </c>
      <c r="AI629" s="230" t="e">
        <f>T629-HLOOKUP(V629,Minimas!$C$3:$CD$12,9,FALSE)</f>
        <v>#N/A</v>
      </c>
      <c r="AJ629" s="230" t="e">
        <f>T629-HLOOKUP(V629,Minimas!$C$3:$CD$12,10,FALSE)</f>
        <v>#N/A</v>
      </c>
      <c r="AK629" s="231" t="str">
        <f t="shared" si="105"/>
        <v xml:space="preserve"> </v>
      </c>
      <c r="AL629" s="232"/>
      <c r="AM629" s="232" t="str">
        <f t="shared" si="106"/>
        <v xml:space="preserve"> </v>
      </c>
      <c r="AN629" s="232" t="str">
        <f t="shared" si="107"/>
        <v xml:space="preserve"> </v>
      </c>
    </row>
    <row r="630" spans="28:40" x14ac:dyDescent="0.25">
      <c r="AB630" s="230" t="e">
        <f>T630-HLOOKUP(V630,Minimas!$C$3:$CD$12,2,FALSE)</f>
        <v>#N/A</v>
      </c>
      <c r="AC630" s="230" t="e">
        <f>T630-HLOOKUP(V630,Minimas!$C$3:$CD$12,3,FALSE)</f>
        <v>#N/A</v>
      </c>
      <c r="AD630" s="230" t="e">
        <f>T630-HLOOKUP(V630,Minimas!$C$3:$CD$12,4,FALSE)</f>
        <v>#N/A</v>
      </c>
      <c r="AE630" s="230" t="e">
        <f>T630-HLOOKUP(V630,Minimas!$C$3:$CD$12,5,FALSE)</f>
        <v>#N/A</v>
      </c>
      <c r="AF630" s="230" t="e">
        <f>T630-HLOOKUP(V630,Minimas!$C$3:$CD$12,6,FALSE)</f>
        <v>#N/A</v>
      </c>
      <c r="AG630" s="230" t="e">
        <f>T630-HLOOKUP(V630,Minimas!$C$3:$CD$12,7,FALSE)</f>
        <v>#N/A</v>
      </c>
      <c r="AH630" s="230" t="e">
        <f>T630-HLOOKUP(V630,Minimas!$C$3:$CD$12,8,FALSE)</f>
        <v>#N/A</v>
      </c>
      <c r="AI630" s="230" t="e">
        <f>T630-HLOOKUP(V630,Minimas!$C$3:$CD$12,9,FALSE)</f>
        <v>#N/A</v>
      </c>
      <c r="AJ630" s="230" t="e">
        <f>T630-HLOOKUP(V630,Minimas!$C$3:$CD$12,10,FALSE)</f>
        <v>#N/A</v>
      </c>
      <c r="AK630" s="231" t="str">
        <f t="shared" si="105"/>
        <v xml:space="preserve"> </v>
      </c>
      <c r="AL630" s="232"/>
      <c r="AM630" s="232" t="str">
        <f t="shared" si="106"/>
        <v xml:space="preserve"> </v>
      </c>
      <c r="AN630" s="232" t="str">
        <f t="shared" si="107"/>
        <v xml:space="preserve"> </v>
      </c>
    </row>
    <row r="631" spans="28:40" x14ac:dyDescent="0.25">
      <c r="AB631" s="230" t="e">
        <f>T631-HLOOKUP(V631,Minimas!$C$3:$CD$12,2,FALSE)</f>
        <v>#N/A</v>
      </c>
      <c r="AC631" s="230" t="e">
        <f>T631-HLOOKUP(V631,Minimas!$C$3:$CD$12,3,FALSE)</f>
        <v>#N/A</v>
      </c>
      <c r="AD631" s="230" t="e">
        <f>T631-HLOOKUP(V631,Minimas!$C$3:$CD$12,4,FALSE)</f>
        <v>#N/A</v>
      </c>
      <c r="AE631" s="230" t="e">
        <f>T631-HLOOKUP(V631,Minimas!$C$3:$CD$12,5,FALSE)</f>
        <v>#N/A</v>
      </c>
      <c r="AF631" s="230" t="e">
        <f>T631-HLOOKUP(V631,Minimas!$C$3:$CD$12,6,FALSE)</f>
        <v>#N/A</v>
      </c>
      <c r="AG631" s="230" t="e">
        <f>T631-HLOOKUP(V631,Minimas!$C$3:$CD$12,7,FALSE)</f>
        <v>#N/A</v>
      </c>
      <c r="AH631" s="230" t="e">
        <f>T631-HLOOKUP(V631,Minimas!$C$3:$CD$12,8,FALSE)</f>
        <v>#N/A</v>
      </c>
      <c r="AI631" s="230" t="e">
        <f>T631-HLOOKUP(V631,Minimas!$C$3:$CD$12,9,FALSE)</f>
        <v>#N/A</v>
      </c>
      <c r="AJ631" s="230" t="e">
        <f>T631-HLOOKUP(V631,Minimas!$C$3:$CD$12,10,FALSE)</f>
        <v>#N/A</v>
      </c>
      <c r="AK631" s="231" t="str">
        <f t="shared" si="105"/>
        <v xml:space="preserve"> </v>
      </c>
      <c r="AL631" s="232"/>
      <c r="AM631" s="232" t="str">
        <f t="shared" si="106"/>
        <v xml:space="preserve"> </v>
      </c>
      <c r="AN631" s="232" t="str">
        <f t="shared" si="107"/>
        <v xml:space="preserve"> </v>
      </c>
    </row>
    <row r="632" spans="28:40" x14ac:dyDescent="0.25">
      <c r="AB632" s="230" t="e">
        <f>T632-HLOOKUP(V632,Minimas!$C$3:$CD$12,2,FALSE)</f>
        <v>#N/A</v>
      </c>
      <c r="AC632" s="230" t="e">
        <f>T632-HLOOKUP(V632,Minimas!$C$3:$CD$12,3,FALSE)</f>
        <v>#N/A</v>
      </c>
      <c r="AD632" s="230" t="e">
        <f>T632-HLOOKUP(V632,Minimas!$C$3:$CD$12,4,FALSE)</f>
        <v>#N/A</v>
      </c>
      <c r="AE632" s="230" t="e">
        <f>T632-HLOOKUP(V632,Minimas!$C$3:$CD$12,5,FALSE)</f>
        <v>#N/A</v>
      </c>
      <c r="AF632" s="230" t="e">
        <f>T632-HLOOKUP(V632,Minimas!$C$3:$CD$12,6,FALSE)</f>
        <v>#N/A</v>
      </c>
      <c r="AG632" s="230" t="e">
        <f>T632-HLOOKUP(V632,Minimas!$C$3:$CD$12,7,FALSE)</f>
        <v>#N/A</v>
      </c>
      <c r="AH632" s="230" t="e">
        <f>T632-HLOOKUP(V632,Minimas!$C$3:$CD$12,8,FALSE)</f>
        <v>#N/A</v>
      </c>
      <c r="AI632" s="230" t="e">
        <f>T632-HLOOKUP(V632,Minimas!$C$3:$CD$12,9,FALSE)</f>
        <v>#N/A</v>
      </c>
      <c r="AJ632" s="230" t="e">
        <f>T632-HLOOKUP(V632,Minimas!$C$3:$CD$12,10,FALSE)</f>
        <v>#N/A</v>
      </c>
      <c r="AK632" s="231" t="str">
        <f t="shared" si="105"/>
        <v xml:space="preserve"> </v>
      </c>
      <c r="AL632" s="232"/>
      <c r="AM632" s="232" t="str">
        <f t="shared" si="106"/>
        <v xml:space="preserve"> </v>
      </c>
      <c r="AN632" s="232" t="str">
        <f t="shared" si="107"/>
        <v xml:space="preserve"> </v>
      </c>
    </row>
    <row r="633" spans="28:40" x14ac:dyDescent="0.25">
      <c r="AB633" s="230" t="e">
        <f>T633-HLOOKUP(V633,Minimas!$C$3:$CD$12,2,FALSE)</f>
        <v>#N/A</v>
      </c>
      <c r="AC633" s="230" t="e">
        <f>T633-HLOOKUP(V633,Minimas!$C$3:$CD$12,3,FALSE)</f>
        <v>#N/A</v>
      </c>
      <c r="AD633" s="230" t="e">
        <f>T633-HLOOKUP(V633,Minimas!$C$3:$CD$12,4,FALSE)</f>
        <v>#N/A</v>
      </c>
      <c r="AE633" s="230" t="e">
        <f>T633-HLOOKUP(V633,Minimas!$C$3:$CD$12,5,FALSE)</f>
        <v>#N/A</v>
      </c>
      <c r="AF633" s="230" t="e">
        <f>T633-HLOOKUP(V633,Minimas!$C$3:$CD$12,6,FALSE)</f>
        <v>#N/A</v>
      </c>
      <c r="AG633" s="230" t="e">
        <f>T633-HLOOKUP(V633,Minimas!$C$3:$CD$12,7,FALSE)</f>
        <v>#N/A</v>
      </c>
      <c r="AH633" s="230" t="e">
        <f>T633-HLOOKUP(V633,Minimas!$C$3:$CD$12,8,FALSE)</f>
        <v>#N/A</v>
      </c>
      <c r="AI633" s="230" t="e">
        <f>T633-HLOOKUP(V633,Minimas!$C$3:$CD$12,9,FALSE)</f>
        <v>#N/A</v>
      </c>
      <c r="AJ633" s="230" t="e">
        <f>T633-HLOOKUP(V633,Minimas!$C$3:$CD$12,10,FALSE)</f>
        <v>#N/A</v>
      </c>
      <c r="AK633" s="231" t="str">
        <f t="shared" si="105"/>
        <v xml:space="preserve"> </v>
      </c>
      <c r="AL633" s="232"/>
      <c r="AM633" s="232" t="str">
        <f t="shared" si="106"/>
        <v xml:space="preserve"> </v>
      </c>
      <c r="AN633" s="232" t="str">
        <f t="shared" si="107"/>
        <v xml:space="preserve"> </v>
      </c>
    </row>
    <row r="634" spans="28:40" x14ac:dyDescent="0.25">
      <c r="AB634" s="230" t="e">
        <f>T634-HLOOKUP(V634,Minimas!$C$3:$CD$12,2,FALSE)</f>
        <v>#N/A</v>
      </c>
      <c r="AC634" s="230" t="e">
        <f>T634-HLOOKUP(V634,Minimas!$C$3:$CD$12,3,FALSE)</f>
        <v>#N/A</v>
      </c>
      <c r="AD634" s="230" t="e">
        <f>T634-HLOOKUP(V634,Minimas!$C$3:$CD$12,4,FALSE)</f>
        <v>#N/A</v>
      </c>
      <c r="AE634" s="230" t="e">
        <f>T634-HLOOKUP(V634,Minimas!$C$3:$CD$12,5,FALSE)</f>
        <v>#N/A</v>
      </c>
      <c r="AF634" s="230" t="e">
        <f>T634-HLOOKUP(V634,Minimas!$C$3:$CD$12,6,FALSE)</f>
        <v>#N/A</v>
      </c>
      <c r="AG634" s="230" t="e">
        <f>T634-HLOOKUP(V634,Minimas!$C$3:$CD$12,7,FALSE)</f>
        <v>#N/A</v>
      </c>
      <c r="AH634" s="230" t="e">
        <f>T634-HLOOKUP(V634,Minimas!$C$3:$CD$12,8,FALSE)</f>
        <v>#N/A</v>
      </c>
      <c r="AI634" s="230" t="e">
        <f>T634-HLOOKUP(V634,Minimas!$C$3:$CD$12,9,FALSE)</f>
        <v>#N/A</v>
      </c>
      <c r="AJ634" s="230" t="e">
        <f>T634-HLOOKUP(V634,Minimas!$C$3:$CD$12,10,FALSE)</f>
        <v>#N/A</v>
      </c>
      <c r="AK634" s="231" t="str">
        <f t="shared" si="105"/>
        <v xml:space="preserve"> </v>
      </c>
      <c r="AL634" s="232"/>
      <c r="AM634" s="232" t="str">
        <f t="shared" si="106"/>
        <v xml:space="preserve"> </v>
      </c>
      <c r="AN634" s="232" t="str">
        <f t="shared" si="107"/>
        <v xml:space="preserve"> </v>
      </c>
    </row>
    <row r="635" spans="28:40" x14ac:dyDescent="0.25">
      <c r="AB635" s="230" t="e">
        <f>T635-HLOOKUP(V635,Minimas!$C$3:$CD$12,2,FALSE)</f>
        <v>#N/A</v>
      </c>
      <c r="AC635" s="230" t="e">
        <f>T635-HLOOKUP(V635,Minimas!$C$3:$CD$12,3,FALSE)</f>
        <v>#N/A</v>
      </c>
      <c r="AD635" s="230" t="e">
        <f>T635-HLOOKUP(V635,Minimas!$C$3:$CD$12,4,FALSE)</f>
        <v>#N/A</v>
      </c>
      <c r="AE635" s="230" t="e">
        <f>T635-HLOOKUP(V635,Minimas!$C$3:$CD$12,5,FALSE)</f>
        <v>#N/A</v>
      </c>
      <c r="AF635" s="230" t="e">
        <f>T635-HLOOKUP(V635,Minimas!$C$3:$CD$12,6,FALSE)</f>
        <v>#N/A</v>
      </c>
      <c r="AG635" s="230" t="e">
        <f>T635-HLOOKUP(V635,Minimas!$C$3:$CD$12,7,FALSE)</f>
        <v>#N/A</v>
      </c>
      <c r="AH635" s="230" t="e">
        <f>T635-HLOOKUP(V635,Minimas!$C$3:$CD$12,8,FALSE)</f>
        <v>#N/A</v>
      </c>
      <c r="AI635" s="230" t="e">
        <f>T635-HLOOKUP(V635,Minimas!$C$3:$CD$12,9,FALSE)</f>
        <v>#N/A</v>
      </c>
      <c r="AJ635" s="230" t="e">
        <f>T635-HLOOKUP(V635,Minimas!$C$3:$CD$12,10,FALSE)</f>
        <v>#N/A</v>
      </c>
      <c r="AK635" s="231" t="str">
        <f t="shared" si="105"/>
        <v xml:space="preserve"> </v>
      </c>
      <c r="AL635" s="232"/>
      <c r="AM635" s="232" t="str">
        <f t="shared" si="106"/>
        <v xml:space="preserve"> </v>
      </c>
      <c r="AN635" s="232" t="str">
        <f t="shared" si="107"/>
        <v xml:space="preserve"> </v>
      </c>
    </row>
    <row r="636" spans="28:40" x14ac:dyDescent="0.25">
      <c r="AB636" s="230" t="e">
        <f>T636-HLOOKUP(V636,Minimas!$C$3:$CD$12,2,FALSE)</f>
        <v>#N/A</v>
      </c>
      <c r="AC636" s="230" t="e">
        <f>T636-HLOOKUP(V636,Minimas!$C$3:$CD$12,3,FALSE)</f>
        <v>#N/A</v>
      </c>
      <c r="AD636" s="230" t="e">
        <f>T636-HLOOKUP(V636,Minimas!$C$3:$CD$12,4,FALSE)</f>
        <v>#N/A</v>
      </c>
      <c r="AE636" s="230" t="e">
        <f>T636-HLOOKUP(V636,Minimas!$C$3:$CD$12,5,FALSE)</f>
        <v>#N/A</v>
      </c>
      <c r="AF636" s="230" t="e">
        <f>T636-HLOOKUP(V636,Minimas!$C$3:$CD$12,6,FALSE)</f>
        <v>#N/A</v>
      </c>
      <c r="AG636" s="230" t="e">
        <f>T636-HLOOKUP(V636,Minimas!$C$3:$CD$12,7,FALSE)</f>
        <v>#N/A</v>
      </c>
      <c r="AH636" s="230" t="e">
        <f>T636-HLOOKUP(V636,Minimas!$C$3:$CD$12,8,FALSE)</f>
        <v>#N/A</v>
      </c>
      <c r="AI636" s="230" t="e">
        <f>T636-HLOOKUP(V636,Minimas!$C$3:$CD$12,9,FALSE)</f>
        <v>#N/A</v>
      </c>
      <c r="AJ636" s="230" t="e">
        <f>T636-HLOOKUP(V636,Minimas!$C$3:$CD$12,10,FALSE)</f>
        <v>#N/A</v>
      </c>
      <c r="AK636" s="231" t="str">
        <f t="shared" si="105"/>
        <v xml:space="preserve"> </v>
      </c>
      <c r="AL636" s="232"/>
      <c r="AM636" s="232" t="str">
        <f t="shared" si="106"/>
        <v xml:space="preserve"> </v>
      </c>
      <c r="AN636" s="232" t="str">
        <f t="shared" si="107"/>
        <v xml:space="preserve"> </v>
      </c>
    </row>
    <row r="637" spans="28:40" x14ac:dyDescent="0.25">
      <c r="AB637" s="230" t="e">
        <f>T637-HLOOKUP(V637,Minimas!$C$3:$CD$12,2,FALSE)</f>
        <v>#N/A</v>
      </c>
      <c r="AC637" s="230" t="e">
        <f>T637-HLOOKUP(V637,Minimas!$C$3:$CD$12,3,FALSE)</f>
        <v>#N/A</v>
      </c>
      <c r="AD637" s="230" t="e">
        <f>T637-HLOOKUP(V637,Minimas!$C$3:$CD$12,4,FALSE)</f>
        <v>#N/A</v>
      </c>
      <c r="AE637" s="230" t="e">
        <f>T637-HLOOKUP(V637,Minimas!$C$3:$CD$12,5,FALSE)</f>
        <v>#N/A</v>
      </c>
      <c r="AF637" s="230" t="e">
        <f>T637-HLOOKUP(V637,Minimas!$C$3:$CD$12,6,FALSE)</f>
        <v>#N/A</v>
      </c>
      <c r="AG637" s="230" t="e">
        <f>T637-HLOOKUP(V637,Minimas!$C$3:$CD$12,7,FALSE)</f>
        <v>#N/A</v>
      </c>
      <c r="AH637" s="230" t="e">
        <f>T637-HLOOKUP(V637,Minimas!$C$3:$CD$12,8,FALSE)</f>
        <v>#N/A</v>
      </c>
      <c r="AI637" s="230" t="e">
        <f>T637-HLOOKUP(V637,Minimas!$C$3:$CD$12,9,FALSE)</f>
        <v>#N/A</v>
      </c>
      <c r="AJ637" s="230" t="e">
        <f>T637-HLOOKUP(V637,Minimas!$C$3:$CD$12,10,FALSE)</f>
        <v>#N/A</v>
      </c>
      <c r="AK637" s="231" t="str">
        <f t="shared" si="105"/>
        <v xml:space="preserve"> </v>
      </c>
      <c r="AL637" s="232"/>
      <c r="AM637" s="232" t="str">
        <f t="shared" si="106"/>
        <v xml:space="preserve"> </v>
      </c>
      <c r="AN637" s="232" t="str">
        <f t="shared" si="107"/>
        <v xml:space="preserve"> </v>
      </c>
    </row>
    <row r="638" spans="28:40" x14ac:dyDescent="0.25">
      <c r="AB638" s="230" t="e">
        <f>T638-HLOOKUP(V638,Minimas!$C$3:$CD$12,2,FALSE)</f>
        <v>#N/A</v>
      </c>
      <c r="AC638" s="230" t="e">
        <f>T638-HLOOKUP(V638,Minimas!$C$3:$CD$12,3,FALSE)</f>
        <v>#N/A</v>
      </c>
      <c r="AD638" s="230" t="e">
        <f>T638-HLOOKUP(V638,Minimas!$C$3:$CD$12,4,FALSE)</f>
        <v>#N/A</v>
      </c>
      <c r="AE638" s="230" t="e">
        <f>T638-HLOOKUP(V638,Minimas!$C$3:$CD$12,5,FALSE)</f>
        <v>#N/A</v>
      </c>
      <c r="AF638" s="230" t="e">
        <f>T638-HLOOKUP(V638,Minimas!$C$3:$CD$12,6,FALSE)</f>
        <v>#N/A</v>
      </c>
      <c r="AG638" s="230" t="e">
        <f>T638-HLOOKUP(V638,Minimas!$C$3:$CD$12,7,FALSE)</f>
        <v>#N/A</v>
      </c>
      <c r="AH638" s="230" t="e">
        <f>T638-HLOOKUP(V638,Minimas!$C$3:$CD$12,8,FALSE)</f>
        <v>#N/A</v>
      </c>
      <c r="AI638" s="230" t="e">
        <f>T638-HLOOKUP(V638,Minimas!$C$3:$CD$12,9,FALSE)</f>
        <v>#N/A</v>
      </c>
      <c r="AJ638" s="230" t="e">
        <f>T638-HLOOKUP(V638,Minimas!$C$3:$CD$12,10,FALSE)</f>
        <v>#N/A</v>
      </c>
      <c r="AK638" s="231" t="str">
        <f t="shared" si="105"/>
        <v xml:space="preserve"> </v>
      </c>
      <c r="AL638" s="232"/>
      <c r="AM638" s="232" t="str">
        <f t="shared" si="106"/>
        <v xml:space="preserve"> </v>
      </c>
      <c r="AN638" s="232" t="str">
        <f t="shared" si="107"/>
        <v xml:space="preserve"> </v>
      </c>
    </row>
    <row r="639" spans="28:40" x14ac:dyDescent="0.25">
      <c r="AB639" s="230" t="e">
        <f>T639-HLOOKUP(V639,Minimas!$C$3:$CD$12,2,FALSE)</f>
        <v>#N/A</v>
      </c>
      <c r="AC639" s="230" t="e">
        <f>T639-HLOOKUP(V639,Minimas!$C$3:$CD$12,3,FALSE)</f>
        <v>#N/A</v>
      </c>
      <c r="AD639" s="230" t="e">
        <f>T639-HLOOKUP(V639,Minimas!$C$3:$CD$12,4,FALSE)</f>
        <v>#N/A</v>
      </c>
      <c r="AE639" s="230" t="e">
        <f>T639-HLOOKUP(V639,Minimas!$C$3:$CD$12,5,FALSE)</f>
        <v>#N/A</v>
      </c>
      <c r="AF639" s="230" t="e">
        <f>T639-HLOOKUP(V639,Minimas!$C$3:$CD$12,6,FALSE)</f>
        <v>#N/A</v>
      </c>
      <c r="AG639" s="230" t="e">
        <f>T639-HLOOKUP(V639,Minimas!$C$3:$CD$12,7,FALSE)</f>
        <v>#N/A</v>
      </c>
      <c r="AH639" s="230" t="e">
        <f>T639-HLOOKUP(V639,Minimas!$C$3:$CD$12,8,FALSE)</f>
        <v>#N/A</v>
      </c>
      <c r="AI639" s="230" t="e">
        <f>T639-HLOOKUP(V639,Minimas!$C$3:$CD$12,9,FALSE)</f>
        <v>#N/A</v>
      </c>
      <c r="AJ639" s="230" t="e">
        <f>T639-HLOOKUP(V639,Minimas!$C$3:$CD$12,10,FALSE)</f>
        <v>#N/A</v>
      </c>
      <c r="AK639" s="231" t="str">
        <f t="shared" si="105"/>
        <v xml:space="preserve"> </v>
      </c>
      <c r="AL639" s="232"/>
      <c r="AM639" s="232" t="str">
        <f t="shared" si="106"/>
        <v xml:space="preserve"> </v>
      </c>
      <c r="AN639" s="232" t="str">
        <f t="shared" si="107"/>
        <v xml:space="preserve"> </v>
      </c>
    </row>
    <row r="640" spans="28:40" x14ac:dyDescent="0.25">
      <c r="AB640" s="230" t="e">
        <f>T640-HLOOKUP(V640,Minimas!$C$3:$CD$12,2,FALSE)</f>
        <v>#N/A</v>
      </c>
      <c r="AC640" s="230" t="e">
        <f>T640-HLOOKUP(V640,Minimas!$C$3:$CD$12,3,FALSE)</f>
        <v>#N/A</v>
      </c>
      <c r="AD640" s="230" t="e">
        <f>T640-HLOOKUP(V640,Minimas!$C$3:$CD$12,4,FALSE)</f>
        <v>#N/A</v>
      </c>
      <c r="AE640" s="230" t="e">
        <f>T640-HLOOKUP(V640,Minimas!$C$3:$CD$12,5,FALSE)</f>
        <v>#N/A</v>
      </c>
      <c r="AF640" s="230" t="e">
        <f>T640-HLOOKUP(V640,Minimas!$C$3:$CD$12,6,FALSE)</f>
        <v>#N/A</v>
      </c>
      <c r="AG640" s="230" t="e">
        <f>T640-HLOOKUP(V640,Minimas!$C$3:$CD$12,7,FALSE)</f>
        <v>#N/A</v>
      </c>
      <c r="AH640" s="230" t="e">
        <f>T640-HLOOKUP(V640,Minimas!$C$3:$CD$12,8,FALSE)</f>
        <v>#N/A</v>
      </c>
      <c r="AI640" s="230" t="e">
        <f>T640-HLOOKUP(V640,Minimas!$C$3:$CD$12,9,FALSE)</f>
        <v>#N/A</v>
      </c>
      <c r="AJ640" s="230" t="e">
        <f>T640-HLOOKUP(V640,Minimas!$C$3:$CD$12,10,FALSE)</f>
        <v>#N/A</v>
      </c>
      <c r="AK640" s="231" t="str">
        <f t="shared" si="105"/>
        <v xml:space="preserve"> </v>
      </c>
      <c r="AL640" s="232"/>
      <c r="AM640" s="232" t="str">
        <f t="shared" si="106"/>
        <v xml:space="preserve"> </v>
      </c>
      <c r="AN640" s="232" t="str">
        <f t="shared" si="107"/>
        <v xml:space="preserve"> </v>
      </c>
    </row>
    <row r="641" spans="28:40" x14ac:dyDescent="0.25">
      <c r="AB641" s="230" t="e">
        <f>T641-HLOOKUP(V641,Minimas!$C$3:$CD$12,2,FALSE)</f>
        <v>#N/A</v>
      </c>
      <c r="AC641" s="230" t="e">
        <f>T641-HLOOKUP(V641,Minimas!$C$3:$CD$12,3,FALSE)</f>
        <v>#N/A</v>
      </c>
      <c r="AD641" s="230" t="e">
        <f>T641-HLOOKUP(V641,Minimas!$C$3:$CD$12,4,FALSE)</f>
        <v>#N/A</v>
      </c>
      <c r="AE641" s="230" t="e">
        <f>T641-HLOOKUP(V641,Minimas!$C$3:$CD$12,5,FALSE)</f>
        <v>#N/A</v>
      </c>
      <c r="AF641" s="230" t="e">
        <f>T641-HLOOKUP(V641,Minimas!$C$3:$CD$12,6,FALSE)</f>
        <v>#N/A</v>
      </c>
      <c r="AG641" s="230" t="e">
        <f>T641-HLOOKUP(V641,Minimas!$C$3:$CD$12,7,FALSE)</f>
        <v>#N/A</v>
      </c>
      <c r="AH641" s="230" t="e">
        <f>T641-HLOOKUP(V641,Minimas!$C$3:$CD$12,8,FALSE)</f>
        <v>#N/A</v>
      </c>
      <c r="AI641" s="230" t="e">
        <f>T641-HLOOKUP(V641,Minimas!$C$3:$CD$12,9,FALSE)</f>
        <v>#N/A</v>
      </c>
      <c r="AJ641" s="230" t="e">
        <f>T641-HLOOKUP(V641,Minimas!$C$3:$CD$12,10,FALSE)</f>
        <v>#N/A</v>
      </c>
      <c r="AK641" s="231" t="str">
        <f t="shared" si="105"/>
        <v xml:space="preserve"> </v>
      </c>
      <c r="AL641" s="232"/>
      <c r="AM641" s="232" t="str">
        <f t="shared" si="106"/>
        <v xml:space="preserve"> </v>
      </c>
      <c r="AN641" s="232" t="str">
        <f t="shared" si="107"/>
        <v xml:space="preserve"> </v>
      </c>
    </row>
    <row r="642" spans="28:40" x14ac:dyDescent="0.25">
      <c r="AB642" s="230" t="e">
        <f>T642-HLOOKUP(V642,Minimas!$C$3:$CD$12,2,FALSE)</f>
        <v>#N/A</v>
      </c>
      <c r="AC642" s="230" t="e">
        <f>T642-HLOOKUP(V642,Minimas!$C$3:$CD$12,3,FALSE)</f>
        <v>#N/A</v>
      </c>
      <c r="AD642" s="230" t="e">
        <f>T642-HLOOKUP(V642,Minimas!$C$3:$CD$12,4,FALSE)</f>
        <v>#N/A</v>
      </c>
      <c r="AE642" s="230" t="e">
        <f>T642-HLOOKUP(V642,Minimas!$C$3:$CD$12,5,FALSE)</f>
        <v>#N/A</v>
      </c>
      <c r="AF642" s="230" t="e">
        <f>T642-HLOOKUP(V642,Minimas!$C$3:$CD$12,6,FALSE)</f>
        <v>#N/A</v>
      </c>
      <c r="AG642" s="230" t="e">
        <f>T642-HLOOKUP(V642,Minimas!$C$3:$CD$12,7,FALSE)</f>
        <v>#N/A</v>
      </c>
      <c r="AH642" s="230" t="e">
        <f>T642-HLOOKUP(V642,Minimas!$C$3:$CD$12,8,FALSE)</f>
        <v>#N/A</v>
      </c>
      <c r="AI642" s="230" t="e">
        <f>T642-HLOOKUP(V642,Minimas!$C$3:$CD$12,9,FALSE)</f>
        <v>#N/A</v>
      </c>
      <c r="AJ642" s="230" t="e">
        <f>T642-HLOOKUP(V642,Minimas!$C$3:$CD$12,10,FALSE)</f>
        <v>#N/A</v>
      </c>
      <c r="AK642" s="231" t="str">
        <f t="shared" si="105"/>
        <v xml:space="preserve"> </v>
      </c>
      <c r="AL642" s="232"/>
      <c r="AM642" s="232" t="str">
        <f t="shared" si="106"/>
        <v xml:space="preserve"> </v>
      </c>
      <c r="AN642" s="232" t="str">
        <f t="shared" si="107"/>
        <v xml:space="preserve"> </v>
      </c>
    </row>
    <row r="643" spans="28:40" x14ac:dyDescent="0.25">
      <c r="AB643" s="230" t="e">
        <f>T643-HLOOKUP(V643,Minimas!$C$3:$CD$12,2,FALSE)</f>
        <v>#N/A</v>
      </c>
      <c r="AC643" s="230" t="e">
        <f>T643-HLOOKUP(V643,Minimas!$C$3:$CD$12,3,FALSE)</f>
        <v>#N/A</v>
      </c>
      <c r="AD643" s="230" t="e">
        <f>T643-HLOOKUP(V643,Minimas!$C$3:$CD$12,4,FALSE)</f>
        <v>#N/A</v>
      </c>
      <c r="AE643" s="230" t="e">
        <f>T643-HLOOKUP(V643,Minimas!$C$3:$CD$12,5,FALSE)</f>
        <v>#N/A</v>
      </c>
      <c r="AF643" s="230" t="e">
        <f>T643-HLOOKUP(V643,Minimas!$C$3:$CD$12,6,FALSE)</f>
        <v>#N/A</v>
      </c>
      <c r="AG643" s="230" t="e">
        <f>T643-HLOOKUP(V643,Minimas!$C$3:$CD$12,7,FALSE)</f>
        <v>#N/A</v>
      </c>
      <c r="AH643" s="230" t="e">
        <f>T643-HLOOKUP(V643,Minimas!$C$3:$CD$12,8,FALSE)</f>
        <v>#N/A</v>
      </c>
      <c r="AI643" s="230" t="e">
        <f>T643-HLOOKUP(V643,Minimas!$C$3:$CD$12,9,FALSE)</f>
        <v>#N/A</v>
      </c>
      <c r="AJ643" s="230" t="e">
        <f>T643-HLOOKUP(V643,Minimas!$C$3:$CD$12,10,FALSE)</f>
        <v>#N/A</v>
      </c>
      <c r="AK643" s="231" t="str">
        <f t="shared" si="105"/>
        <v xml:space="preserve"> </v>
      </c>
      <c r="AL643" s="232"/>
      <c r="AM643" s="232" t="str">
        <f t="shared" si="106"/>
        <v xml:space="preserve"> </v>
      </c>
      <c r="AN643" s="232" t="str">
        <f t="shared" si="107"/>
        <v xml:space="preserve"> </v>
      </c>
    </row>
    <row r="644" spans="28:40" x14ac:dyDescent="0.25">
      <c r="AB644" s="230" t="e">
        <f>T644-HLOOKUP(V644,Minimas!$C$3:$CD$12,2,FALSE)</f>
        <v>#N/A</v>
      </c>
      <c r="AC644" s="230" t="e">
        <f>T644-HLOOKUP(V644,Minimas!$C$3:$CD$12,3,FALSE)</f>
        <v>#N/A</v>
      </c>
      <c r="AD644" s="230" t="e">
        <f>T644-HLOOKUP(V644,Minimas!$C$3:$CD$12,4,FALSE)</f>
        <v>#N/A</v>
      </c>
      <c r="AE644" s="230" t="e">
        <f>T644-HLOOKUP(V644,Minimas!$C$3:$CD$12,5,FALSE)</f>
        <v>#N/A</v>
      </c>
      <c r="AF644" s="230" t="e">
        <f>T644-HLOOKUP(V644,Minimas!$C$3:$CD$12,6,FALSE)</f>
        <v>#N/A</v>
      </c>
      <c r="AG644" s="230" t="e">
        <f>T644-HLOOKUP(V644,Minimas!$C$3:$CD$12,7,FALSE)</f>
        <v>#N/A</v>
      </c>
      <c r="AH644" s="230" t="e">
        <f>T644-HLOOKUP(V644,Minimas!$C$3:$CD$12,8,FALSE)</f>
        <v>#N/A</v>
      </c>
      <c r="AI644" s="230" t="e">
        <f>T644-HLOOKUP(V644,Minimas!$C$3:$CD$12,9,FALSE)</f>
        <v>#N/A</v>
      </c>
      <c r="AJ644" s="230" t="e">
        <f>T644-HLOOKUP(V644,Minimas!$C$3:$CD$12,10,FALSE)</f>
        <v>#N/A</v>
      </c>
      <c r="AK644" s="231" t="str">
        <f t="shared" ref="AK644:AK707" si="108">IF(E644=0," ",IF(AJ644&gt;=0,$AJ$5,IF(AI644&gt;=0,$AI$5,IF(AH644&gt;=0,$AH$5,IF(AG644&gt;=0,$AG$5,IF(AF644&gt;=0,$AF$5,IF(AE644&gt;=0,$AE$5,IF(AD644&gt;=0,$AD$5,IF(AC644&gt;=0,$AC$5,$AB$5)))))))))</f>
        <v xml:space="preserve"> </v>
      </c>
      <c r="AL644" s="232"/>
      <c r="AM644" s="232" t="str">
        <f t="shared" ref="AM644:AM707" si="109">IF(AK644="","",AK644)</f>
        <v xml:space="preserve"> </v>
      </c>
      <c r="AN644" s="232" t="str">
        <f t="shared" ref="AN644:AN707" si="110">IF(E644=0," ",IF(AJ644&gt;=0,AJ644,IF(AI644&gt;=0,AI644,IF(AH644&gt;=0,AH644,IF(AG644&gt;=0,AG644,IF(AF644&gt;=0,AF644,IF(AE644&gt;=0,AE644,IF(AD644&gt;=0,AD644,IF(AC644&gt;=0,AC644,AB644)))))))))</f>
        <v xml:space="preserve"> </v>
      </c>
    </row>
    <row r="645" spans="28:40" x14ac:dyDescent="0.25">
      <c r="AB645" s="230" t="e">
        <f>T645-HLOOKUP(V645,Minimas!$C$3:$CD$12,2,FALSE)</f>
        <v>#N/A</v>
      </c>
      <c r="AC645" s="230" t="e">
        <f>T645-HLOOKUP(V645,Minimas!$C$3:$CD$12,3,FALSE)</f>
        <v>#N/A</v>
      </c>
      <c r="AD645" s="230" t="e">
        <f>T645-HLOOKUP(V645,Minimas!$C$3:$CD$12,4,FALSE)</f>
        <v>#N/A</v>
      </c>
      <c r="AE645" s="230" t="e">
        <f>T645-HLOOKUP(V645,Minimas!$C$3:$CD$12,5,FALSE)</f>
        <v>#N/A</v>
      </c>
      <c r="AF645" s="230" t="e">
        <f>T645-HLOOKUP(V645,Minimas!$C$3:$CD$12,6,FALSE)</f>
        <v>#N/A</v>
      </c>
      <c r="AG645" s="230" t="e">
        <f>T645-HLOOKUP(V645,Minimas!$C$3:$CD$12,7,FALSE)</f>
        <v>#N/A</v>
      </c>
      <c r="AH645" s="230" t="e">
        <f>T645-HLOOKUP(V645,Minimas!$C$3:$CD$12,8,FALSE)</f>
        <v>#N/A</v>
      </c>
      <c r="AI645" s="230" t="e">
        <f>T645-HLOOKUP(V645,Minimas!$C$3:$CD$12,9,FALSE)</f>
        <v>#N/A</v>
      </c>
      <c r="AJ645" s="230" t="e">
        <f>T645-HLOOKUP(V645,Minimas!$C$3:$CD$12,10,FALSE)</f>
        <v>#N/A</v>
      </c>
      <c r="AK645" s="231" t="str">
        <f t="shared" si="108"/>
        <v xml:space="preserve"> </v>
      </c>
      <c r="AL645" s="232"/>
      <c r="AM645" s="232" t="str">
        <f t="shared" si="109"/>
        <v xml:space="preserve"> </v>
      </c>
      <c r="AN645" s="232" t="str">
        <f t="shared" si="110"/>
        <v xml:space="preserve"> </v>
      </c>
    </row>
    <row r="646" spans="28:40" x14ac:dyDescent="0.25">
      <c r="AB646" s="230" t="e">
        <f>T646-HLOOKUP(V646,Minimas!$C$3:$CD$12,2,FALSE)</f>
        <v>#N/A</v>
      </c>
      <c r="AC646" s="230" t="e">
        <f>T646-HLOOKUP(V646,Minimas!$C$3:$CD$12,3,FALSE)</f>
        <v>#N/A</v>
      </c>
      <c r="AD646" s="230" t="e">
        <f>T646-HLOOKUP(V646,Minimas!$C$3:$CD$12,4,FALSE)</f>
        <v>#N/A</v>
      </c>
      <c r="AE646" s="230" t="e">
        <f>T646-HLOOKUP(V646,Minimas!$C$3:$CD$12,5,FALSE)</f>
        <v>#N/A</v>
      </c>
      <c r="AF646" s="230" t="e">
        <f>T646-HLOOKUP(V646,Minimas!$C$3:$CD$12,6,FALSE)</f>
        <v>#N/A</v>
      </c>
      <c r="AG646" s="230" t="e">
        <f>T646-HLOOKUP(V646,Minimas!$C$3:$CD$12,7,FALSE)</f>
        <v>#N/A</v>
      </c>
      <c r="AH646" s="230" t="e">
        <f>T646-HLOOKUP(V646,Minimas!$C$3:$CD$12,8,FALSE)</f>
        <v>#N/A</v>
      </c>
      <c r="AI646" s="230" t="e">
        <f>T646-HLOOKUP(V646,Minimas!$C$3:$CD$12,9,FALSE)</f>
        <v>#N/A</v>
      </c>
      <c r="AJ646" s="230" t="e">
        <f>T646-HLOOKUP(V646,Minimas!$C$3:$CD$12,10,FALSE)</f>
        <v>#N/A</v>
      </c>
      <c r="AK646" s="231" t="str">
        <f t="shared" si="108"/>
        <v xml:space="preserve"> </v>
      </c>
      <c r="AL646" s="232"/>
      <c r="AM646" s="232" t="str">
        <f t="shared" si="109"/>
        <v xml:space="preserve"> </v>
      </c>
      <c r="AN646" s="232" t="str">
        <f t="shared" si="110"/>
        <v xml:space="preserve"> </v>
      </c>
    </row>
    <row r="647" spans="28:40" x14ac:dyDescent="0.25">
      <c r="AB647" s="230" t="e">
        <f>T647-HLOOKUP(V647,Minimas!$C$3:$CD$12,2,FALSE)</f>
        <v>#N/A</v>
      </c>
      <c r="AC647" s="230" t="e">
        <f>T647-HLOOKUP(V647,Minimas!$C$3:$CD$12,3,FALSE)</f>
        <v>#N/A</v>
      </c>
      <c r="AD647" s="230" t="e">
        <f>T647-HLOOKUP(V647,Minimas!$C$3:$CD$12,4,FALSE)</f>
        <v>#N/A</v>
      </c>
      <c r="AE647" s="230" t="e">
        <f>T647-HLOOKUP(V647,Minimas!$C$3:$CD$12,5,FALSE)</f>
        <v>#N/A</v>
      </c>
      <c r="AF647" s="230" t="e">
        <f>T647-HLOOKUP(V647,Minimas!$C$3:$CD$12,6,FALSE)</f>
        <v>#N/A</v>
      </c>
      <c r="AG647" s="230" t="e">
        <f>T647-HLOOKUP(V647,Minimas!$C$3:$CD$12,7,FALSE)</f>
        <v>#N/A</v>
      </c>
      <c r="AH647" s="230" t="e">
        <f>T647-HLOOKUP(V647,Minimas!$C$3:$CD$12,8,FALSE)</f>
        <v>#N/A</v>
      </c>
      <c r="AI647" s="230" t="e">
        <f>T647-HLOOKUP(V647,Minimas!$C$3:$CD$12,9,FALSE)</f>
        <v>#N/A</v>
      </c>
      <c r="AJ647" s="230" t="e">
        <f>T647-HLOOKUP(V647,Minimas!$C$3:$CD$12,10,FALSE)</f>
        <v>#N/A</v>
      </c>
      <c r="AK647" s="231" t="str">
        <f t="shared" si="108"/>
        <v xml:space="preserve"> </v>
      </c>
      <c r="AL647" s="232"/>
      <c r="AM647" s="232" t="str">
        <f t="shared" si="109"/>
        <v xml:space="preserve"> </v>
      </c>
      <c r="AN647" s="232" t="str">
        <f t="shared" si="110"/>
        <v xml:space="preserve"> </v>
      </c>
    </row>
    <row r="648" spans="28:40" x14ac:dyDescent="0.25">
      <c r="AB648" s="230" t="e">
        <f>T648-HLOOKUP(V648,Minimas!$C$3:$CD$12,2,FALSE)</f>
        <v>#N/A</v>
      </c>
      <c r="AC648" s="230" t="e">
        <f>T648-HLOOKUP(V648,Minimas!$C$3:$CD$12,3,FALSE)</f>
        <v>#N/A</v>
      </c>
      <c r="AD648" s="230" t="e">
        <f>T648-HLOOKUP(V648,Minimas!$C$3:$CD$12,4,FALSE)</f>
        <v>#N/A</v>
      </c>
      <c r="AE648" s="230" t="e">
        <f>T648-HLOOKUP(V648,Minimas!$C$3:$CD$12,5,FALSE)</f>
        <v>#N/A</v>
      </c>
      <c r="AF648" s="230" t="e">
        <f>T648-HLOOKUP(V648,Minimas!$C$3:$CD$12,6,FALSE)</f>
        <v>#N/A</v>
      </c>
      <c r="AG648" s="230" t="e">
        <f>T648-HLOOKUP(V648,Minimas!$C$3:$CD$12,7,FALSE)</f>
        <v>#N/A</v>
      </c>
      <c r="AH648" s="230" t="e">
        <f>T648-HLOOKUP(V648,Minimas!$C$3:$CD$12,8,FALSE)</f>
        <v>#N/A</v>
      </c>
      <c r="AI648" s="230" t="e">
        <f>T648-HLOOKUP(V648,Minimas!$C$3:$CD$12,9,FALSE)</f>
        <v>#N/A</v>
      </c>
      <c r="AJ648" s="230" t="e">
        <f>T648-HLOOKUP(V648,Minimas!$C$3:$CD$12,10,FALSE)</f>
        <v>#N/A</v>
      </c>
      <c r="AK648" s="231" t="str">
        <f t="shared" si="108"/>
        <v xml:space="preserve"> </v>
      </c>
      <c r="AL648" s="232"/>
      <c r="AM648" s="232" t="str">
        <f t="shared" si="109"/>
        <v xml:space="preserve"> </v>
      </c>
      <c r="AN648" s="232" t="str">
        <f t="shared" si="110"/>
        <v xml:space="preserve"> </v>
      </c>
    </row>
    <row r="649" spans="28:40" x14ac:dyDescent="0.25">
      <c r="AB649" s="230" t="e">
        <f>T649-HLOOKUP(V649,Minimas!$C$3:$CD$12,2,FALSE)</f>
        <v>#N/A</v>
      </c>
      <c r="AC649" s="230" t="e">
        <f>T649-HLOOKUP(V649,Minimas!$C$3:$CD$12,3,FALSE)</f>
        <v>#N/A</v>
      </c>
      <c r="AD649" s="230" t="e">
        <f>T649-HLOOKUP(V649,Minimas!$C$3:$CD$12,4,FALSE)</f>
        <v>#N/A</v>
      </c>
      <c r="AE649" s="230" t="e">
        <f>T649-HLOOKUP(V649,Minimas!$C$3:$CD$12,5,FALSE)</f>
        <v>#N/A</v>
      </c>
      <c r="AF649" s="230" t="e">
        <f>T649-HLOOKUP(V649,Minimas!$C$3:$CD$12,6,FALSE)</f>
        <v>#N/A</v>
      </c>
      <c r="AG649" s="230" t="e">
        <f>T649-HLOOKUP(V649,Minimas!$C$3:$CD$12,7,FALSE)</f>
        <v>#N/A</v>
      </c>
      <c r="AH649" s="230" t="e">
        <f>T649-HLOOKUP(V649,Minimas!$C$3:$CD$12,8,FALSE)</f>
        <v>#N/A</v>
      </c>
      <c r="AI649" s="230" t="e">
        <f>T649-HLOOKUP(V649,Minimas!$C$3:$CD$12,9,FALSE)</f>
        <v>#N/A</v>
      </c>
      <c r="AJ649" s="230" t="e">
        <f>T649-HLOOKUP(V649,Minimas!$C$3:$CD$12,10,FALSE)</f>
        <v>#N/A</v>
      </c>
      <c r="AK649" s="231" t="str">
        <f t="shared" si="108"/>
        <v xml:space="preserve"> </v>
      </c>
      <c r="AL649" s="232"/>
      <c r="AM649" s="232" t="str">
        <f t="shared" si="109"/>
        <v xml:space="preserve"> </v>
      </c>
      <c r="AN649" s="232" t="str">
        <f t="shared" si="110"/>
        <v xml:space="preserve"> </v>
      </c>
    </row>
    <row r="650" spans="28:40" x14ac:dyDescent="0.25">
      <c r="AB650" s="230" t="e">
        <f>T650-HLOOKUP(V650,Minimas!$C$3:$CD$12,2,FALSE)</f>
        <v>#N/A</v>
      </c>
      <c r="AC650" s="230" t="e">
        <f>T650-HLOOKUP(V650,Minimas!$C$3:$CD$12,3,FALSE)</f>
        <v>#N/A</v>
      </c>
      <c r="AD650" s="230" t="e">
        <f>T650-HLOOKUP(V650,Minimas!$C$3:$CD$12,4,FALSE)</f>
        <v>#N/A</v>
      </c>
      <c r="AE650" s="230" t="e">
        <f>T650-HLOOKUP(V650,Minimas!$C$3:$CD$12,5,FALSE)</f>
        <v>#N/A</v>
      </c>
      <c r="AF650" s="230" t="e">
        <f>T650-HLOOKUP(V650,Minimas!$C$3:$CD$12,6,FALSE)</f>
        <v>#N/A</v>
      </c>
      <c r="AG650" s="230" t="e">
        <f>T650-HLOOKUP(V650,Minimas!$C$3:$CD$12,7,FALSE)</f>
        <v>#N/A</v>
      </c>
      <c r="AH650" s="230" t="e">
        <f>T650-HLOOKUP(V650,Minimas!$C$3:$CD$12,8,FALSE)</f>
        <v>#N/A</v>
      </c>
      <c r="AI650" s="230" t="e">
        <f>T650-HLOOKUP(V650,Minimas!$C$3:$CD$12,9,FALSE)</f>
        <v>#N/A</v>
      </c>
      <c r="AJ650" s="230" t="e">
        <f>T650-HLOOKUP(V650,Minimas!$C$3:$CD$12,10,FALSE)</f>
        <v>#N/A</v>
      </c>
      <c r="AK650" s="231" t="str">
        <f t="shared" si="108"/>
        <v xml:space="preserve"> </v>
      </c>
      <c r="AL650" s="232"/>
      <c r="AM650" s="232" t="str">
        <f t="shared" si="109"/>
        <v xml:space="preserve"> </v>
      </c>
      <c r="AN650" s="232" t="str">
        <f t="shared" si="110"/>
        <v xml:space="preserve"> </v>
      </c>
    </row>
    <row r="651" spans="28:40" x14ac:dyDescent="0.25">
      <c r="AB651" s="230" t="e">
        <f>T651-HLOOKUP(V651,Minimas!$C$3:$CD$12,2,FALSE)</f>
        <v>#N/A</v>
      </c>
      <c r="AC651" s="230" t="e">
        <f>T651-HLOOKUP(V651,Minimas!$C$3:$CD$12,3,FALSE)</f>
        <v>#N/A</v>
      </c>
      <c r="AD651" s="230" t="e">
        <f>T651-HLOOKUP(V651,Minimas!$C$3:$CD$12,4,FALSE)</f>
        <v>#N/A</v>
      </c>
      <c r="AE651" s="230" t="e">
        <f>T651-HLOOKUP(V651,Minimas!$C$3:$CD$12,5,FALSE)</f>
        <v>#N/A</v>
      </c>
      <c r="AF651" s="230" t="e">
        <f>T651-HLOOKUP(V651,Minimas!$C$3:$CD$12,6,FALSE)</f>
        <v>#N/A</v>
      </c>
      <c r="AG651" s="230" t="e">
        <f>T651-HLOOKUP(V651,Minimas!$C$3:$CD$12,7,FALSE)</f>
        <v>#N/A</v>
      </c>
      <c r="AH651" s="230" t="e">
        <f>T651-HLOOKUP(V651,Minimas!$C$3:$CD$12,8,FALSE)</f>
        <v>#N/A</v>
      </c>
      <c r="AI651" s="230" t="e">
        <f>T651-HLOOKUP(V651,Minimas!$C$3:$CD$12,9,FALSE)</f>
        <v>#N/A</v>
      </c>
      <c r="AJ651" s="230" t="e">
        <f>T651-HLOOKUP(V651,Minimas!$C$3:$CD$12,10,FALSE)</f>
        <v>#N/A</v>
      </c>
      <c r="AK651" s="231" t="str">
        <f t="shared" si="108"/>
        <v xml:space="preserve"> </v>
      </c>
      <c r="AL651" s="232"/>
      <c r="AM651" s="232" t="str">
        <f t="shared" si="109"/>
        <v xml:space="preserve"> </v>
      </c>
      <c r="AN651" s="232" t="str">
        <f t="shared" si="110"/>
        <v xml:space="preserve"> </v>
      </c>
    </row>
    <row r="652" spans="28:40" x14ac:dyDescent="0.25">
      <c r="AB652" s="230" t="e">
        <f>T652-HLOOKUP(V652,Minimas!$C$3:$CD$12,2,FALSE)</f>
        <v>#N/A</v>
      </c>
      <c r="AC652" s="230" t="e">
        <f>T652-HLOOKUP(V652,Minimas!$C$3:$CD$12,3,FALSE)</f>
        <v>#N/A</v>
      </c>
      <c r="AD652" s="230" t="e">
        <f>T652-HLOOKUP(V652,Minimas!$C$3:$CD$12,4,FALSE)</f>
        <v>#N/A</v>
      </c>
      <c r="AE652" s="230" t="e">
        <f>T652-HLOOKUP(V652,Minimas!$C$3:$CD$12,5,FALSE)</f>
        <v>#N/A</v>
      </c>
      <c r="AF652" s="230" t="e">
        <f>T652-HLOOKUP(V652,Minimas!$C$3:$CD$12,6,FALSE)</f>
        <v>#N/A</v>
      </c>
      <c r="AG652" s="230" t="e">
        <f>T652-HLOOKUP(V652,Minimas!$C$3:$CD$12,7,FALSE)</f>
        <v>#N/A</v>
      </c>
      <c r="AH652" s="230" t="e">
        <f>T652-HLOOKUP(V652,Minimas!$C$3:$CD$12,8,FALSE)</f>
        <v>#N/A</v>
      </c>
      <c r="AI652" s="230" t="e">
        <f>T652-HLOOKUP(V652,Minimas!$C$3:$CD$12,9,FALSE)</f>
        <v>#N/A</v>
      </c>
      <c r="AJ652" s="230" t="e">
        <f>T652-HLOOKUP(V652,Minimas!$C$3:$CD$12,10,FALSE)</f>
        <v>#N/A</v>
      </c>
      <c r="AK652" s="231" t="str">
        <f t="shared" si="108"/>
        <v xml:space="preserve"> </v>
      </c>
      <c r="AL652" s="232"/>
      <c r="AM652" s="232" t="str">
        <f t="shared" si="109"/>
        <v xml:space="preserve"> </v>
      </c>
      <c r="AN652" s="232" t="str">
        <f t="shared" si="110"/>
        <v xml:space="preserve"> </v>
      </c>
    </row>
    <row r="653" spans="28:40" x14ac:dyDescent="0.25">
      <c r="AB653" s="230" t="e">
        <f>T653-HLOOKUP(V653,Minimas!$C$3:$CD$12,2,FALSE)</f>
        <v>#N/A</v>
      </c>
      <c r="AC653" s="230" t="e">
        <f>T653-HLOOKUP(V653,Minimas!$C$3:$CD$12,3,FALSE)</f>
        <v>#N/A</v>
      </c>
      <c r="AD653" s="230" t="e">
        <f>T653-HLOOKUP(V653,Minimas!$C$3:$CD$12,4,FALSE)</f>
        <v>#N/A</v>
      </c>
      <c r="AE653" s="230" t="e">
        <f>T653-HLOOKUP(V653,Minimas!$C$3:$CD$12,5,FALSE)</f>
        <v>#N/A</v>
      </c>
      <c r="AF653" s="230" t="e">
        <f>T653-HLOOKUP(V653,Minimas!$C$3:$CD$12,6,FALSE)</f>
        <v>#N/A</v>
      </c>
      <c r="AG653" s="230" t="e">
        <f>T653-HLOOKUP(V653,Minimas!$C$3:$CD$12,7,FALSE)</f>
        <v>#N/A</v>
      </c>
      <c r="AH653" s="230" t="e">
        <f>T653-HLOOKUP(V653,Minimas!$C$3:$CD$12,8,FALSE)</f>
        <v>#N/A</v>
      </c>
      <c r="AI653" s="230" t="e">
        <f>T653-HLOOKUP(V653,Minimas!$C$3:$CD$12,9,FALSE)</f>
        <v>#N/A</v>
      </c>
      <c r="AJ653" s="230" t="e">
        <f>T653-HLOOKUP(V653,Minimas!$C$3:$CD$12,10,FALSE)</f>
        <v>#N/A</v>
      </c>
      <c r="AK653" s="231" t="str">
        <f t="shared" si="108"/>
        <v xml:space="preserve"> </v>
      </c>
      <c r="AL653" s="232"/>
      <c r="AM653" s="232" t="str">
        <f t="shared" si="109"/>
        <v xml:space="preserve"> </v>
      </c>
      <c r="AN653" s="232" t="str">
        <f t="shared" si="110"/>
        <v xml:space="preserve"> </v>
      </c>
    </row>
    <row r="654" spans="28:40" x14ac:dyDescent="0.25">
      <c r="AB654" s="230" t="e">
        <f>T654-HLOOKUP(V654,Minimas!$C$3:$CD$12,2,FALSE)</f>
        <v>#N/A</v>
      </c>
      <c r="AC654" s="230" t="e">
        <f>T654-HLOOKUP(V654,Minimas!$C$3:$CD$12,3,FALSE)</f>
        <v>#N/A</v>
      </c>
      <c r="AD654" s="230" t="e">
        <f>T654-HLOOKUP(V654,Minimas!$C$3:$CD$12,4,FALSE)</f>
        <v>#N/A</v>
      </c>
      <c r="AE654" s="230" t="e">
        <f>T654-HLOOKUP(V654,Minimas!$C$3:$CD$12,5,FALSE)</f>
        <v>#N/A</v>
      </c>
      <c r="AF654" s="230" t="e">
        <f>T654-HLOOKUP(V654,Minimas!$C$3:$CD$12,6,FALSE)</f>
        <v>#N/A</v>
      </c>
      <c r="AG654" s="230" t="e">
        <f>T654-HLOOKUP(V654,Minimas!$C$3:$CD$12,7,FALSE)</f>
        <v>#N/A</v>
      </c>
      <c r="AH654" s="230" t="e">
        <f>T654-HLOOKUP(V654,Minimas!$C$3:$CD$12,8,FALSE)</f>
        <v>#N/A</v>
      </c>
      <c r="AI654" s="230" t="e">
        <f>T654-HLOOKUP(V654,Minimas!$C$3:$CD$12,9,FALSE)</f>
        <v>#N/A</v>
      </c>
      <c r="AJ654" s="230" t="e">
        <f>T654-HLOOKUP(V654,Minimas!$C$3:$CD$12,10,FALSE)</f>
        <v>#N/A</v>
      </c>
      <c r="AK654" s="231" t="str">
        <f t="shared" si="108"/>
        <v xml:space="preserve"> </v>
      </c>
      <c r="AL654" s="232"/>
      <c r="AM654" s="232" t="str">
        <f t="shared" si="109"/>
        <v xml:space="preserve"> </v>
      </c>
      <c r="AN654" s="232" t="str">
        <f t="shared" si="110"/>
        <v xml:space="preserve"> </v>
      </c>
    </row>
    <row r="655" spans="28:40" x14ac:dyDescent="0.25">
      <c r="AB655" s="230" t="e">
        <f>T655-HLOOKUP(V655,Minimas!$C$3:$CD$12,2,FALSE)</f>
        <v>#N/A</v>
      </c>
      <c r="AC655" s="230" t="e">
        <f>T655-HLOOKUP(V655,Minimas!$C$3:$CD$12,3,FALSE)</f>
        <v>#N/A</v>
      </c>
      <c r="AD655" s="230" t="e">
        <f>T655-HLOOKUP(V655,Minimas!$C$3:$CD$12,4,FALSE)</f>
        <v>#N/A</v>
      </c>
      <c r="AE655" s="230" t="e">
        <f>T655-HLOOKUP(V655,Minimas!$C$3:$CD$12,5,FALSE)</f>
        <v>#N/A</v>
      </c>
      <c r="AF655" s="230" t="e">
        <f>T655-HLOOKUP(V655,Minimas!$C$3:$CD$12,6,FALSE)</f>
        <v>#N/A</v>
      </c>
      <c r="AG655" s="230" t="e">
        <f>T655-HLOOKUP(V655,Minimas!$C$3:$CD$12,7,FALSE)</f>
        <v>#N/A</v>
      </c>
      <c r="AH655" s="230" t="e">
        <f>T655-HLOOKUP(V655,Minimas!$C$3:$CD$12,8,FALSE)</f>
        <v>#N/A</v>
      </c>
      <c r="AI655" s="230" t="e">
        <f>T655-HLOOKUP(V655,Minimas!$C$3:$CD$12,9,FALSE)</f>
        <v>#N/A</v>
      </c>
      <c r="AJ655" s="230" t="e">
        <f>T655-HLOOKUP(V655,Minimas!$C$3:$CD$12,10,FALSE)</f>
        <v>#N/A</v>
      </c>
      <c r="AK655" s="231" t="str">
        <f t="shared" si="108"/>
        <v xml:space="preserve"> </v>
      </c>
      <c r="AL655" s="232"/>
      <c r="AM655" s="232" t="str">
        <f t="shared" si="109"/>
        <v xml:space="preserve"> </v>
      </c>
      <c r="AN655" s="232" t="str">
        <f t="shared" si="110"/>
        <v xml:space="preserve"> </v>
      </c>
    </row>
    <row r="656" spans="28:40" x14ac:dyDescent="0.25">
      <c r="AB656" s="230" t="e">
        <f>T656-HLOOKUP(V656,Minimas!$C$3:$CD$12,2,FALSE)</f>
        <v>#N/A</v>
      </c>
      <c r="AC656" s="230" t="e">
        <f>T656-HLOOKUP(V656,Minimas!$C$3:$CD$12,3,FALSE)</f>
        <v>#N/A</v>
      </c>
      <c r="AD656" s="230" t="e">
        <f>T656-HLOOKUP(V656,Minimas!$C$3:$CD$12,4,FALSE)</f>
        <v>#N/A</v>
      </c>
      <c r="AE656" s="230" t="e">
        <f>T656-HLOOKUP(V656,Minimas!$C$3:$CD$12,5,FALSE)</f>
        <v>#N/A</v>
      </c>
      <c r="AF656" s="230" t="e">
        <f>T656-HLOOKUP(V656,Minimas!$C$3:$CD$12,6,FALSE)</f>
        <v>#N/A</v>
      </c>
      <c r="AG656" s="230" t="e">
        <f>T656-HLOOKUP(V656,Minimas!$C$3:$CD$12,7,FALSE)</f>
        <v>#N/A</v>
      </c>
      <c r="AH656" s="230" t="e">
        <f>T656-HLOOKUP(V656,Minimas!$C$3:$CD$12,8,FALSE)</f>
        <v>#N/A</v>
      </c>
      <c r="AI656" s="230" t="e">
        <f>T656-HLOOKUP(V656,Minimas!$C$3:$CD$12,9,FALSE)</f>
        <v>#N/A</v>
      </c>
      <c r="AJ656" s="230" t="e">
        <f>T656-HLOOKUP(V656,Minimas!$C$3:$CD$12,10,FALSE)</f>
        <v>#N/A</v>
      </c>
      <c r="AK656" s="231" t="str">
        <f t="shared" si="108"/>
        <v xml:space="preserve"> </v>
      </c>
      <c r="AL656" s="232"/>
      <c r="AM656" s="232" t="str">
        <f t="shared" si="109"/>
        <v xml:space="preserve"> </v>
      </c>
      <c r="AN656" s="232" t="str">
        <f t="shared" si="110"/>
        <v xml:space="preserve"> </v>
      </c>
    </row>
    <row r="657" spans="28:40" x14ac:dyDescent="0.25">
      <c r="AB657" s="230" t="e">
        <f>T657-HLOOKUP(V657,Minimas!$C$3:$CD$12,2,FALSE)</f>
        <v>#N/A</v>
      </c>
      <c r="AC657" s="230" t="e">
        <f>T657-HLOOKUP(V657,Minimas!$C$3:$CD$12,3,FALSE)</f>
        <v>#N/A</v>
      </c>
      <c r="AD657" s="230" t="e">
        <f>T657-HLOOKUP(V657,Minimas!$C$3:$CD$12,4,FALSE)</f>
        <v>#N/A</v>
      </c>
      <c r="AE657" s="230" t="e">
        <f>T657-HLOOKUP(V657,Minimas!$C$3:$CD$12,5,FALSE)</f>
        <v>#N/A</v>
      </c>
      <c r="AF657" s="230" t="e">
        <f>T657-HLOOKUP(V657,Minimas!$C$3:$CD$12,6,FALSE)</f>
        <v>#N/A</v>
      </c>
      <c r="AG657" s="230" t="e">
        <f>T657-HLOOKUP(V657,Minimas!$C$3:$CD$12,7,FALSE)</f>
        <v>#N/A</v>
      </c>
      <c r="AH657" s="230" t="e">
        <f>T657-HLOOKUP(V657,Minimas!$C$3:$CD$12,8,FALSE)</f>
        <v>#N/A</v>
      </c>
      <c r="AI657" s="230" t="e">
        <f>T657-HLOOKUP(V657,Minimas!$C$3:$CD$12,9,FALSE)</f>
        <v>#N/A</v>
      </c>
      <c r="AJ657" s="230" t="e">
        <f>T657-HLOOKUP(V657,Minimas!$C$3:$CD$12,10,FALSE)</f>
        <v>#N/A</v>
      </c>
      <c r="AK657" s="231" t="str">
        <f t="shared" si="108"/>
        <v xml:space="preserve"> </v>
      </c>
      <c r="AL657" s="232"/>
      <c r="AM657" s="232" t="str">
        <f t="shared" si="109"/>
        <v xml:space="preserve"> </v>
      </c>
      <c r="AN657" s="232" t="str">
        <f t="shared" si="110"/>
        <v xml:space="preserve"> </v>
      </c>
    </row>
    <row r="658" spans="28:40" x14ac:dyDescent="0.25">
      <c r="AB658" s="230" t="e">
        <f>T658-HLOOKUP(V658,Minimas!$C$3:$CD$12,2,FALSE)</f>
        <v>#N/A</v>
      </c>
      <c r="AC658" s="230" t="e">
        <f>T658-HLOOKUP(V658,Minimas!$C$3:$CD$12,3,FALSE)</f>
        <v>#N/A</v>
      </c>
      <c r="AD658" s="230" t="e">
        <f>T658-HLOOKUP(V658,Minimas!$C$3:$CD$12,4,FALSE)</f>
        <v>#N/A</v>
      </c>
      <c r="AE658" s="230" t="e">
        <f>T658-HLOOKUP(V658,Minimas!$C$3:$CD$12,5,FALSE)</f>
        <v>#N/A</v>
      </c>
      <c r="AF658" s="230" t="e">
        <f>T658-HLOOKUP(V658,Minimas!$C$3:$CD$12,6,FALSE)</f>
        <v>#N/A</v>
      </c>
      <c r="AG658" s="230" t="e">
        <f>T658-HLOOKUP(V658,Minimas!$C$3:$CD$12,7,FALSE)</f>
        <v>#N/A</v>
      </c>
      <c r="AH658" s="230" t="e">
        <f>T658-HLOOKUP(V658,Minimas!$C$3:$CD$12,8,FALSE)</f>
        <v>#N/A</v>
      </c>
      <c r="AI658" s="230" t="e">
        <f>T658-HLOOKUP(V658,Minimas!$C$3:$CD$12,9,FALSE)</f>
        <v>#N/A</v>
      </c>
      <c r="AJ658" s="230" t="e">
        <f>T658-HLOOKUP(V658,Minimas!$C$3:$CD$12,10,FALSE)</f>
        <v>#N/A</v>
      </c>
      <c r="AK658" s="231" t="str">
        <f t="shared" si="108"/>
        <v xml:space="preserve"> </v>
      </c>
      <c r="AL658" s="232"/>
      <c r="AM658" s="232" t="str">
        <f t="shared" si="109"/>
        <v xml:space="preserve"> </v>
      </c>
      <c r="AN658" s="232" t="str">
        <f t="shared" si="110"/>
        <v xml:space="preserve"> </v>
      </c>
    </row>
    <row r="659" spans="28:40" x14ac:dyDescent="0.25">
      <c r="AB659" s="230" t="e">
        <f>T659-HLOOKUP(V659,Minimas!$C$3:$CD$12,2,FALSE)</f>
        <v>#N/A</v>
      </c>
      <c r="AC659" s="230" t="e">
        <f>T659-HLOOKUP(V659,Minimas!$C$3:$CD$12,3,FALSE)</f>
        <v>#N/A</v>
      </c>
      <c r="AD659" s="230" t="e">
        <f>T659-HLOOKUP(V659,Minimas!$C$3:$CD$12,4,FALSE)</f>
        <v>#N/A</v>
      </c>
      <c r="AE659" s="230" t="e">
        <f>T659-HLOOKUP(V659,Minimas!$C$3:$CD$12,5,FALSE)</f>
        <v>#N/A</v>
      </c>
      <c r="AF659" s="230" t="e">
        <f>T659-HLOOKUP(V659,Minimas!$C$3:$CD$12,6,FALSE)</f>
        <v>#N/A</v>
      </c>
      <c r="AG659" s="230" t="e">
        <f>T659-HLOOKUP(V659,Minimas!$C$3:$CD$12,7,FALSE)</f>
        <v>#N/A</v>
      </c>
      <c r="AH659" s="230" t="e">
        <f>T659-HLOOKUP(V659,Minimas!$C$3:$CD$12,8,FALSE)</f>
        <v>#N/A</v>
      </c>
      <c r="AI659" s="230" t="e">
        <f>T659-HLOOKUP(V659,Minimas!$C$3:$CD$12,9,FALSE)</f>
        <v>#N/A</v>
      </c>
      <c r="AJ659" s="230" t="e">
        <f>T659-HLOOKUP(V659,Minimas!$C$3:$CD$12,10,FALSE)</f>
        <v>#N/A</v>
      </c>
      <c r="AK659" s="231" t="str">
        <f t="shared" si="108"/>
        <v xml:space="preserve"> </v>
      </c>
      <c r="AL659" s="232"/>
      <c r="AM659" s="232" t="str">
        <f t="shared" si="109"/>
        <v xml:space="preserve"> </v>
      </c>
      <c r="AN659" s="232" t="str">
        <f t="shared" si="110"/>
        <v xml:space="preserve"> </v>
      </c>
    </row>
    <row r="660" spans="28:40" x14ac:dyDescent="0.25">
      <c r="AB660" s="230" t="e">
        <f>T660-HLOOKUP(V660,Minimas!$C$3:$CD$12,2,FALSE)</f>
        <v>#N/A</v>
      </c>
      <c r="AC660" s="230" t="e">
        <f>T660-HLOOKUP(V660,Minimas!$C$3:$CD$12,3,FALSE)</f>
        <v>#N/A</v>
      </c>
      <c r="AD660" s="230" t="e">
        <f>T660-HLOOKUP(V660,Minimas!$C$3:$CD$12,4,FALSE)</f>
        <v>#N/A</v>
      </c>
      <c r="AE660" s="230" t="e">
        <f>T660-HLOOKUP(V660,Minimas!$C$3:$CD$12,5,FALSE)</f>
        <v>#N/A</v>
      </c>
      <c r="AF660" s="230" t="e">
        <f>T660-HLOOKUP(V660,Minimas!$C$3:$CD$12,6,FALSE)</f>
        <v>#N/A</v>
      </c>
      <c r="AG660" s="230" t="e">
        <f>T660-HLOOKUP(V660,Minimas!$C$3:$CD$12,7,FALSE)</f>
        <v>#N/A</v>
      </c>
      <c r="AH660" s="230" t="e">
        <f>T660-HLOOKUP(V660,Minimas!$C$3:$CD$12,8,FALSE)</f>
        <v>#N/A</v>
      </c>
      <c r="AI660" s="230" t="e">
        <f>T660-HLOOKUP(V660,Minimas!$C$3:$CD$12,9,FALSE)</f>
        <v>#N/A</v>
      </c>
      <c r="AJ660" s="230" t="e">
        <f>T660-HLOOKUP(V660,Minimas!$C$3:$CD$12,10,FALSE)</f>
        <v>#N/A</v>
      </c>
      <c r="AK660" s="231" t="str">
        <f t="shared" si="108"/>
        <v xml:space="preserve"> </v>
      </c>
      <c r="AL660" s="232"/>
      <c r="AM660" s="232" t="str">
        <f t="shared" si="109"/>
        <v xml:space="preserve"> </v>
      </c>
      <c r="AN660" s="232" t="str">
        <f t="shared" si="110"/>
        <v xml:space="preserve"> </v>
      </c>
    </row>
    <row r="661" spans="28:40" x14ac:dyDescent="0.25">
      <c r="AB661" s="230" t="e">
        <f>T661-HLOOKUP(V661,Minimas!$C$3:$CD$12,2,FALSE)</f>
        <v>#N/A</v>
      </c>
      <c r="AC661" s="230" t="e">
        <f>T661-HLOOKUP(V661,Minimas!$C$3:$CD$12,3,FALSE)</f>
        <v>#N/A</v>
      </c>
      <c r="AD661" s="230" t="e">
        <f>T661-HLOOKUP(V661,Minimas!$C$3:$CD$12,4,FALSE)</f>
        <v>#N/A</v>
      </c>
      <c r="AE661" s="230" t="e">
        <f>T661-HLOOKUP(V661,Minimas!$C$3:$CD$12,5,FALSE)</f>
        <v>#N/A</v>
      </c>
      <c r="AF661" s="230" t="e">
        <f>T661-HLOOKUP(V661,Minimas!$C$3:$CD$12,6,FALSE)</f>
        <v>#N/A</v>
      </c>
      <c r="AG661" s="230" t="e">
        <f>T661-HLOOKUP(V661,Minimas!$C$3:$CD$12,7,FALSE)</f>
        <v>#N/A</v>
      </c>
      <c r="AH661" s="230" t="e">
        <f>T661-HLOOKUP(V661,Minimas!$C$3:$CD$12,8,FALSE)</f>
        <v>#N/A</v>
      </c>
      <c r="AI661" s="230" t="e">
        <f>T661-HLOOKUP(V661,Minimas!$C$3:$CD$12,9,FALSE)</f>
        <v>#N/A</v>
      </c>
      <c r="AJ661" s="230" t="e">
        <f>T661-HLOOKUP(V661,Minimas!$C$3:$CD$12,10,FALSE)</f>
        <v>#N/A</v>
      </c>
      <c r="AK661" s="231" t="str">
        <f t="shared" si="108"/>
        <v xml:space="preserve"> </v>
      </c>
      <c r="AL661" s="232"/>
      <c r="AM661" s="232" t="str">
        <f t="shared" si="109"/>
        <v xml:space="preserve"> </v>
      </c>
      <c r="AN661" s="232" t="str">
        <f t="shared" si="110"/>
        <v xml:space="preserve"> </v>
      </c>
    </row>
    <row r="662" spans="28:40" x14ac:dyDescent="0.25">
      <c r="AB662" s="230" t="e">
        <f>T662-HLOOKUP(V662,Minimas!$C$3:$CD$12,2,FALSE)</f>
        <v>#N/A</v>
      </c>
      <c r="AC662" s="230" t="e">
        <f>T662-HLOOKUP(V662,Minimas!$C$3:$CD$12,3,FALSE)</f>
        <v>#N/A</v>
      </c>
      <c r="AD662" s="230" t="e">
        <f>T662-HLOOKUP(V662,Minimas!$C$3:$CD$12,4,FALSE)</f>
        <v>#N/A</v>
      </c>
      <c r="AE662" s="230" t="e">
        <f>T662-HLOOKUP(V662,Minimas!$C$3:$CD$12,5,FALSE)</f>
        <v>#N/A</v>
      </c>
      <c r="AF662" s="230" t="e">
        <f>T662-HLOOKUP(V662,Minimas!$C$3:$CD$12,6,FALSE)</f>
        <v>#N/A</v>
      </c>
      <c r="AG662" s="230" t="e">
        <f>T662-HLOOKUP(V662,Minimas!$C$3:$CD$12,7,FALSE)</f>
        <v>#N/A</v>
      </c>
      <c r="AH662" s="230" t="e">
        <f>T662-HLOOKUP(V662,Minimas!$C$3:$CD$12,8,FALSE)</f>
        <v>#N/A</v>
      </c>
      <c r="AI662" s="230" t="e">
        <f>T662-HLOOKUP(V662,Minimas!$C$3:$CD$12,9,FALSE)</f>
        <v>#N/A</v>
      </c>
      <c r="AJ662" s="230" t="e">
        <f>T662-HLOOKUP(V662,Minimas!$C$3:$CD$12,10,FALSE)</f>
        <v>#N/A</v>
      </c>
      <c r="AK662" s="231" t="str">
        <f t="shared" si="108"/>
        <v xml:space="preserve"> </v>
      </c>
      <c r="AL662" s="232"/>
      <c r="AM662" s="232" t="str">
        <f t="shared" si="109"/>
        <v xml:space="preserve"> </v>
      </c>
      <c r="AN662" s="232" t="str">
        <f t="shared" si="110"/>
        <v xml:space="preserve"> </v>
      </c>
    </row>
    <row r="663" spans="28:40" x14ac:dyDescent="0.25">
      <c r="AB663" s="230" t="e">
        <f>T663-HLOOKUP(V663,Minimas!$C$3:$CD$12,2,FALSE)</f>
        <v>#N/A</v>
      </c>
      <c r="AC663" s="230" t="e">
        <f>T663-HLOOKUP(V663,Minimas!$C$3:$CD$12,3,FALSE)</f>
        <v>#N/A</v>
      </c>
      <c r="AD663" s="230" t="e">
        <f>T663-HLOOKUP(V663,Minimas!$C$3:$CD$12,4,FALSE)</f>
        <v>#N/A</v>
      </c>
      <c r="AE663" s="230" t="e">
        <f>T663-HLOOKUP(V663,Minimas!$C$3:$CD$12,5,FALSE)</f>
        <v>#N/A</v>
      </c>
      <c r="AF663" s="230" t="e">
        <f>T663-HLOOKUP(V663,Minimas!$C$3:$CD$12,6,FALSE)</f>
        <v>#N/A</v>
      </c>
      <c r="AG663" s="230" t="e">
        <f>T663-HLOOKUP(V663,Minimas!$C$3:$CD$12,7,FALSE)</f>
        <v>#N/A</v>
      </c>
      <c r="AH663" s="230" t="e">
        <f>T663-HLOOKUP(V663,Minimas!$C$3:$CD$12,8,FALSE)</f>
        <v>#N/A</v>
      </c>
      <c r="AI663" s="230" t="e">
        <f>T663-HLOOKUP(V663,Minimas!$C$3:$CD$12,9,FALSE)</f>
        <v>#N/A</v>
      </c>
      <c r="AJ663" s="230" t="e">
        <f>T663-HLOOKUP(V663,Minimas!$C$3:$CD$12,10,FALSE)</f>
        <v>#N/A</v>
      </c>
      <c r="AK663" s="231" t="str">
        <f t="shared" si="108"/>
        <v xml:space="preserve"> </v>
      </c>
      <c r="AL663" s="232"/>
      <c r="AM663" s="232" t="str">
        <f t="shared" si="109"/>
        <v xml:space="preserve"> </v>
      </c>
      <c r="AN663" s="232" t="str">
        <f t="shared" si="110"/>
        <v xml:space="preserve"> </v>
      </c>
    </row>
    <row r="664" spans="28:40" x14ac:dyDescent="0.25">
      <c r="AB664" s="230" t="e">
        <f>T664-HLOOKUP(V664,Minimas!$C$3:$CD$12,2,FALSE)</f>
        <v>#N/A</v>
      </c>
      <c r="AC664" s="230" t="e">
        <f>T664-HLOOKUP(V664,Minimas!$C$3:$CD$12,3,FALSE)</f>
        <v>#N/A</v>
      </c>
      <c r="AD664" s="230" t="e">
        <f>T664-HLOOKUP(V664,Minimas!$C$3:$CD$12,4,FALSE)</f>
        <v>#N/A</v>
      </c>
      <c r="AE664" s="230" t="e">
        <f>T664-HLOOKUP(V664,Minimas!$C$3:$CD$12,5,FALSE)</f>
        <v>#N/A</v>
      </c>
      <c r="AF664" s="230" t="e">
        <f>T664-HLOOKUP(V664,Minimas!$C$3:$CD$12,6,FALSE)</f>
        <v>#N/A</v>
      </c>
      <c r="AG664" s="230" t="e">
        <f>T664-HLOOKUP(V664,Minimas!$C$3:$CD$12,7,FALSE)</f>
        <v>#N/A</v>
      </c>
      <c r="AH664" s="230" t="e">
        <f>T664-HLOOKUP(V664,Minimas!$C$3:$CD$12,8,FALSE)</f>
        <v>#N/A</v>
      </c>
      <c r="AI664" s="230" t="e">
        <f>T664-HLOOKUP(V664,Minimas!$C$3:$CD$12,9,FALSE)</f>
        <v>#N/A</v>
      </c>
      <c r="AJ664" s="230" t="e">
        <f>T664-HLOOKUP(V664,Minimas!$C$3:$CD$12,10,FALSE)</f>
        <v>#N/A</v>
      </c>
      <c r="AK664" s="231" t="str">
        <f t="shared" si="108"/>
        <v xml:space="preserve"> </v>
      </c>
      <c r="AL664" s="232"/>
      <c r="AM664" s="232" t="str">
        <f t="shared" si="109"/>
        <v xml:space="preserve"> </v>
      </c>
      <c r="AN664" s="232" t="str">
        <f t="shared" si="110"/>
        <v xml:space="preserve"> </v>
      </c>
    </row>
    <row r="665" spans="28:40" x14ac:dyDescent="0.25">
      <c r="AB665" s="230" t="e">
        <f>T665-HLOOKUP(V665,Minimas!$C$3:$CD$12,2,FALSE)</f>
        <v>#N/A</v>
      </c>
      <c r="AC665" s="230" t="e">
        <f>T665-HLOOKUP(V665,Minimas!$C$3:$CD$12,3,FALSE)</f>
        <v>#N/A</v>
      </c>
      <c r="AD665" s="230" t="e">
        <f>T665-HLOOKUP(V665,Minimas!$C$3:$CD$12,4,FALSE)</f>
        <v>#N/A</v>
      </c>
      <c r="AE665" s="230" t="e">
        <f>T665-HLOOKUP(V665,Minimas!$C$3:$CD$12,5,FALSE)</f>
        <v>#N/A</v>
      </c>
      <c r="AF665" s="230" t="e">
        <f>T665-HLOOKUP(V665,Minimas!$C$3:$CD$12,6,FALSE)</f>
        <v>#N/A</v>
      </c>
      <c r="AG665" s="230" t="e">
        <f>T665-HLOOKUP(V665,Minimas!$C$3:$CD$12,7,FALSE)</f>
        <v>#N/A</v>
      </c>
      <c r="AH665" s="230" t="e">
        <f>T665-HLOOKUP(V665,Minimas!$C$3:$CD$12,8,FALSE)</f>
        <v>#N/A</v>
      </c>
      <c r="AI665" s="230" t="e">
        <f>T665-HLOOKUP(V665,Minimas!$C$3:$CD$12,9,FALSE)</f>
        <v>#N/A</v>
      </c>
      <c r="AJ665" s="230" t="e">
        <f>T665-HLOOKUP(V665,Minimas!$C$3:$CD$12,10,FALSE)</f>
        <v>#N/A</v>
      </c>
      <c r="AK665" s="231" t="str">
        <f t="shared" si="108"/>
        <v xml:space="preserve"> </v>
      </c>
      <c r="AL665" s="232"/>
      <c r="AM665" s="232" t="str">
        <f t="shared" si="109"/>
        <v xml:space="preserve"> </v>
      </c>
      <c r="AN665" s="232" t="str">
        <f t="shared" si="110"/>
        <v xml:space="preserve"> </v>
      </c>
    </row>
    <row r="666" spans="28:40" x14ac:dyDescent="0.25">
      <c r="AB666" s="230" t="e">
        <f>T666-HLOOKUP(V666,Minimas!$C$3:$CD$12,2,FALSE)</f>
        <v>#N/A</v>
      </c>
      <c r="AC666" s="230" t="e">
        <f>T666-HLOOKUP(V666,Minimas!$C$3:$CD$12,3,FALSE)</f>
        <v>#N/A</v>
      </c>
      <c r="AD666" s="230" t="e">
        <f>T666-HLOOKUP(V666,Minimas!$C$3:$CD$12,4,FALSE)</f>
        <v>#N/A</v>
      </c>
      <c r="AE666" s="230" t="e">
        <f>T666-HLOOKUP(V666,Minimas!$C$3:$CD$12,5,FALSE)</f>
        <v>#N/A</v>
      </c>
      <c r="AF666" s="230" t="e">
        <f>T666-HLOOKUP(V666,Minimas!$C$3:$CD$12,6,FALSE)</f>
        <v>#N/A</v>
      </c>
      <c r="AG666" s="230" t="e">
        <f>T666-HLOOKUP(V666,Minimas!$C$3:$CD$12,7,FALSE)</f>
        <v>#N/A</v>
      </c>
      <c r="AH666" s="230" t="e">
        <f>T666-HLOOKUP(V666,Minimas!$C$3:$CD$12,8,FALSE)</f>
        <v>#N/A</v>
      </c>
      <c r="AI666" s="230" t="e">
        <f>T666-HLOOKUP(V666,Minimas!$C$3:$CD$12,9,FALSE)</f>
        <v>#N/A</v>
      </c>
      <c r="AJ666" s="230" t="e">
        <f>T666-HLOOKUP(V666,Minimas!$C$3:$CD$12,10,FALSE)</f>
        <v>#N/A</v>
      </c>
      <c r="AK666" s="231" t="str">
        <f t="shared" si="108"/>
        <v xml:space="preserve"> </v>
      </c>
      <c r="AL666" s="232"/>
      <c r="AM666" s="232" t="str">
        <f t="shared" si="109"/>
        <v xml:space="preserve"> </v>
      </c>
      <c r="AN666" s="232" t="str">
        <f t="shared" si="110"/>
        <v xml:space="preserve"> </v>
      </c>
    </row>
    <row r="667" spans="28:40" x14ac:dyDescent="0.25">
      <c r="AB667" s="230" t="e">
        <f>T667-HLOOKUP(V667,Minimas!$C$3:$CD$12,2,FALSE)</f>
        <v>#N/A</v>
      </c>
      <c r="AC667" s="230" t="e">
        <f>T667-HLOOKUP(V667,Minimas!$C$3:$CD$12,3,FALSE)</f>
        <v>#N/A</v>
      </c>
      <c r="AD667" s="230" t="e">
        <f>T667-HLOOKUP(V667,Minimas!$C$3:$CD$12,4,FALSE)</f>
        <v>#N/A</v>
      </c>
      <c r="AE667" s="230" t="e">
        <f>T667-HLOOKUP(V667,Minimas!$C$3:$CD$12,5,FALSE)</f>
        <v>#N/A</v>
      </c>
      <c r="AF667" s="230" t="e">
        <f>T667-HLOOKUP(V667,Minimas!$C$3:$CD$12,6,FALSE)</f>
        <v>#N/A</v>
      </c>
      <c r="AG667" s="230" t="e">
        <f>T667-HLOOKUP(V667,Minimas!$C$3:$CD$12,7,FALSE)</f>
        <v>#N/A</v>
      </c>
      <c r="AH667" s="230" t="e">
        <f>T667-HLOOKUP(V667,Minimas!$C$3:$CD$12,8,FALSE)</f>
        <v>#N/A</v>
      </c>
      <c r="AI667" s="230" t="e">
        <f>T667-HLOOKUP(V667,Minimas!$C$3:$CD$12,9,FALSE)</f>
        <v>#N/A</v>
      </c>
      <c r="AJ667" s="230" t="e">
        <f>T667-HLOOKUP(V667,Minimas!$C$3:$CD$12,10,FALSE)</f>
        <v>#N/A</v>
      </c>
      <c r="AK667" s="231" t="str">
        <f t="shared" si="108"/>
        <v xml:space="preserve"> </v>
      </c>
      <c r="AL667" s="232"/>
      <c r="AM667" s="232" t="str">
        <f t="shared" si="109"/>
        <v xml:space="preserve"> </v>
      </c>
      <c r="AN667" s="232" t="str">
        <f t="shared" si="110"/>
        <v xml:space="preserve"> </v>
      </c>
    </row>
    <row r="668" spans="28:40" x14ac:dyDescent="0.25">
      <c r="AB668" s="230" t="e">
        <f>T668-HLOOKUP(V668,Minimas!$C$3:$CD$12,2,FALSE)</f>
        <v>#N/A</v>
      </c>
      <c r="AC668" s="230" t="e">
        <f>T668-HLOOKUP(V668,Minimas!$C$3:$CD$12,3,FALSE)</f>
        <v>#N/A</v>
      </c>
      <c r="AD668" s="230" t="e">
        <f>T668-HLOOKUP(V668,Minimas!$C$3:$CD$12,4,FALSE)</f>
        <v>#N/A</v>
      </c>
      <c r="AE668" s="230" t="e">
        <f>T668-HLOOKUP(V668,Minimas!$C$3:$CD$12,5,FALSE)</f>
        <v>#N/A</v>
      </c>
      <c r="AF668" s="230" t="e">
        <f>T668-HLOOKUP(V668,Minimas!$C$3:$CD$12,6,FALSE)</f>
        <v>#N/A</v>
      </c>
      <c r="AG668" s="230" t="e">
        <f>T668-HLOOKUP(V668,Minimas!$C$3:$CD$12,7,FALSE)</f>
        <v>#N/A</v>
      </c>
      <c r="AH668" s="230" t="e">
        <f>T668-HLOOKUP(V668,Minimas!$C$3:$CD$12,8,FALSE)</f>
        <v>#N/A</v>
      </c>
      <c r="AI668" s="230" t="e">
        <f>T668-HLOOKUP(V668,Minimas!$C$3:$CD$12,9,FALSE)</f>
        <v>#N/A</v>
      </c>
      <c r="AJ668" s="230" t="e">
        <f>T668-HLOOKUP(V668,Minimas!$C$3:$CD$12,10,FALSE)</f>
        <v>#N/A</v>
      </c>
      <c r="AK668" s="231" t="str">
        <f t="shared" si="108"/>
        <v xml:space="preserve"> </v>
      </c>
      <c r="AL668" s="232"/>
      <c r="AM668" s="232" t="str">
        <f t="shared" si="109"/>
        <v xml:space="preserve"> </v>
      </c>
      <c r="AN668" s="232" t="str">
        <f t="shared" si="110"/>
        <v xml:space="preserve"> </v>
      </c>
    </row>
    <row r="669" spans="28:40" x14ac:dyDescent="0.25">
      <c r="AB669" s="230" t="e">
        <f>T669-HLOOKUP(V669,Minimas!$C$3:$CD$12,2,FALSE)</f>
        <v>#N/A</v>
      </c>
      <c r="AC669" s="230" t="e">
        <f>T669-HLOOKUP(V669,Minimas!$C$3:$CD$12,3,FALSE)</f>
        <v>#N/A</v>
      </c>
      <c r="AD669" s="230" t="e">
        <f>T669-HLOOKUP(V669,Minimas!$C$3:$CD$12,4,FALSE)</f>
        <v>#N/A</v>
      </c>
      <c r="AE669" s="230" t="e">
        <f>T669-HLOOKUP(V669,Minimas!$C$3:$CD$12,5,FALSE)</f>
        <v>#N/A</v>
      </c>
      <c r="AF669" s="230" t="e">
        <f>T669-HLOOKUP(V669,Minimas!$C$3:$CD$12,6,FALSE)</f>
        <v>#N/A</v>
      </c>
      <c r="AG669" s="230" t="e">
        <f>T669-HLOOKUP(V669,Minimas!$C$3:$CD$12,7,FALSE)</f>
        <v>#N/A</v>
      </c>
      <c r="AH669" s="230" t="e">
        <f>T669-HLOOKUP(V669,Minimas!$C$3:$CD$12,8,FALSE)</f>
        <v>#N/A</v>
      </c>
      <c r="AI669" s="230" t="e">
        <f>T669-HLOOKUP(V669,Minimas!$C$3:$CD$12,9,FALSE)</f>
        <v>#N/A</v>
      </c>
      <c r="AJ669" s="230" t="e">
        <f>T669-HLOOKUP(V669,Minimas!$C$3:$CD$12,10,FALSE)</f>
        <v>#N/A</v>
      </c>
      <c r="AK669" s="231" t="str">
        <f t="shared" si="108"/>
        <v xml:space="preserve"> </v>
      </c>
      <c r="AL669" s="232"/>
      <c r="AM669" s="232" t="str">
        <f t="shared" si="109"/>
        <v xml:space="preserve"> </v>
      </c>
      <c r="AN669" s="232" t="str">
        <f t="shared" si="110"/>
        <v xml:space="preserve"> </v>
      </c>
    </row>
    <row r="670" spans="28:40" x14ac:dyDescent="0.25">
      <c r="AB670" s="230" t="e">
        <f>T670-HLOOKUP(V670,Minimas!$C$3:$CD$12,2,FALSE)</f>
        <v>#N/A</v>
      </c>
      <c r="AC670" s="230" t="e">
        <f>T670-HLOOKUP(V670,Minimas!$C$3:$CD$12,3,FALSE)</f>
        <v>#N/A</v>
      </c>
      <c r="AD670" s="230" t="e">
        <f>T670-HLOOKUP(V670,Minimas!$C$3:$CD$12,4,FALSE)</f>
        <v>#N/A</v>
      </c>
      <c r="AE670" s="230" t="e">
        <f>T670-HLOOKUP(V670,Minimas!$C$3:$CD$12,5,FALSE)</f>
        <v>#N/A</v>
      </c>
      <c r="AF670" s="230" t="e">
        <f>T670-HLOOKUP(V670,Minimas!$C$3:$CD$12,6,FALSE)</f>
        <v>#N/A</v>
      </c>
      <c r="AG670" s="230" t="e">
        <f>T670-HLOOKUP(V670,Minimas!$C$3:$CD$12,7,FALSE)</f>
        <v>#N/A</v>
      </c>
      <c r="AH670" s="230" t="e">
        <f>T670-HLOOKUP(V670,Minimas!$C$3:$CD$12,8,FALSE)</f>
        <v>#N/A</v>
      </c>
      <c r="AI670" s="230" t="e">
        <f>T670-HLOOKUP(V670,Minimas!$C$3:$CD$12,9,FALSE)</f>
        <v>#N/A</v>
      </c>
      <c r="AJ670" s="230" t="e">
        <f>T670-HLOOKUP(V670,Minimas!$C$3:$CD$12,10,FALSE)</f>
        <v>#N/A</v>
      </c>
      <c r="AK670" s="231" t="str">
        <f t="shared" si="108"/>
        <v xml:space="preserve"> </v>
      </c>
      <c r="AL670" s="232"/>
      <c r="AM670" s="232" t="str">
        <f t="shared" si="109"/>
        <v xml:space="preserve"> </v>
      </c>
      <c r="AN670" s="232" t="str">
        <f t="shared" si="110"/>
        <v xml:space="preserve"> </v>
      </c>
    </row>
    <row r="671" spans="28:40" x14ac:dyDescent="0.25">
      <c r="AB671" s="230" t="e">
        <f>T671-HLOOKUP(V671,Minimas!$C$3:$CD$12,2,FALSE)</f>
        <v>#N/A</v>
      </c>
      <c r="AC671" s="230" t="e">
        <f>T671-HLOOKUP(V671,Minimas!$C$3:$CD$12,3,FALSE)</f>
        <v>#N/A</v>
      </c>
      <c r="AD671" s="230" t="e">
        <f>T671-HLOOKUP(V671,Minimas!$C$3:$CD$12,4,FALSE)</f>
        <v>#N/A</v>
      </c>
      <c r="AE671" s="230" t="e">
        <f>T671-HLOOKUP(V671,Minimas!$C$3:$CD$12,5,FALSE)</f>
        <v>#N/A</v>
      </c>
      <c r="AF671" s="230" t="e">
        <f>T671-HLOOKUP(V671,Minimas!$C$3:$CD$12,6,FALSE)</f>
        <v>#N/A</v>
      </c>
      <c r="AG671" s="230" t="e">
        <f>T671-HLOOKUP(V671,Minimas!$C$3:$CD$12,7,FALSE)</f>
        <v>#N/A</v>
      </c>
      <c r="AH671" s="230" t="e">
        <f>T671-HLOOKUP(V671,Minimas!$C$3:$CD$12,8,FALSE)</f>
        <v>#N/A</v>
      </c>
      <c r="AI671" s="230" t="e">
        <f>T671-HLOOKUP(V671,Minimas!$C$3:$CD$12,9,FALSE)</f>
        <v>#N/A</v>
      </c>
      <c r="AJ671" s="230" t="e">
        <f>T671-HLOOKUP(V671,Minimas!$C$3:$CD$12,10,FALSE)</f>
        <v>#N/A</v>
      </c>
      <c r="AK671" s="231" t="str">
        <f t="shared" si="108"/>
        <v xml:space="preserve"> </v>
      </c>
      <c r="AL671" s="232"/>
      <c r="AM671" s="232" t="str">
        <f t="shared" si="109"/>
        <v xml:space="preserve"> </v>
      </c>
      <c r="AN671" s="232" t="str">
        <f t="shared" si="110"/>
        <v xml:space="preserve"> </v>
      </c>
    </row>
    <row r="672" spans="28:40" x14ac:dyDescent="0.25">
      <c r="AB672" s="230" t="e">
        <f>T672-HLOOKUP(V672,Minimas!$C$3:$CD$12,2,FALSE)</f>
        <v>#N/A</v>
      </c>
      <c r="AC672" s="230" t="e">
        <f>T672-HLOOKUP(V672,Minimas!$C$3:$CD$12,3,FALSE)</f>
        <v>#N/A</v>
      </c>
      <c r="AD672" s="230" t="e">
        <f>T672-HLOOKUP(V672,Minimas!$C$3:$CD$12,4,FALSE)</f>
        <v>#N/A</v>
      </c>
      <c r="AE672" s="230" t="e">
        <f>T672-HLOOKUP(V672,Minimas!$C$3:$CD$12,5,FALSE)</f>
        <v>#N/A</v>
      </c>
      <c r="AF672" s="230" t="e">
        <f>T672-HLOOKUP(V672,Minimas!$C$3:$CD$12,6,FALSE)</f>
        <v>#N/A</v>
      </c>
      <c r="AG672" s="230" t="e">
        <f>T672-HLOOKUP(V672,Minimas!$C$3:$CD$12,7,FALSE)</f>
        <v>#N/A</v>
      </c>
      <c r="AH672" s="230" t="e">
        <f>T672-HLOOKUP(V672,Minimas!$C$3:$CD$12,8,FALSE)</f>
        <v>#N/A</v>
      </c>
      <c r="AI672" s="230" t="e">
        <f>T672-HLOOKUP(V672,Minimas!$C$3:$CD$12,9,FALSE)</f>
        <v>#N/A</v>
      </c>
      <c r="AJ672" s="230" t="e">
        <f>T672-HLOOKUP(V672,Minimas!$C$3:$CD$12,10,FALSE)</f>
        <v>#N/A</v>
      </c>
      <c r="AK672" s="231" t="str">
        <f t="shared" si="108"/>
        <v xml:space="preserve"> </v>
      </c>
      <c r="AL672" s="232"/>
      <c r="AM672" s="232" t="str">
        <f t="shared" si="109"/>
        <v xml:space="preserve"> </v>
      </c>
      <c r="AN672" s="232" t="str">
        <f t="shared" si="110"/>
        <v xml:space="preserve"> </v>
      </c>
    </row>
    <row r="673" spans="28:40" x14ac:dyDescent="0.25">
      <c r="AB673" s="230" t="e">
        <f>T673-HLOOKUP(V673,Minimas!$C$3:$CD$12,2,FALSE)</f>
        <v>#N/A</v>
      </c>
      <c r="AC673" s="230" t="e">
        <f>T673-HLOOKUP(V673,Minimas!$C$3:$CD$12,3,FALSE)</f>
        <v>#N/A</v>
      </c>
      <c r="AD673" s="230" t="e">
        <f>T673-HLOOKUP(V673,Minimas!$C$3:$CD$12,4,FALSE)</f>
        <v>#N/A</v>
      </c>
      <c r="AE673" s="230" t="e">
        <f>T673-HLOOKUP(V673,Minimas!$C$3:$CD$12,5,FALSE)</f>
        <v>#N/A</v>
      </c>
      <c r="AF673" s="230" t="e">
        <f>T673-HLOOKUP(V673,Minimas!$C$3:$CD$12,6,FALSE)</f>
        <v>#N/A</v>
      </c>
      <c r="AG673" s="230" t="e">
        <f>T673-HLOOKUP(V673,Minimas!$C$3:$CD$12,7,FALSE)</f>
        <v>#N/A</v>
      </c>
      <c r="AH673" s="230" t="e">
        <f>T673-HLOOKUP(V673,Minimas!$C$3:$CD$12,8,FALSE)</f>
        <v>#N/A</v>
      </c>
      <c r="AI673" s="230" t="e">
        <f>T673-HLOOKUP(V673,Minimas!$C$3:$CD$12,9,FALSE)</f>
        <v>#N/A</v>
      </c>
      <c r="AJ673" s="230" t="e">
        <f>T673-HLOOKUP(V673,Minimas!$C$3:$CD$12,10,FALSE)</f>
        <v>#N/A</v>
      </c>
      <c r="AK673" s="231" t="str">
        <f t="shared" si="108"/>
        <v xml:space="preserve"> </v>
      </c>
      <c r="AL673" s="232"/>
      <c r="AM673" s="232" t="str">
        <f t="shared" si="109"/>
        <v xml:space="preserve"> </v>
      </c>
      <c r="AN673" s="232" t="str">
        <f t="shared" si="110"/>
        <v xml:space="preserve"> </v>
      </c>
    </row>
    <row r="674" spans="28:40" x14ac:dyDescent="0.25">
      <c r="AB674" s="230" t="e">
        <f>T674-HLOOKUP(V674,Minimas!$C$3:$CD$12,2,FALSE)</f>
        <v>#N/A</v>
      </c>
      <c r="AC674" s="230" t="e">
        <f>T674-HLOOKUP(V674,Minimas!$C$3:$CD$12,3,FALSE)</f>
        <v>#N/A</v>
      </c>
      <c r="AD674" s="230" t="e">
        <f>T674-HLOOKUP(V674,Minimas!$C$3:$CD$12,4,FALSE)</f>
        <v>#N/A</v>
      </c>
      <c r="AE674" s="230" t="e">
        <f>T674-HLOOKUP(V674,Minimas!$C$3:$CD$12,5,FALSE)</f>
        <v>#N/A</v>
      </c>
      <c r="AF674" s="230" t="e">
        <f>T674-HLOOKUP(V674,Minimas!$C$3:$CD$12,6,FALSE)</f>
        <v>#N/A</v>
      </c>
      <c r="AG674" s="230" t="e">
        <f>T674-HLOOKUP(V674,Minimas!$C$3:$CD$12,7,FALSE)</f>
        <v>#N/A</v>
      </c>
      <c r="AH674" s="230" t="e">
        <f>T674-HLOOKUP(V674,Minimas!$C$3:$CD$12,8,FALSE)</f>
        <v>#N/A</v>
      </c>
      <c r="AI674" s="230" t="e">
        <f>T674-HLOOKUP(V674,Minimas!$C$3:$CD$12,9,FALSE)</f>
        <v>#N/A</v>
      </c>
      <c r="AJ674" s="230" t="e">
        <f>T674-HLOOKUP(V674,Minimas!$C$3:$CD$12,10,FALSE)</f>
        <v>#N/A</v>
      </c>
      <c r="AK674" s="231" t="str">
        <f t="shared" si="108"/>
        <v xml:space="preserve"> </v>
      </c>
      <c r="AL674" s="232"/>
      <c r="AM674" s="232" t="str">
        <f t="shared" si="109"/>
        <v xml:space="preserve"> </v>
      </c>
      <c r="AN674" s="232" t="str">
        <f t="shared" si="110"/>
        <v xml:space="preserve"> </v>
      </c>
    </row>
    <row r="675" spans="28:40" x14ac:dyDescent="0.25">
      <c r="AB675" s="230" t="e">
        <f>T675-HLOOKUP(V675,Minimas!$C$3:$CD$12,2,FALSE)</f>
        <v>#N/A</v>
      </c>
      <c r="AC675" s="230" t="e">
        <f>T675-HLOOKUP(V675,Minimas!$C$3:$CD$12,3,FALSE)</f>
        <v>#N/A</v>
      </c>
      <c r="AD675" s="230" t="e">
        <f>T675-HLOOKUP(V675,Minimas!$C$3:$CD$12,4,FALSE)</f>
        <v>#N/A</v>
      </c>
      <c r="AE675" s="230" t="e">
        <f>T675-HLOOKUP(V675,Minimas!$C$3:$CD$12,5,FALSE)</f>
        <v>#N/A</v>
      </c>
      <c r="AF675" s="230" t="e">
        <f>T675-HLOOKUP(V675,Minimas!$C$3:$CD$12,6,FALSE)</f>
        <v>#N/A</v>
      </c>
      <c r="AG675" s="230" t="e">
        <f>T675-HLOOKUP(V675,Minimas!$C$3:$CD$12,7,FALSE)</f>
        <v>#N/A</v>
      </c>
      <c r="AH675" s="230" t="e">
        <f>T675-HLOOKUP(V675,Minimas!$C$3:$CD$12,8,FALSE)</f>
        <v>#N/A</v>
      </c>
      <c r="AI675" s="230" t="e">
        <f>T675-HLOOKUP(V675,Minimas!$C$3:$CD$12,9,FALSE)</f>
        <v>#N/A</v>
      </c>
      <c r="AJ675" s="230" t="e">
        <f>T675-HLOOKUP(V675,Minimas!$C$3:$CD$12,10,FALSE)</f>
        <v>#N/A</v>
      </c>
      <c r="AK675" s="231" t="str">
        <f t="shared" si="108"/>
        <v xml:space="preserve"> </v>
      </c>
      <c r="AL675" s="232"/>
      <c r="AM675" s="232" t="str">
        <f t="shared" si="109"/>
        <v xml:space="preserve"> </v>
      </c>
      <c r="AN675" s="232" t="str">
        <f t="shared" si="110"/>
        <v xml:space="preserve"> </v>
      </c>
    </row>
    <row r="676" spans="28:40" x14ac:dyDescent="0.25">
      <c r="AB676" s="230" t="e">
        <f>T676-HLOOKUP(V676,Minimas!$C$3:$CD$12,2,FALSE)</f>
        <v>#N/A</v>
      </c>
      <c r="AC676" s="230" t="e">
        <f>T676-HLOOKUP(V676,Minimas!$C$3:$CD$12,3,FALSE)</f>
        <v>#N/A</v>
      </c>
      <c r="AD676" s="230" t="e">
        <f>T676-HLOOKUP(V676,Minimas!$C$3:$CD$12,4,FALSE)</f>
        <v>#N/A</v>
      </c>
      <c r="AE676" s="230" t="e">
        <f>T676-HLOOKUP(V676,Minimas!$C$3:$CD$12,5,FALSE)</f>
        <v>#N/A</v>
      </c>
      <c r="AF676" s="230" t="e">
        <f>T676-HLOOKUP(V676,Minimas!$C$3:$CD$12,6,FALSE)</f>
        <v>#N/A</v>
      </c>
      <c r="AG676" s="230" t="e">
        <f>T676-HLOOKUP(V676,Minimas!$C$3:$CD$12,7,FALSE)</f>
        <v>#N/A</v>
      </c>
      <c r="AH676" s="230" t="e">
        <f>T676-HLOOKUP(V676,Minimas!$C$3:$CD$12,8,FALSE)</f>
        <v>#N/A</v>
      </c>
      <c r="AI676" s="230" t="e">
        <f>T676-HLOOKUP(V676,Minimas!$C$3:$CD$12,9,FALSE)</f>
        <v>#N/A</v>
      </c>
      <c r="AJ676" s="230" t="e">
        <f>T676-HLOOKUP(V676,Minimas!$C$3:$CD$12,10,FALSE)</f>
        <v>#N/A</v>
      </c>
      <c r="AK676" s="231" t="str">
        <f t="shared" si="108"/>
        <v xml:space="preserve"> </v>
      </c>
      <c r="AL676" s="232"/>
      <c r="AM676" s="232" t="str">
        <f t="shared" si="109"/>
        <v xml:space="preserve"> </v>
      </c>
      <c r="AN676" s="232" t="str">
        <f t="shared" si="110"/>
        <v xml:space="preserve"> </v>
      </c>
    </row>
    <row r="677" spans="28:40" x14ac:dyDescent="0.25">
      <c r="AB677" s="230" t="e">
        <f>T677-HLOOKUP(V677,Minimas!$C$3:$CD$12,2,FALSE)</f>
        <v>#N/A</v>
      </c>
      <c r="AC677" s="230" t="e">
        <f>T677-HLOOKUP(V677,Minimas!$C$3:$CD$12,3,FALSE)</f>
        <v>#N/A</v>
      </c>
      <c r="AD677" s="230" t="e">
        <f>T677-HLOOKUP(V677,Minimas!$C$3:$CD$12,4,FALSE)</f>
        <v>#N/A</v>
      </c>
      <c r="AE677" s="230" t="e">
        <f>T677-HLOOKUP(V677,Minimas!$C$3:$CD$12,5,FALSE)</f>
        <v>#N/A</v>
      </c>
      <c r="AF677" s="230" t="e">
        <f>T677-HLOOKUP(V677,Minimas!$C$3:$CD$12,6,FALSE)</f>
        <v>#N/A</v>
      </c>
      <c r="AG677" s="230" t="e">
        <f>T677-HLOOKUP(V677,Minimas!$C$3:$CD$12,7,FALSE)</f>
        <v>#N/A</v>
      </c>
      <c r="AH677" s="230" t="e">
        <f>T677-HLOOKUP(V677,Minimas!$C$3:$CD$12,8,FALSE)</f>
        <v>#N/A</v>
      </c>
      <c r="AI677" s="230" t="e">
        <f>T677-HLOOKUP(V677,Minimas!$C$3:$CD$12,9,FALSE)</f>
        <v>#N/A</v>
      </c>
      <c r="AJ677" s="230" t="e">
        <f>T677-HLOOKUP(V677,Minimas!$C$3:$CD$12,10,FALSE)</f>
        <v>#N/A</v>
      </c>
      <c r="AK677" s="231" t="str">
        <f t="shared" si="108"/>
        <v xml:space="preserve"> </v>
      </c>
      <c r="AL677" s="232"/>
      <c r="AM677" s="232" t="str">
        <f t="shared" si="109"/>
        <v xml:space="preserve"> </v>
      </c>
      <c r="AN677" s="232" t="str">
        <f t="shared" si="110"/>
        <v xml:space="preserve"> </v>
      </c>
    </row>
    <row r="678" spans="28:40" x14ac:dyDescent="0.25">
      <c r="AB678" s="230" t="e">
        <f>T678-HLOOKUP(V678,Minimas!$C$3:$CD$12,2,FALSE)</f>
        <v>#N/A</v>
      </c>
      <c r="AC678" s="230" t="e">
        <f>T678-HLOOKUP(V678,Minimas!$C$3:$CD$12,3,FALSE)</f>
        <v>#N/A</v>
      </c>
      <c r="AD678" s="230" t="e">
        <f>T678-HLOOKUP(V678,Minimas!$C$3:$CD$12,4,FALSE)</f>
        <v>#N/A</v>
      </c>
      <c r="AE678" s="230" t="e">
        <f>T678-HLOOKUP(V678,Minimas!$C$3:$CD$12,5,FALSE)</f>
        <v>#N/A</v>
      </c>
      <c r="AF678" s="230" t="e">
        <f>T678-HLOOKUP(V678,Minimas!$C$3:$CD$12,6,FALSE)</f>
        <v>#N/A</v>
      </c>
      <c r="AG678" s="230" t="e">
        <f>T678-HLOOKUP(V678,Minimas!$C$3:$CD$12,7,FALSE)</f>
        <v>#N/A</v>
      </c>
      <c r="AH678" s="230" t="e">
        <f>T678-HLOOKUP(V678,Minimas!$C$3:$CD$12,8,FALSE)</f>
        <v>#N/A</v>
      </c>
      <c r="AI678" s="230" t="e">
        <f>T678-HLOOKUP(V678,Minimas!$C$3:$CD$12,9,FALSE)</f>
        <v>#N/A</v>
      </c>
      <c r="AJ678" s="230" t="e">
        <f>T678-HLOOKUP(V678,Minimas!$C$3:$CD$12,10,FALSE)</f>
        <v>#N/A</v>
      </c>
      <c r="AK678" s="231" t="str">
        <f t="shared" si="108"/>
        <v xml:space="preserve"> </v>
      </c>
      <c r="AL678" s="232"/>
      <c r="AM678" s="232" t="str">
        <f t="shared" si="109"/>
        <v xml:space="preserve"> </v>
      </c>
      <c r="AN678" s="232" t="str">
        <f t="shared" si="110"/>
        <v xml:space="preserve"> </v>
      </c>
    </row>
    <row r="679" spans="28:40" x14ac:dyDescent="0.25">
      <c r="AB679" s="230" t="e">
        <f>T679-HLOOKUP(V679,Minimas!$C$3:$CD$12,2,FALSE)</f>
        <v>#N/A</v>
      </c>
      <c r="AC679" s="230" t="e">
        <f>T679-HLOOKUP(V679,Minimas!$C$3:$CD$12,3,FALSE)</f>
        <v>#N/A</v>
      </c>
      <c r="AD679" s="230" t="e">
        <f>T679-HLOOKUP(V679,Minimas!$C$3:$CD$12,4,FALSE)</f>
        <v>#N/A</v>
      </c>
      <c r="AE679" s="230" t="e">
        <f>T679-HLOOKUP(V679,Minimas!$C$3:$CD$12,5,FALSE)</f>
        <v>#N/A</v>
      </c>
      <c r="AF679" s="230" t="e">
        <f>T679-HLOOKUP(V679,Minimas!$C$3:$CD$12,6,FALSE)</f>
        <v>#N/A</v>
      </c>
      <c r="AG679" s="230" t="e">
        <f>T679-HLOOKUP(V679,Minimas!$C$3:$CD$12,7,FALSE)</f>
        <v>#N/A</v>
      </c>
      <c r="AH679" s="230" t="e">
        <f>T679-HLOOKUP(V679,Minimas!$C$3:$CD$12,8,FALSE)</f>
        <v>#N/A</v>
      </c>
      <c r="AI679" s="230" t="e">
        <f>T679-HLOOKUP(V679,Minimas!$C$3:$CD$12,9,FALSE)</f>
        <v>#N/A</v>
      </c>
      <c r="AJ679" s="230" t="e">
        <f>T679-HLOOKUP(V679,Minimas!$C$3:$CD$12,10,FALSE)</f>
        <v>#N/A</v>
      </c>
      <c r="AK679" s="231" t="str">
        <f t="shared" si="108"/>
        <v xml:space="preserve"> </v>
      </c>
      <c r="AL679" s="232"/>
      <c r="AM679" s="232" t="str">
        <f t="shared" si="109"/>
        <v xml:space="preserve"> </v>
      </c>
      <c r="AN679" s="232" t="str">
        <f t="shared" si="110"/>
        <v xml:space="preserve"> </v>
      </c>
    </row>
    <row r="680" spans="28:40" x14ac:dyDescent="0.25">
      <c r="AB680" s="230" t="e">
        <f>T680-HLOOKUP(V680,Minimas!$C$3:$CD$12,2,FALSE)</f>
        <v>#N/A</v>
      </c>
      <c r="AC680" s="230" t="e">
        <f>T680-HLOOKUP(V680,Minimas!$C$3:$CD$12,3,FALSE)</f>
        <v>#N/A</v>
      </c>
      <c r="AD680" s="230" t="e">
        <f>T680-HLOOKUP(V680,Minimas!$C$3:$CD$12,4,FALSE)</f>
        <v>#N/A</v>
      </c>
      <c r="AE680" s="230" t="e">
        <f>T680-HLOOKUP(V680,Minimas!$C$3:$CD$12,5,FALSE)</f>
        <v>#N/A</v>
      </c>
      <c r="AF680" s="230" t="e">
        <f>T680-HLOOKUP(V680,Minimas!$C$3:$CD$12,6,FALSE)</f>
        <v>#N/A</v>
      </c>
      <c r="AG680" s="230" t="e">
        <f>T680-HLOOKUP(V680,Minimas!$C$3:$CD$12,7,FALSE)</f>
        <v>#N/A</v>
      </c>
      <c r="AH680" s="230" t="e">
        <f>T680-HLOOKUP(V680,Minimas!$C$3:$CD$12,8,FALSE)</f>
        <v>#N/A</v>
      </c>
      <c r="AI680" s="230" t="e">
        <f>T680-HLOOKUP(V680,Minimas!$C$3:$CD$12,9,FALSE)</f>
        <v>#N/A</v>
      </c>
      <c r="AJ680" s="230" t="e">
        <f>T680-HLOOKUP(V680,Minimas!$C$3:$CD$12,10,FALSE)</f>
        <v>#N/A</v>
      </c>
      <c r="AK680" s="231" t="str">
        <f t="shared" si="108"/>
        <v xml:space="preserve"> </v>
      </c>
      <c r="AL680" s="232"/>
      <c r="AM680" s="232" t="str">
        <f t="shared" si="109"/>
        <v xml:space="preserve"> </v>
      </c>
      <c r="AN680" s="232" t="str">
        <f t="shared" si="110"/>
        <v xml:space="preserve"> </v>
      </c>
    </row>
    <row r="681" spans="28:40" x14ac:dyDescent="0.25">
      <c r="AB681" s="230" t="e">
        <f>T681-HLOOKUP(V681,Minimas!$C$3:$CD$12,2,FALSE)</f>
        <v>#N/A</v>
      </c>
      <c r="AC681" s="230" t="e">
        <f>T681-HLOOKUP(V681,Minimas!$C$3:$CD$12,3,FALSE)</f>
        <v>#N/A</v>
      </c>
      <c r="AD681" s="230" t="e">
        <f>T681-HLOOKUP(V681,Minimas!$C$3:$CD$12,4,FALSE)</f>
        <v>#N/A</v>
      </c>
      <c r="AE681" s="230" t="e">
        <f>T681-HLOOKUP(V681,Minimas!$C$3:$CD$12,5,FALSE)</f>
        <v>#N/A</v>
      </c>
      <c r="AF681" s="230" t="e">
        <f>T681-HLOOKUP(V681,Minimas!$C$3:$CD$12,6,FALSE)</f>
        <v>#N/A</v>
      </c>
      <c r="AG681" s="230" t="e">
        <f>T681-HLOOKUP(V681,Minimas!$C$3:$CD$12,7,FALSE)</f>
        <v>#N/A</v>
      </c>
      <c r="AH681" s="230" t="e">
        <f>T681-HLOOKUP(V681,Minimas!$C$3:$CD$12,8,FALSE)</f>
        <v>#N/A</v>
      </c>
      <c r="AI681" s="230" t="e">
        <f>T681-HLOOKUP(V681,Minimas!$C$3:$CD$12,9,FALSE)</f>
        <v>#N/A</v>
      </c>
      <c r="AJ681" s="230" t="e">
        <f>T681-HLOOKUP(V681,Minimas!$C$3:$CD$12,10,FALSE)</f>
        <v>#N/A</v>
      </c>
      <c r="AK681" s="231" t="str">
        <f t="shared" si="108"/>
        <v xml:space="preserve"> </v>
      </c>
      <c r="AL681" s="232"/>
      <c r="AM681" s="232" t="str">
        <f t="shared" si="109"/>
        <v xml:space="preserve"> </v>
      </c>
      <c r="AN681" s="232" t="str">
        <f t="shared" si="110"/>
        <v xml:space="preserve"> </v>
      </c>
    </row>
    <row r="682" spans="28:40" x14ac:dyDescent="0.25">
      <c r="AB682" s="230" t="e">
        <f>T682-HLOOKUP(V682,Minimas!$C$3:$CD$12,2,FALSE)</f>
        <v>#N/A</v>
      </c>
      <c r="AC682" s="230" t="e">
        <f>T682-HLOOKUP(V682,Minimas!$C$3:$CD$12,3,FALSE)</f>
        <v>#N/A</v>
      </c>
      <c r="AD682" s="230" t="e">
        <f>T682-HLOOKUP(V682,Minimas!$C$3:$CD$12,4,FALSE)</f>
        <v>#N/A</v>
      </c>
      <c r="AE682" s="230" t="e">
        <f>T682-HLOOKUP(V682,Minimas!$C$3:$CD$12,5,FALSE)</f>
        <v>#N/A</v>
      </c>
      <c r="AF682" s="230" t="e">
        <f>T682-HLOOKUP(V682,Minimas!$C$3:$CD$12,6,FALSE)</f>
        <v>#N/A</v>
      </c>
      <c r="AG682" s="230" t="e">
        <f>T682-HLOOKUP(V682,Minimas!$C$3:$CD$12,7,FALSE)</f>
        <v>#N/A</v>
      </c>
      <c r="AH682" s="230" t="e">
        <f>T682-HLOOKUP(V682,Minimas!$C$3:$CD$12,8,FALSE)</f>
        <v>#N/A</v>
      </c>
      <c r="AI682" s="230" t="e">
        <f>T682-HLOOKUP(V682,Minimas!$C$3:$CD$12,9,FALSE)</f>
        <v>#N/A</v>
      </c>
      <c r="AJ682" s="230" t="e">
        <f>T682-HLOOKUP(V682,Minimas!$C$3:$CD$12,10,FALSE)</f>
        <v>#N/A</v>
      </c>
      <c r="AK682" s="231" t="str">
        <f t="shared" si="108"/>
        <v xml:space="preserve"> </v>
      </c>
      <c r="AL682" s="232"/>
      <c r="AM682" s="232" t="str">
        <f t="shared" si="109"/>
        <v xml:space="preserve"> </v>
      </c>
      <c r="AN682" s="232" t="str">
        <f t="shared" si="110"/>
        <v xml:space="preserve"> </v>
      </c>
    </row>
    <row r="683" spans="28:40" x14ac:dyDescent="0.25">
      <c r="AB683" s="230" t="e">
        <f>T683-HLOOKUP(V683,Minimas!$C$3:$CD$12,2,FALSE)</f>
        <v>#N/A</v>
      </c>
      <c r="AC683" s="230" t="e">
        <f>T683-HLOOKUP(V683,Minimas!$C$3:$CD$12,3,FALSE)</f>
        <v>#N/A</v>
      </c>
      <c r="AD683" s="230" t="e">
        <f>T683-HLOOKUP(V683,Minimas!$C$3:$CD$12,4,FALSE)</f>
        <v>#N/A</v>
      </c>
      <c r="AE683" s="230" t="e">
        <f>T683-HLOOKUP(V683,Minimas!$C$3:$CD$12,5,FALSE)</f>
        <v>#N/A</v>
      </c>
      <c r="AF683" s="230" t="e">
        <f>T683-HLOOKUP(V683,Minimas!$C$3:$CD$12,6,FALSE)</f>
        <v>#N/A</v>
      </c>
      <c r="AG683" s="230" t="e">
        <f>T683-HLOOKUP(V683,Minimas!$C$3:$CD$12,7,FALSE)</f>
        <v>#N/A</v>
      </c>
      <c r="AH683" s="230" t="e">
        <f>T683-HLOOKUP(V683,Minimas!$C$3:$CD$12,8,FALSE)</f>
        <v>#N/A</v>
      </c>
      <c r="AI683" s="230" t="e">
        <f>T683-HLOOKUP(V683,Minimas!$C$3:$CD$12,9,FALSE)</f>
        <v>#N/A</v>
      </c>
      <c r="AJ683" s="230" t="e">
        <f>T683-HLOOKUP(V683,Minimas!$C$3:$CD$12,10,FALSE)</f>
        <v>#N/A</v>
      </c>
      <c r="AK683" s="231" t="str">
        <f t="shared" si="108"/>
        <v xml:space="preserve"> </v>
      </c>
      <c r="AL683" s="232"/>
      <c r="AM683" s="232" t="str">
        <f t="shared" si="109"/>
        <v xml:space="preserve"> </v>
      </c>
      <c r="AN683" s="232" t="str">
        <f t="shared" si="110"/>
        <v xml:space="preserve"> </v>
      </c>
    </row>
    <row r="684" spans="28:40" x14ac:dyDescent="0.25">
      <c r="AB684" s="230" t="e">
        <f>T684-HLOOKUP(V684,Minimas!$C$3:$CD$12,2,FALSE)</f>
        <v>#N/A</v>
      </c>
      <c r="AC684" s="230" t="e">
        <f>T684-HLOOKUP(V684,Minimas!$C$3:$CD$12,3,FALSE)</f>
        <v>#N/A</v>
      </c>
      <c r="AD684" s="230" t="e">
        <f>T684-HLOOKUP(V684,Minimas!$C$3:$CD$12,4,FALSE)</f>
        <v>#N/A</v>
      </c>
      <c r="AE684" s="230" t="e">
        <f>T684-HLOOKUP(V684,Minimas!$C$3:$CD$12,5,FALSE)</f>
        <v>#N/A</v>
      </c>
      <c r="AF684" s="230" t="e">
        <f>T684-HLOOKUP(V684,Minimas!$C$3:$CD$12,6,FALSE)</f>
        <v>#N/A</v>
      </c>
      <c r="AG684" s="230" t="e">
        <f>T684-HLOOKUP(V684,Minimas!$C$3:$CD$12,7,FALSE)</f>
        <v>#N/A</v>
      </c>
      <c r="AH684" s="230" t="e">
        <f>T684-HLOOKUP(V684,Minimas!$C$3:$CD$12,8,FALSE)</f>
        <v>#N/A</v>
      </c>
      <c r="AI684" s="230" t="e">
        <f>T684-HLOOKUP(V684,Minimas!$C$3:$CD$12,9,FALSE)</f>
        <v>#N/A</v>
      </c>
      <c r="AJ684" s="230" t="e">
        <f>T684-HLOOKUP(V684,Minimas!$C$3:$CD$12,10,FALSE)</f>
        <v>#N/A</v>
      </c>
      <c r="AK684" s="231" t="str">
        <f t="shared" si="108"/>
        <v xml:space="preserve"> </v>
      </c>
      <c r="AL684" s="232"/>
      <c r="AM684" s="232" t="str">
        <f t="shared" si="109"/>
        <v xml:space="preserve"> </v>
      </c>
      <c r="AN684" s="232" t="str">
        <f t="shared" si="110"/>
        <v xml:space="preserve"> </v>
      </c>
    </row>
    <row r="685" spans="28:40" x14ac:dyDescent="0.25">
      <c r="AB685" s="230" t="e">
        <f>T685-HLOOKUP(V685,Minimas!$C$3:$CD$12,2,FALSE)</f>
        <v>#N/A</v>
      </c>
      <c r="AC685" s="230" t="e">
        <f>T685-HLOOKUP(V685,Minimas!$C$3:$CD$12,3,FALSE)</f>
        <v>#N/A</v>
      </c>
      <c r="AD685" s="230" t="e">
        <f>T685-HLOOKUP(V685,Minimas!$C$3:$CD$12,4,FALSE)</f>
        <v>#N/A</v>
      </c>
      <c r="AE685" s="230" t="e">
        <f>T685-HLOOKUP(V685,Minimas!$C$3:$CD$12,5,FALSE)</f>
        <v>#N/A</v>
      </c>
      <c r="AF685" s="230" t="e">
        <f>T685-HLOOKUP(V685,Minimas!$C$3:$CD$12,6,FALSE)</f>
        <v>#N/A</v>
      </c>
      <c r="AG685" s="230" t="e">
        <f>T685-HLOOKUP(V685,Minimas!$C$3:$CD$12,7,FALSE)</f>
        <v>#N/A</v>
      </c>
      <c r="AH685" s="230" t="e">
        <f>T685-HLOOKUP(V685,Minimas!$C$3:$CD$12,8,FALSE)</f>
        <v>#N/A</v>
      </c>
      <c r="AI685" s="230" t="e">
        <f>T685-HLOOKUP(V685,Minimas!$C$3:$CD$12,9,FALSE)</f>
        <v>#N/A</v>
      </c>
      <c r="AJ685" s="230" t="e">
        <f>T685-HLOOKUP(V685,Minimas!$C$3:$CD$12,10,FALSE)</f>
        <v>#N/A</v>
      </c>
      <c r="AK685" s="231" t="str">
        <f t="shared" si="108"/>
        <v xml:space="preserve"> </v>
      </c>
      <c r="AL685" s="232"/>
      <c r="AM685" s="232" t="str">
        <f t="shared" si="109"/>
        <v xml:space="preserve"> </v>
      </c>
      <c r="AN685" s="232" t="str">
        <f t="shared" si="110"/>
        <v xml:space="preserve"> </v>
      </c>
    </row>
    <row r="686" spans="28:40" x14ac:dyDescent="0.25">
      <c r="AB686" s="230" t="e">
        <f>T686-HLOOKUP(V686,Minimas!$C$3:$CD$12,2,FALSE)</f>
        <v>#N/A</v>
      </c>
      <c r="AC686" s="230" t="e">
        <f>T686-HLOOKUP(V686,Minimas!$C$3:$CD$12,3,FALSE)</f>
        <v>#N/A</v>
      </c>
      <c r="AD686" s="230" t="e">
        <f>T686-HLOOKUP(V686,Minimas!$C$3:$CD$12,4,FALSE)</f>
        <v>#N/A</v>
      </c>
      <c r="AE686" s="230" t="e">
        <f>T686-HLOOKUP(V686,Minimas!$C$3:$CD$12,5,FALSE)</f>
        <v>#N/A</v>
      </c>
      <c r="AF686" s="230" t="e">
        <f>T686-HLOOKUP(V686,Minimas!$C$3:$CD$12,6,FALSE)</f>
        <v>#N/A</v>
      </c>
      <c r="AG686" s="230" t="e">
        <f>T686-HLOOKUP(V686,Minimas!$C$3:$CD$12,7,FALSE)</f>
        <v>#N/A</v>
      </c>
      <c r="AH686" s="230" t="e">
        <f>T686-HLOOKUP(V686,Minimas!$C$3:$CD$12,8,FALSE)</f>
        <v>#N/A</v>
      </c>
      <c r="AI686" s="230" t="e">
        <f>T686-HLOOKUP(V686,Minimas!$C$3:$CD$12,9,FALSE)</f>
        <v>#N/A</v>
      </c>
      <c r="AJ686" s="230" t="e">
        <f>T686-HLOOKUP(V686,Minimas!$C$3:$CD$12,10,FALSE)</f>
        <v>#N/A</v>
      </c>
      <c r="AK686" s="231" t="str">
        <f t="shared" si="108"/>
        <v xml:space="preserve"> </v>
      </c>
      <c r="AL686" s="232"/>
      <c r="AM686" s="232" t="str">
        <f t="shared" si="109"/>
        <v xml:space="preserve"> </v>
      </c>
      <c r="AN686" s="232" t="str">
        <f t="shared" si="110"/>
        <v xml:space="preserve"> </v>
      </c>
    </row>
    <row r="687" spans="28:40" x14ac:dyDescent="0.25">
      <c r="AB687" s="230" t="e">
        <f>T687-HLOOKUP(V687,Minimas!$C$3:$CD$12,2,FALSE)</f>
        <v>#N/A</v>
      </c>
      <c r="AC687" s="230" t="e">
        <f>T687-HLOOKUP(V687,Minimas!$C$3:$CD$12,3,FALSE)</f>
        <v>#N/A</v>
      </c>
      <c r="AD687" s="230" t="e">
        <f>T687-HLOOKUP(V687,Minimas!$C$3:$CD$12,4,FALSE)</f>
        <v>#N/A</v>
      </c>
      <c r="AE687" s="230" t="e">
        <f>T687-HLOOKUP(V687,Minimas!$C$3:$CD$12,5,FALSE)</f>
        <v>#N/A</v>
      </c>
      <c r="AF687" s="230" t="e">
        <f>T687-HLOOKUP(V687,Minimas!$C$3:$CD$12,6,FALSE)</f>
        <v>#N/A</v>
      </c>
      <c r="AG687" s="230" t="e">
        <f>T687-HLOOKUP(V687,Minimas!$C$3:$CD$12,7,FALSE)</f>
        <v>#N/A</v>
      </c>
      <c r="AH687" s="230" t="e">
        <f>T687-HLOOKUP(V687,Minimas!$C$3:$CD$12,8,FALSE)</f>
        <v>#N/A</v>
      </c>
      <c r="AI687" s="230" t="e">
        <f>T687-HLOOKUP(V687,Minimas!$C$3:$CD$12,9,FALSE)</f>
        <v>#N/A</v>
      </c>
      <c r="AJ687" s="230" t="e">
        <f>T687-HLOOKUP(V687,Minimas!$C$3:$CD$12,10,FALSE)</f>
        <v>#N/A</v>
      </c>
      <c r="AK687" s="231" t="str">
        <f t="shared" si="108"/>
        <v xml:space="preserve"> </v>
      </c>
      <c r="AL687" s="232"/>
      <c r="AM687" s="232" t="str">
        <f t="shared" si="109"/>
        <v xml:space="preserve"> </v>
      </c>
      <c r="AN687" s="232" t="str">
        <f t="shared" si="110"/>
        <v xml:space="preserve"> </v>
      </c>
    </row>
    <row r="688" spans="28:40" x14ac:dyDescent="0.25">
      <c r="AB688" s="230" t="e">
        <f>T688-HLOOKUP(V688,Minimas!$C$3:$CD$12,2,FALSE)</f>
        <v>#N/A</v>
      </c>
      <c r="AC688" s="230" t="e">
        <f>T688-HLOOKUP(V688,Minimas!$C$3:$CD$12,3,FALSE)</f>
        <v>#N/A</v>
      </c>
      <c r="AD688" s="230" t="e">
        <f>T688-HLOOKUP(V688,Minimas!$C$3:$CD$12,4,FALSE)</f>
        <v>#N/A</v>
      </c>
      <c r="AE688" s="230" t="e">
        <f>T688-HLOOKUP(V688,Minimas!$C$3:$CD$12,5,FALSE)</f>
        <v>#N/A</v>
      </c>
      <c r="AF688" s="230" t="e">
        <f>T688-HLOOKUP(V688,Minimas!$C$3:$CD$12,6,FALSE)</f>
        <v>#N/A</v>
      </c>
      <c r="AG688" s="230" t="e">
        <f>T688-HLOOKUP(V688,Minimas!$C$3:$CD$12,7,FALSE)</f>
        <v>#N/A</v>
      </c>
      <c r="AH688" s="230" t="e">
        <f>T688-HLOOKUP(V688,Minimas!$C$3:$CD$12,8,FALSE)</f>
        <v>#N/A</v>
      </c>
      <c r="AI688" s="230" t="e">
        <f>T688-HLOOKUP(V688,Minimas!$C$3:$CD$12,9,FALSE)</f>
        <v>#N/A</v>
      </c>
      <c r="AJ688" s="230" t="e">
        <f>T688-HLOOKUP(V688,Minimas!$C$3:$CD$12,10,FALSE)</f>
        <v>#N/A</v>
      </c>
      <c r="AK688" s="231" t="str">
        <f t="shared" si="108"/>
        <v xml:space="preserve"> </v>
      </c>
      <c r="AL688" s="232"/>
      <c r="AM688" s="232" t="str">
        <f t="shared" si="109"/>
        <v xml:space="preserve"> </v>
      </c>
      <c r="AN688" s="232" t="str">
        <f t="shared" si="110"/>
        <v xml:space="preserve"> </v>
      </c>
    </row>
    <row r="689" spans="28:40" x14ac:dyDescent="0.25">
      <c r="AB689" s="230" t="e">
        <f>T689-HLOOKUP(V689,Minimas!$C$3:$CD$12,2,FALSE)</f>
        <v>#N/A</v>
      </c>
      <c r="AC689" s="230" t="e">
        <f>T689-HLOOKUP(V689,Minimas!$C$3:$CD$12,3,FALSE)</f>
        <v>#N/A</v>
      </c>
      <c r="AD689" s="230" t="e">
        <f>T689-HLOOKUP(V689,Minimas!$C$3:$CD$12,4,FALSE)</f>
        <v>#N/A</v>
      </c>
      <c r="AE689" s="230" t="e">
        <f>T689-HLOOKUP(V689,Minimas!$C$3:$CD$12,5,FALSE)</f>
        <v>#N/A</v>
      </c>
      <c r="AF689" s="230" t="e">
        <f>T689-HLOOKUP(V689,Minimas!$C$3:$CD$12,6,FALSE)</f>
        <v>#N/A</v>
      </c>
      <c r="AG689" s="230" t="e">
        <f>T689-HLOOKUP(V689,Minimas!$C$3:$CD$12,7,FALSE)</f>
        <v>#N/A</v>
      </c>
      <c r="AH689" s="230" t="e">
        <f>T689-HLOOKUP(V689,Minimas!$C$3:$CD$12,8,FALSE)</f>
        <v>#N/A</v>
      </c>
      <c r="AI689" s="230" t="e">
        <f>T689-HLOOKUP(V689,Minimas!$C$3:$CD$12,9,FALSE)</f>
        <v>#N/A</v>
      </c>
      <c r="AJ689" s="230" t="e">
        <f>T689-HLOOKUP(V689,Minimas!$C$3:$CD$12,10,FALSE)</f>
        <v>#N/A</v>
      </c>
      <c r="AK689" s="231" t="str">
        <f t="shared" si="108"/>
        <v xml:space="preserve"> </v>
      </c>
      <c r="AL689" s="232"/>
      <c r="AM689" s="232" t="str">
        <f t="shared" si="109"/>
        <v xml:space="preserve"> </v>
      </c>
      <c r="AN689" s="232" t="str">
        <f t="shared" si="110"/>
        <v xml:space="preserve"> </v>
      </c>
    </row>
    <row r="690" spans="28:40" x14ac:dyDescent="0.25">
      <c r="AB690" s="230" t="e">
        <f>T690-HLOOKUP(V690,Minimas!$C$3:$CD$12,2,FALSE)</f>
        <v>#N/A</v>
      </c>
      <c r="AC690" s="230" t="e">
        <f>T690-HLOOKUP(V690,Minimas!$C$3:$CD$12,3,FALSE)</f>
        <v>#N/A</v>
      </c>
      <c r="AD690" s="230" t="e">
        <f>T690-HLOOKUP(V690,Minimas!$C$3:$CD$12,4,FALSE)</f>
        <v>#N/A</v>
      </c>
      <c r="AE690" s="230" t="e">
        <f>T690-HLOOKUP(V690,Minimas!$C$3:$CD$12,5,FALSE)</f>
        <v>#N/A</v>
      </c>
      <c r="AF690" s="230" t="e">
        <f>T690-HLOOKUP(V690,Minimas!$C$3:$CD$12,6,FALSE)</f>
        <v>#N/A</v>
      </c>
      <c r="AG690" s="230" t="e">
        <f>T690-HLOOKUP(V690,Minimas!$C$3:$CD$12,7,FALSE)</f>
        <v>#N/A</v>
      </c>
      <c r="AH690" s="230" t="e">
        <f>T690-HLOOKUP(V690,Minimas!$C$3:$CD$12,8,FALSE)</f>
        <v>#N/A</v>
      </c>
      <c r="AI690" s="230" t="e">
        <f>T690-HLOOKUP(V690,Minimas!$C$3:$CD$12,9,FALSE)</f>
        <v>#N/A</v>
      </c>
      <c r="AJ690" s="230" t="e">
        <f>T690-HLOOKUP(V690,Minimas!$C$3:$CD$12,10,FALSE)</f>
        <v>#N/A</v>
      </c>
      <c r="AK690" s="231" t="str">
        <f t="shared" si="108"/>
        <v xml:space="preserve"> </v>
      </c>
      <c r="AL690" s="232"/>
      <c r="AM690" s="232" t="str">
        <f t="shared" si="109"/>
        <v xml:space="preserve"> </v>
      </c>
      <c r="AN690" s="232" t="str">
        <f t="shared" si="110"/>
        <v xml:space="preserve"> </v>
      </c>
    </row>
    <row r="691" spans="28:40" x14ac:dyDescent="0.25">
      <c r="AB691" s="230" t="e">
        <f>T691-HLOOKUP(V691,Minimas!$C$3:$CD$12,2,FALSE)</f>
        <v>#N/A</v>
      </c>
      <c r="AC691" s="230" t="e">
        <f>T691-HLOOKUP(V691,Minimas!$C$3:$CD$12,3,FALSE)</f>
        <v>#N/A</v>
      </c>
      <c r="AD691" s="230" t="e">
        <f>T691-HLOOKUP(V691,Minimas!$C$3:$CD$12,4,FALSE)</f>
        <v>#N/A</v>
      </c>
      <c r="AE691" s="230" t="e">
        <f>T691-HLOOKUP(V691,Minimas!$C$3:$CD$12,5,FALSE)</f>
        <v>#N/A</v>
      </c>
      <c r="AF691" s="230" t="e">
        <f>T691-HLOOKUP(V691,Minimas!$C$3:$CD$12,6,FALSE)</f>
        <v>#N/A</v>
      </c>
      <c r="AG691" s="230" t="e">
        <f>T691-HLOOKUP(V691,Minimas!$C$3:$CD$12,7,FALSE)</f>
        <v>#N/A</v>
      </c>
      <c r="AH691" s="230" t="e">
        <f>T691-HLOOKUP(V691,Minimas!$C$3:$CD$12,8,FALSE)</f>
        <v>#N/A</v>
      </c>
      <c r="AI691" s="230" t="e">
        <f>T691-HLOOKUP(V691,Minimas!$C$3:$CD$12,9,FALSE)</f>
        <v>#N/A</v>
      </c>
      <c r="AJ691" s="230" t="e">
        <f>T691-HLOOKUP(V691,Minimas!$C$3:$CD$12,10,FALSE)</f>
        <v>#N/A</v>
      </c>
      <c r="AK691" s="231" t="str">
        <f t="shared" si="108"/>
        <v xml:space="preserve"> </v>
      </c>
      <c r="AL691" s="232"/>
      <c r="AM691" s="232" t="str">
        <f t="shared" si="109"/>
        <v xml:space="preserve"> </v>
      </c>
      <c r="AN691" s="232" t="str">
        <f t="shared" si="110"/>
        <v xml:space="preserve"> </v>
      </c>
    </row>
    <row r="692" spans="28:40" x14ac:dyDescent="0.25">
      <c r="AB692" s="230" t="e">
        <f>T692-HLOOKUP(V692,Minimas!$C$3:$CD$12,2,FALSE)</f>
        <v>#N/A</v>
      </c>
      <c r="AC692" s="230" t="e">
        <f>T692-HLOOKUP(V692,Minimas!$C$3:$CD$12,3,FALSE)</f>
        <v>#N/A</v>
      </c>
      <c r="AD692" s="230" t="e">
        <f>T692-HLOOKUP(V692,Minimas!$C$3:$CD$12,4,FALSE)</f>
        <v>#N/A</v>
      </c>
      <c r="AE692" s="230" t="e">
        <f>T692-HLOOKUP(V692,Minimas!$C$3:$CD$12,5,FALSE)</f>
        <v>#N/A</v>
      </c>
      <c r="AF692" s="230" t="e">
        <f>T692-HLOOKUP(V692,Minimas!$C$3:$CD$12,6,FALSE)</f>
        <v>#N/A</v>
      </c>
      <c r="AG692" s="230" t="e">
        <f>T692-HLOOKUP(V692,Minimas!$C$3:$CD$12,7,FALSE)</f>
        <v>#N/A</v>
      </c>
      <c r="AH692" s="230" t="e">
        <f>T692-HLOOKUP(V692,Minimas!$C$3:$CD$12,8,FALSE)</f>
        <v>#N/A</v>
      </c>
      <c r="AI692" s="230" t="e">
        <f>T692-HLOOKUP(V692,Minimas!$C$3:$CD$12,9,FALSE)</f>
        <v>#N/A</v>
      </c>
      <c r="AJ692" s="230" t="e">
        <f>T692-HLOOKUP(V692,Minimas!$C$3:$CD$12,10,FALSE)</f>
        <v>#N/A</v>
      </c>
      <c r="AK692" s="231" t="str">
        <f t="shared" si="108"/>
        <v xml:space="preserve"> </v>
      </c>
      <c r="AL692" s="232"/>
      <c r="AM692" s="232" t="str">
        <f t="shared" si="109"/>
        <v xml:space="preserve"> </v>
      </c>
      <c r="AN692" s="232" t="str">
        <f t="shared" si="110"/>
        <v xml:space="preserve"> </v>
      </c>
    </row>
    <row r="693" spans="28:40" x14ac:dyDescent="0.25">
      <c r="AB693" s="230" t="e">
        <f>T693-HLOOKUP(V693,Minimas!$C$3:$CD$12,2,FALSE)</f>
        <v>#N/A</v>
      </c>
      <c r="AC693" s="230" t="e">
        <f>T693-HLOOKUP(V693,Minimas!$C$3:$CD$12,3,FALSE)</f>
        <v>#N/A</v>
      </c>
      <c r="AD693" s="230" t="e">
        <f>T693-HLOOKUP(V693,Minimas!$C$3:$CD$12,4,FALSE)</f>
        <v>#N/A</v>
      </c>
      <c r="AE693" s="230" t="e">
        <f>T693-HLOOKUP(V693,Minimas!$C$3:$CD$12,5,FALSE)</f>
        <v>#N/A</v>
      </c>
      <c r="AF693" s="230" t="e">
        <f>T693-HLOOKUP(V693,Minimas!$C$3:$CD$12,6,FALSE)</f>
        <v>#N/A</v>
      </c>
      <c r="AG693" s="230" t="e">
        <f>T693-HLOOKUP(V693,Minimas!$C$3:$CD$12,7,FALSE)</f>
        <v>#N/A</v>
      </c>
      <c r="AH693" s="230" t="e">
        <f>T693-HLOOKUP(V693,Minimas!$C$3:$CD$12,8,FALSE)</f>
        <v>#N/A</v>
      </c>
      <c r="AI693" s="230" t="e">
        <f>T693-HLOOKUP(V693,Minimas!$C$3:$CD$12,9,FALSE)</f>
        <v>#N/A</v>
      </c>
      <c r="AJ693" s="230" t="e">
        <f>T693-HLOOKUP(V693,Minimas!$C$3:$CD$12,10,FALSE)</f>
        <v>#N/A</v>
      </c>
      <c r="AK693" s="231" t="str">
        <f t="shared" si="108"/>
        <v xml:space="preserve"> </v>
      </c>
      <c r="AL693" s="232"/>
      <c r="AM693" s="232" t="str">
        <f t="shared" si="109"/>
        <v xml:space="preserve"> </v>
      </c>
      <c r="AN693" s="232" t="str">
        <f t="shared" si="110"/>
        <v xml:space="preserve"> </v>
      </c>
    </row>
    <row r="694" spans="28:40" x14ac:dyDescent="0.25">
      <c r="AB694" s="230" t="e">
        <f>T694-HLOOKUP(V694,Minimas!$C$3:$CD$12,2,FALSE)</f>
        <v>#N/A</v>
      </c>
      <c r="AC694" s="230" t="e">
        <f>T694-HLOOKUP(V694,Minimas!$C$3:$CD$12,3,FALSE)</f>
        <v>#N/A</v>
      </c>
      <c r="AD694" s="230" t="e">
        <f>T694-HLOOKUP(V694,Minimas!$C$3:$CD$12,4,FALSE)</f>
        <v>#N/A</v>
      </c>
      <c r="AE694" s="230" t="e">
        <f>T694-HLOOKUP(V694,Minimas!$C$3:$CD$12,5,FALSE)</f>
        <v>#N/A</v>
      </c>
      <c r="AF694" s="230" t="e">
        <f>T694-HLOOKUP(V694,Minimas!$C$3:$CD$12,6,FALSE)</f>
        <v>#N/A</v>
      </c>
      <c r="AG694" s="230" t="e">
        <f>T694-HLOOKUP(V694,Minimas!$C$3:$CD$12,7,FALSE)</f>
        <v>#N/A</v>
      </c>
      <c r="AH694" s="230" t="e">
        <f>T694-HLOOKUP(V694,Minimas!$C$3:$CD$12,8,FALSE)</f>
        <v>#N/A</v>
      </c>
      <c r="AI694" s="230" t="e">
        <f>T694-HLOOKUP(V694,Minimas!$C$3:$CD$12,9,FALSE)</f>
        <v>#N/A</v>
      </c>
      <c r="AJ694" s="230" t="e">
        <f>T694-HLOOKUP(V694,Minimas!$C$3:$CD$12,10,FALSE)</f>
        <v>#N/A</v>
      </c>
      <c r="AK694" s="231" t="str">
        <f t="shared" si="108"/>
        <v xml:space="preserve"> </v>
      </c>
      <c r="AL694" s="232"/>
      <c r="AM694" s="232" t="str">
        <f t="shared" si="109"/>
        <v xml:space="preserve"> </v>
      </c>
      <c r="AN694" s="232" t="str">
        <f t="shared" si="110"/>
        <v xml:space="preserve"> </v>
      </c>
    </row>
    <row r="695" spans="28:40" x14ac:dyDescent="0.25">
      <c r="AB695" s="230" t="e">
        <f>T695-HLOOKUP(V695,Minimas!$C$3:$CD$12,2,FALSE)</f>
        <v>#N/A</v>
      </c>
      <c r="AC695" s="230" t="e">
        <f>T695-HLOOKUP(V695,Minimas!$C$3:$CD$12,3,FALSE)</f>
        <v>#N/A</v>
      </c>
      <c r="AD695" s="230" t="e">
        <f>T695-HLOOKUP(V695,Minimas!$C$3:$CD$12,4,FALSE)</f>
        <v>#N/A</v>
      </c>
      <c r="AE695" s="230" t="e">
        <f>T695-HLOOKUP(V695,Minimas!$C$3:$CD$12,5,FALSE)</f>
        <v>#N/A</v>
      </c>
      <c r="AF695" s="230" t="e">
        <f>T695-HLOOKUP(V695,Minimas!$C$3:$CD$12,6,FALSE)</f>
        <v>#N/A</v>
      </c>
      <c r="AG695" s="230" t="e">
        <f>T695-HLOOKUP(V695,Minimas!$C$3:$CD$12,7,FALSE)</f>
        <v>#N/A</v>
      </c>
      <c r="AH695" s="230" t="e">
        <f>T695-HLOOKUP(V695,Minimas!$C$3:$CD$12,8,FALSE)</f>
        <v>#N/A</v>
      </c>
      <c r="AI695" s="230" t="e">
        <f>T695-HLOOKUP(V695,Minimas!$C$3:$CD$12,9,FALSE)</f>
        <v>#N/A</v>
      </c>
      <c r="AJ695" s="230" t="e">
        <f>T695-HLOOKUP(V695,Minimas!$C$3:$CD$12,10,FALSE)</f>
        <v>#N/A</v>
      </c>
      <c r="AK695" s="231" t="str">
        <f t="shared" si="108"/>
        <v xml:space="preserve"> </v>
      </c>
      <c r="AL695" s="232"/>
      <c r="AM695" s="232" t="str">
        <f t="shared" si="109"/>
        <v xml:space="preserve"> </v>
      </c>
      <c r="AN695" s="232" t="str">
        <f t="shared" si="110"/>
        <v xml:space="preserve"> </v>
      </c>
    </row>
    <row r="696" spans="28:40" x14ac:dyDescent="0.25">
      <c r="AB696" s="230" t="e">
        <f>T696-HLOOKUP(V696,Minimas!$C$3:$CD$12,2,FALSE)</f>
        <v>#N/A</v>
      </c>
      <c r="AC696" s="230" t="e">
        <f>T696-HLOOKUP(V696,Minimas!$C$3:$CD$12,3,FALSE)</f>
        <v>#N/A</v>
      </c>
      <c r="AD696" s="230" t="e">
        <f>T696-HLOOKUP(V696,Minimas!$C$3:$CD$12,4,FALSE)</f>
        <v>#N/A</v>
      </c>
      <c r="AE696" s="230" t="e">
        <f>T696-HLOOKUP(V696,Minimas!$C$3:$CD$12,5,FALSE)</f>
        <v>#N/A</v>
      </c>
      <c r="AF696" s="230" t="e">
        <f>T696-HLOOKUP(V696,Minimas!$C$3:$CD$12,6,FALSE)</f>
        <v>#N/A</v>
      </c>
      <c r="AG696" s="230" t="e">
        <f>T696-HLOOKUP(V696,Minimas!$C$3:$CD$12,7,FALSE)</f>
        <v>#N/A</v>
      </c>
      <c r="AH696" s="230" t="e">
        <f>T696-HLOOKUP(V696,Minimas!$C$3:$CD$12,8,FALSE)</f>
        <v>#N/A</v>
      </c>
      <c r="AI696" s="230" t="e">
        <f>T696-HLOOKUP(V696,Minimas!$C$3:$CD$12,9,FALSE)</f>
        <v>#N/A</v>
      </c>
      <c r="AJ696" s="230" t="e">
        <f>T696-HLOOKUP(V696,Minimas!$C$3:$CD$12,10,FALSE)</f>
        <v>#N/A</v>
      </c>
      <c r="AK696" s="231" t="str">
        <f t="shared" si="108"/>
        <v xml:space="preserve"> </v>
      </c>
      <c r="AL696" s="232"/>
      <c r="AM696" s="232" t="str">
        <f t="shared" si="109"/>
        <v xml:space="preserve"> </v>
      </c>
      <c r="AN696" s="232" t="str">
        <f t="shared" si="110"/>
        <v xml:space="preserve"> </v>
      </c>
    </row>
    <row r="697" spans="28:40" x14ac:dyDescent="0.25">
      <c r="AB697" s="230" t="e">
        <f>T697-HLOOKUP(V697,Minimas!$C$3:$CD$12,2,FALSE)</f>
        <v>#N/A</v>
      </c>
      <c r="AC697" s="230" t="e">
        <f>T697-HLOOKUP(V697,Minimas!$C$3:$CD$12,3,FALSE)</f>
        <v>#N/A</v>
      </c>
      <c r="AD697" s="230" t="e">
        <f>T697-HLOOKUP(V697,Minimas!$C$3:$CD$12,4,FALSE)</f>
        <v>#N/A</v>
      </c>
      <c r="AE697" s="230" t="e">
        <f>T697-HLOOKUP(V697,Minimas!$C$3:$CD$12,5,FALSE)</f>
        <v>#N/A</v>
      </c>
      <c r="AF697" s="230" t="e">
        <f>T697-HLOOKUP(V697,Minimas!$C$3:$CD$12,6,FALSE)</f>
        <v>#N/A</v>
      </c>
      <c r="AG697" s="230" t="e">
        <f>T697-HLOOKUP(V697,Minimas!$C$3:$CD$12,7,FALSE)</f>
        <v>#N/A</v>
      </c>
      <c r="AH697" s="230" t="e">
        <f>T697-HLOOKUP(V697,Minimas!$C$3:$CD$12,8,FALSE)</f>
        <v>#N/A</v>
      </c>
      <c r="AI697" s="230" t="e">
        <f>T697-HLOOKUP(V697,Minimas!$C$3:$CD$12,9,FALSE)</f>
        <v>#N/A</v>
      </c>
      <c r="AJ697" s="230" t="e">
        <f>T697-HLOOKUP(V697,Minimas!$C$3:$CD$12,10,FALSE)</f>
        <v>#N/A</v>
      </c>
      <c r="AK697" s="231" t="str">
        <f t="shared" si="108"/>
        <v xml:space="preserve"> </v>
      </c>
      <c r="AL697" s="232"/>
      <c r="AM697" s="232" t="str">
        <f t="shared" si="109"/>
        <v xml:space="preserve"> </v>
      </c>
      <c r="AN697" s="232" t="str">
        <f t="shared" si="110"/>
        <v xml:space="preserve"> </v>
      </c>
    </row>
    <row r="698" spans="28:40" x14ac:dyDescent="0.25">
      <c r="AB698" s="230" t="e">
        <f>T698-HLOOKUP(V698,Minimas!$C$3:$CD$12,2,FALSE)</f>
        <v>#N/A</v>
      </c>
      <c r="AC698" s="230" t="e">
        <f>T698-HLOOKUP(V698,Minimas!$C$3:$CD$12,3,FALSE)</f>
        <v>#N/A</v>
      </c>
      <c r="AD698" s="230" t="e">
        <f>T698-HLOOKUP(V698,Minimas!$C$3:$CD$12,4,FALSE)</f>
        <v>#N/A</v>
      </c>
      <c r="AE698" s="230" t="e">
        <f>T698-HLOOKUP(V698,Minimas!$C$3:$CD$12,5,FALSE)</f>
        <v>#N/A</v>
      </c>
      <c r="AF698" s="230" t="e">
        <f>T698-HLOOKUP(V698,Minimas!$C$3:$CD$12,6,FALSE)</f>
        <v>#N/A</v>
      </c>
      <c r="AG698" s="230" t="e">
        <f>T698-HLOOKUP(V698,Minimas!$C$3:$CD$12,7,FALSE)</f>
        <v>#N/A</v>
      </c>
      <c r="AH698" s="230" t="e">
        <f>T698-HLOOKUP(V698,Minimas!$C$3:$CD$12,8,FALSE)</f>
        <v>#N/A</v>
      </c>
      <c r="AI698" s="230" t="e">
        <f>T698-HLOOKUP(V698,Minimas!$C$3:$CD$12,9,FALSE)</f>
        <v>#N/A</v>
      </c>
      <c r="AJ698" s="230" t="e">
        <f>T698-HLOOKUP(V698,Minimas!$C$3:$CD$12,10,FALSE)</f>
        <v>#N/A</v>
      </c>
      <c r="AK698" s="231" t="str">
        <f t="shared" si="108"/>
        <v xml:space="preserve"> </v>
      </c>
      <c r="AL698" s="232"/>
      <c r="AM698" s="232" t="str">
        <f t="shared" si="109"/>
        <v xml:space="preserve"> </v>
      </c>
      <c r="AN698" s="232" t="str">
        <f t="shared" si="110"/>
        <v xml:space="preserve"> </v>
      </c>
    </row>
    <row r="699" spans="28:40" x14ac:dyDescent="0.25">
      <c r="AB699" s="230" t="e">
        <f>T699-HLOOKUP(V699,Minimas!$C$3:$CD$12,2,FALSE)</f>
        <v>#N/A</v>
      </c>
      <c r="AC699" s="230" t="e">
        <f>T699-HLOOKUP(V699,Minimas!$C$3:$CD$12,3,FALSE)</f>
        <v>#N/A</v>
      </c>
      <c r="AD699" s="230" t="e">
        <f>T699-HLOOKUP(V699,Minimas!$C$3:$CD$12,4,FALSE)</f>
        <v>#N/A</v>
      </c>
      <c r="AE699" s="230" t="e">
        <f>T699-HLOOKUP(V699,Minimas!$C$3:$CD$12,5,FALSE)</f>
        <v>#N/A</v>
      </c>
      <c r="AF699" s="230" t="e">
        <f>T699-HLOOKUP(V699,Minimas!$C$3:$CD$12,6,FALSE)</f>
        <v>#N/A</v>
      </c>
      <c r="AG699" s="230" t="e">
        <f>T699-HLOOKUP(V699,Minimas!$C$3:$CD$12,7,FALSE)</f>
        <v>#N/A</v>
      </c>
      <c r="AH699" s="230" t="e">
        <f>T699-HLOOKUP(V699,Minimas!$C$3:$CD$12,8,FALSE)</f>
        <v>#N/A</v>
      </c>
      <c r="AI699" s="230" t="e">
        <f>T699-HLOOKUP(V699,Minimas!$C$3:$CD$12,9,FALSE)</f>
        <v>#N/A</v>
      </c>
      <c r="AJ699" s="230" t="e">
        <f>T699-HLOOKUP(V699,Minimas!$C$3:$CD$12,10,FALSE)</f>
        <v>#N/A</v>
      </c>
      <c r="AK699" s="231" t="str">
        <f t="shared" si="108"/>
        <v xml:space="preserve"> </v>
      </c>
      <c r="AL699" s="232"/>
      <c r="AM699" s="232" t="str">
        <f t="shared" si="109"/>
        <v xml:space="preserve"> </v>
      </c>
      <c r="AN699" s="232" t="str">
        <f t="shared" si="110"/>
        <v xml:space="preserve"> </v>
      </c>
    </row>
    <row r="700" spans="28:40" x14ac:dyDescent="0.25">
      <c r="AB700" s="230" t="e">
        <f>T700-HLOOKUP(V700,Minimas!$C$3:$CD$12,2,FALSE)</f>
        <v>#N/A</v>
      </c>
      <c r="AC700" s="230" t="e">
        <f>T700-HLOOKUP(V700,Minimas!$C$3:$CD$12,3,FALSE)</f>
        <v>#N/A</v>
      </c>
      <c r="AD700" s="230" t="e">
        <f>T700-HLOOKUP(V700,Minimas!$C$3:$CD$12,4,FALSE)</f>
        <v>#N/A</v>
      </c>
      <c r="AE700" s="230" t="e">
        <f>T700-HLOOKUP(V700,Minimas!$C$3:$CD$12,5,FALSE)</f>
        <v>#N/A</v>
      </c>
      <c r="AF700" s="230" t="e">
        <f>T700-HLOOKUP(V700,Minimas!$C$3:$CD$12,6,FALSE)</f>
        <v>#N/A</v>
      </c>
      <c r="AG700" s="230" t="e">
        <f>T700-HLOOKUP(V700,Minimas!$C$3:$CD$12,7,FALSE)</f>
        <v>#N/A</v>
      </c>
      <c r="AH700" s="230" t="e">
        <f>T700-HLOOKUP(V700,Minimas!$C$3:$CD$12,8,FALSE)</f>
        <v>#N/A</v>
      </c>
      <c r="AI700" s="230" t="e">
        <f>T700-HLOOKUP(V700,Minimas!$C$3:$CD$12,9,FALSE)</f>
        <v>#N/A</v>
      </c>
      <c r="AJ700" s="230" t="e">
        <f>T700-HLOOKUP(V700,Minimas!$C$3:$CD$12,10,FALSE)</f>
        <v>#N/A</v>
      </c>
      <c r="AK700" s="231" t="str">
        <f t="shared" si="108"/>
        <v xml:space="preserve"> </v>
      </c>
      <c r="AL700" s="232"/>
      <c r="AM700" s="232" t="str">
        <f t="shared" si="109"/>
        <v xml:space="preserve"> </v>
      </c>
      <c r="AN700" s="232" t="str">
        <f t="shared" si="110"/>
        <v xml:space="preserve"> </v>
      </c>
    </row>
    <row r="701" spans="28:40" x14ac:dyDescent="0.25">
      <c r="AB701" s="230" t="e">
        <f>T701-HLOOKUP(V701,Minimas!$C$3:$CD$12,2,FALSE)</f>
        <v>#N/A</v>
      </c>
      <c r="AC701" s="230" t="e">
        <f>T701-HLOOKUP(V701,Minimas!$C$3:$CD$12,3,FALSE)</f>
        <v>#N/A</v>
      </c>
      <c r="AD701" s="230" t="e">
        <f>T701-HLOOKUP(V701,Minimas!$C$3:$CD$12,4,FALSE)</f>
        <v>#N/A</v>
      </c>
      <c r="AE701" s="230" t="e">
        <f>T701-HLOOKUP(V701,Minimas!$C$3:$CD$12,5,FALSE)</f>
        <v>#N/A</v>
      </c>
      <c r="AF701" s="230" t="e">
        <f>T701-HLOOKUP(V701,Minimas!$C$3:$CD$12,6,FALSE)</f>
        <v>#N/A</v>
      </c>
      <c r="AG701" s="230" t="e">
        <f>T701-HLOOKUP(V701,Minimas!$C$3:$CD$12,7,FALSE)</f>
        <v>#N/A</v>
      </c>
      <c r="AH701" s="230" t="e">
        <f>T701-HLOOKUP(V701,Minimas!$C$3:$CD$12,8,FALSE)</f>
        <v>#N/A</v>
      </c>
      <c r="AI701" s="230" t="e">
        <f>T701-HLOOKUP(V701,Minimas!$C$3:$CD$12,9,FALSE)</f>
        <v>#N/A</v>
      </c>
      <c r="AJ701" s="230" t="e">
        <f>T701-HLOOKUP(V701,Minimas!$C$3:$CD$12,10,FALSE)</f>
        <v>#N/A</v>
      </c>
      <c r="AK701" s="231" t="str">
        <f t="shared" si="108"/>
        <v xml:space="preserve"> </v>
      </c>
      <c r="AL701" s="232"/>
      <c r="AM701" s="232" t="str">
        <f t="shared" si="109"/>
        <v xml:space="preserve"> </v>
      </c>
      <c r="AN701" s="232" t="str">
        <f t="shared" si="110"/>
        <v xml:space="preserve"> </v>
      </c>
    </row>
    <row r="702" spans="28:40" x14ac:dyDescent="0.25">
      <c r="AB702" s="230" t="e">
        <f>T702-HLOOKUP(V702,Minimas!$C$3:$CD$12,2,FALSE)</f>
        <v>#N/A</v>
      </c>
      <c r="AC702" s="230" t="e">
        <f>T702-HLOOKUP(V702,Minimas!$C$3:$CD$12,3,FALSE)</f>
        <v>#N/A</v>
      </c>
      <c r="AD702" s="230" t="e">
        <f>T702-HLOOKUP(V702,Minimas!$C$3:$CD$12,4,FALSE)</f>
        <v>#N/A</v>
      </c>
      <c r="AE702" s="230" t="e">
        <f>T702-HLOOKUP(V702,Minimas!$C$3:$CD$12,5,FALSE)</f>
        <v>#N/A</v>
      </c>
      <c r="AF702" s="230" t="e">
        <f>T702-HLOOKUP(V702,Minimas!$C$3:$CD$12,6,FALSE)</f>
        <v>#N/A</v>
      </c>
      <c r="AG702" s="230" t="e">
        <f>T702-HLOOKUP(V702,Minimas!$C$3:$CD$12,7,FALSE)</f>
        <v>#N/A</v>
      </c>
      <c r="AH702" s="230" t="e">
        <f>T702-HLOOKUP(V702,Minimas!$C$3:$CD$12,8,FALSE)</f>
        <v>#N/A</v>
      </c>
      <c r="AI702" s="230" t="e">
        <f>T702-HLOOKUP(V702,Minimas!$C$3:$CD$12,9,FALSE)</f>
        <v>#N/A</v>
      </c>
      <c r="AJ702" s="230" t="e">
        <f>T702-HLOOKUP(V702,Minimas!$C$3:$CD$12,10,FALSE)</f>
        <v>#N/A</v>
      </c>
      <c r="AK702" s="231" t="str">
        <f t="shared" si="108"/>
        <v xml:space="preserve"> </v>
      </c>
      <c r="AL702" s="232"/>
      <c r="AM702" s="232" t="str">
        <f t="shared" si="109"/>
        <v xml:space="preserve"> </v>
      </c>
      <c r="AN702" s="232" t="str">
        <f t="shared" si="110"/>
        <v xml:space="preserve"> </v>
      </c>
    </row>
    <row r="703" spans="28:40" x14ac:dyDescent="0.25">
      <c r="AB703" s="230" t="e">
        <f>T703-HLOOKUP(V703,Minimas!$C$3:$CD$12,2,FALSE)</f>
        <v>#N/A</v>
      </c>
      <c r="AC703" s="230" t="e">
        <f>T703-HLOOKUP(V703,Minimas!$C$3:$CD$12,3,FALSE)</f>
        <v>#N/A</v>
      </c>
      <c r="AD703" s="230" t="e">
        <f>T703-HLOOKUP(V703,Minimas!$C$3:$CD$12,4,FALSE)</f>
        <v>#N/A</v>
      </c>
      <c r="AE703" s="230" t="e">
        <f>T703-HLOOKUP(V703,Minimas!$C$3:$CD$12,5,FALSE)</f>
        <v>#N/A</v>
      </c>
      <c r="AF703" s="230" t="e">
        <f>T703-HLOOKUP(V703,Minimas!$C$3:$CD$12,6,FALSE)</f>
        <v>#N/A</v>
      </c>
      <c r="AG703" s="230" t="e">
        <f>T703-HLOOKUP(V703,Minimas!$C$3:$CD$12,7,FALSE)</f>
        <v>#N/A</v>
      </c>
      <c r="AH703" s="230" t="e">
        <f>T703-HLOOKUP(V703,Minimas!$C$3:$CD$12,8,FALSE)</f>
        <v>#N/A</v>
      </c>
      <c r="AI703" s="230" t="e">
        <f>T703-HLOOKUP(V703,Minimas!$C$3:$CD$12,9,FALSE)</f>
        <v>#N/A</v>
      </c>
      <c r="AJ703" s="230" t="e">
        <f>T703-HLOOKUP(V703,Minimas!$C$3:$CD$12,10,FALSE)</f>
        <v>#N/A</v>
      </c>
      <c r="AK703" s="231" t="str">
        <f t="shared" si="108"/>
        <v xml:space="preserve"> </v>
      </c>
      <c r="AL703" s="232"/>
      <c r="AM703" s="232" t="str">
        <f t="shared" si="109"/>
        <v xml:space="preserve"> </v>
      </c>
      <c r="AN703" s="232" t="str">
        <f t="shared" si="110"/>
        <v xml:space="preserve"> </v>
      </c>
    </row>
    <row r="704" spans="28:40" x14ac:dyDescent="0.25">
      <c r="AB704" s="230" t="e">
        <f>T704-HLOOKUP(V704,Minimas!$C$3:$CD$12,2,FALSE)</f>
        <v>#N/A</v>
      </c>
      <c r="AC704" s="230" t="e">
        <f>T704-HLOOKUP(V704,Minimas!$C$3:$CD$12,3,FALSE)</f>
        <v>#N/A</v>
      </c>
      <c r="AD704" s="230" t="e">
        <f>T704-HLOOKUP(V704,Minimas!$C$3:$CD$12,4,FALSE)</f>
        <v>#N/A</v>
      </c>
      <c r="AE704" s="230" t="e">
        <f>T704-HLOOKUP(V704,Minimas!$C$3:$CD$12,5,FALSE)</f>
        <v>#N/A</v>
      </c>
      <c r="AF704" s="230" t="e">
        <f>T704-HLOOKUP(V704,Minimas!$C$3:$CD$12,6,FALSE)</f>
        <v>#N/A</v>
      </c>
      <c r="AG704" s="230" t="e">
        <f>T704-HLOOKUP(V704,Minimas!$C$3:$CD$12,7,FALSE)</f>
        <v>#N/A</v>
      </c>
      <c r="AH704" s="230" t="e">
        <f>T704-HLOOKUP(V704,Minimas!$C$3:$CD$12,8,FALSE)</f>
        <v>#N/A</v>
      </c>
      <c r="AI704" s="230" t="e">
        <f>T704-HLOOKUP(V704,Minimas!$C$3:$CD$12,9,FALSE)</f>
        <v>#N/A</v>
      </c>
      <c r="AJ704" s="230" t="e">
        <f>T704-HLOOKUP(V704,Minimas!$C$3:$CD$12,10,FALSE)</f>
        <v>#N/A</v>
      </c>
      <c r="AK704" s="231" t="str">
        <f t="shared" si="108"/>
        <v xml:space="preserve"> </v>
      </c>
      <c r="AL704" s="232"/>
      <c r="AM704" s="232" t="str">
        <f t="shared" si="109"/>
        <v xml:space="preserve"> </v>
      </c>
      <c r="AN704" s="232" t="str">
        <f t="shared" si="110"/>
        <v xml:space="preserve"> </v>
      </c>
    </row>
    <row r="705" spans="28:40" x14ac:dyDescent="0.25">
      <c r="AB705" s="230" t="e">
        <f>T705-HLOOKUP(V705,Minimas!$C$3:$CD$12,2,FALSE)</f>
        <v>#N/A</v>
      </c>
      <c r="AC705" s="230" t="e">
        <f>T705-HLOOKUP(V705,Minimas!$C$3:$CD$12,3,FALSE)</f>
        <v>#N/A</v>
      </c>
      <c r="AD705" s="230" t="e">
        <f>T705-HLOOKUP(V705,Minimas!$C$3:$CD$12,4,FALSE)</f>
        <v>#N/A</v>
      </c>
      <c r="AE705" s="230" t="e">
        <f>T705-HLOOKUP(V705,Minimas!$C$3:$CD$12,5,FALSE)</f>
        <v>#N/A</v>
      </c>
      <c r="AF705" s="230" t="e">
        <f>T705-HLOOKUP(V705,Minimas!$C$3:$CD$12,6,FALSE)</f>
        <v>#N/A</v>
      </c>
      <c r="AG705" s="230" t="e">
        <f>T705-HLOOKUP(V705,Minimas!$C$3:$CD$12,7,FALSE)</f>
        <v>#N/A</v>
      </c>
      <c r="AH705" s="230" t="e">
        <f>T705-HLOOKUP(V705,Minimas!$C$3:$CD$12,8,FALSE)</f>
        <v>#N/A</v>
      </c>
      <c r="AI705" s="230" t="e">
        <f>T705-HLOOKUP(V705,Minimas!$C$3:$CD$12,9,FALSE)</f>
        <v>#N/A</v>
      </c>
      <c r="AJ705" s="230" t="e">
        <f>T705-HLOOKUP(V705,Minimas!$C$3:$CD$12,10,FALSE)</f>
        <v>#N/A</v>
      </c>
      <c r="AK705" s="231" t="str">
        <f t="shared" si="108"/>
        <v xml:space="preserve"> </v>
      </c>
      <c r="AL705" s="232"/>
      <c r="AM705" s="232" t="str">
        <f t="shared" si="109"/>
        <v xml:space="preserve"> </v>
      </c>
      <c r="AN705" s="232" t="str">
        <f t="shared" si="110"/>
        <v xml:space="preserve"> </v>
      </c>
    </row>
    <row r="706" spans="28:40" x14ac:dyDescent="0.25">
      <c r="AB706" s="230" t="e">
        <f>T706-HLOOKUP(V706,Minimas!$C$3:$CD$12,2,FALSE)</f>
        <v>#N/A</v>
      </c>
      <c r="AC706" s="230" t="e">
        <f>T706-HLOOKUP(V706,Minimas!$C$3:$CD$12,3,FALSE)</f>
        <v>#N/A</v>
      </c>
      <c r="AD706" s="230" t="e">
        <f>T706-HLOOKUP(V706,Minimas!$C$3:$CD$12,4,FALSE)</f>
        <v>#N/A</v>
      </c>
      <c r="AE706" s="230" t="e">
        <f>T706-HLOOKUP(V706,Minimas!$C$3:$CD$12,5,FALSE)</f>
        <v>#N/A</v>
      </c>
      <c r="AF706" s="230" t="e">
        <f>T706-HLOOKUP(V706,Minimas!$C$3:$CD$12,6,FALSE)</f>
        <v>#N/A</v>
      </c>
      <c r="AG706" s="230" t="e">
        <f>T706-HLOOKUP(V706,Minimas!$C$3:$CD$12,7,FALSE)</f>
        <v>#N/A</v>
      </c>
      <c r="AH706" s="230" t="e">
        <f>T706-HLOOKUP(V706,Minimas!$C$3:$CD$12,8,FALSE)</f>
        <v>#N/A</v>
      </c>
      <c r="AI706" s="230" t="e">
        <f>T706-HLOOKUP(V706,Minimas!$C$3:$CD$12,9,FALSE)</f>
        <v>#N/A</v>
      </c>
      <c r="AJ706" s="230" t="e">
        <f>T706-HLOOKUP(V706,Minimas!$C$3:$CD$12,10,FALSE)</f>
        <v>#N/A</v>
      </c>
      <c r="AK706" s="231" t="str">
        <f t="shared" si="108"/>
        <v xml:space="preserve"> </v>
      </c>
      <c r="AL706" s="232"/>
      <c r="AM706" s="232" t="str">
        <f t="shared" si="109"/>
        <v xml:space="preserve"> </v>
      </c>
      <c r="AN706" s="232" t="str">
        <f t="shared" si="110"/>
        <v xml:space="preserve"> </v>
      </c>
    </row>
    <row r="707" spans="28:40" x14ac:dyDescent="0.25">
      <c r="AB707" s="230" t="e">
        <f>T707-HLOOKUP(V707,Minimas!$C$3:$CD$12,2,FALSE)</f>
        <v>#N/A</v>
      </c>
      <c r="AC707" s="230" t="e">
        <f>T707-HLOOKUP(V707,Minimas!$C$3:$CD$12,3,FALSE)</f>
        <v>#N/A</v>
      </c>
      <c r="AD707" s="230" t="e">
        <f>T707-HLOOKUP(V707,Minimas!$C$3:$CD$12,4,FALSE)</f>
        <v>#N/A</v>
      </c>
      <c r="AE707" s="230" t="e">
        <f>T707-HLOOKUP(V707,Minimas!$C$3:$CD$12,5,FALSE)</f>
        <v>#N/A</v>
      </c>
      <c r="AF707" s="230" t="e">
        <f>T707-HLOOKUP(V707,Minimas!$C$3:$CD$12,6,FALSE)</f>
        <v>#N/A</v>
      </c>
      <c r="AG707" s="230" t="e">
        <f>T707-HLOOKUP(V707,Minimas!$C$3:$CD$12,7,FALSE)</f>
        <v>#N/A</v>
      </c>
      <c r="AH707" s="230" t="e">
        <f>T707-HLOOKUP(V707,Minimas!$C$3:$CD$12,8,FALSE)</f>
        <v>#N/A</v>
      </c>
      <c r="AI707" s="230" t="e">
        <f>T707-HLOOKUP(V707,Minimas!$C$3:$CD$12,9,FALSE)</f>
        <v>#N/A</v>
      </c>
      <c r="AJ707" s="230" t="e">
        <f>T707-HLOOKUP(V707,Minimas!$C$3:$CD$12,10,FALSE)</f>
        <v>#N/A</v>
      </c>
      <c r="AK707" s="231" t="str">
        <f t="shared" si="108"/>
        <v xml:space="preserve"> </v>
      </c>
      <c r="AL707" s="232"/>
      <c r="AM707" s="232" t="str">
        <f t="shared" si="109"/>
        <v xml:space="preserve"> </v>
      </c>
      <c r="AN707" s="232" t="str">
        <f t="shared" si="110"/>
        <v xml:space="preserve"> </v>
      </c>
    </row>
    <row r="708" spans="28:40" x14ac:dyDescent="0.25">
      <c r="AB708" s="230" t="e">
        <f>T708-HLOOKUP(V708,Minimas!$C$3:$CD$12,2,FALSE)</f>
        <v>#N/A</v>
      </c>
      <c r="AC708" s="230" t="e">
        <f>T708-HLOOKUP(V708,Minimas!$C$3:$CD$12,3,FALSE)</f>
        <v>#N/A</v>
      </c>
      <c r="AD708" s="230" t="e">
        <f>T708-HLOOKUP(V708,Minimas!$C$3:$CD$12,4,FALSE)</f>
        <v>#N/A</v>
      </c>
      <c r="AE708" s="230" t="e">
        <f>T708-HLOOKUP(V708,Minimas!$C$3:$CD$12,5,FALSE)</f>
        <v>#N/A</v>
      </c>
      <c r="AF708" s="230" t="e">
        <f>T708-HLOOKUP(V708,Minimas!$C$3:$CD$12,6,FALSE)</f>
        <v>#N/A</v>
      </c>
      <c r="AG708" s="230" t="e">
        <f>T708-HLOOKUP(V708,Minimas!$C$3:$CD$12,7,FALSE)</f>
        <v>#N/A</v>
      </c>
      <c r="AH708" s="230" t="e">
        <f>T708-HLOOKUP(V708,Minimas!$C$3:$CD$12,8,FALSE)</f>
        <v>#N/A</v>
      </c>
      <c r="AI708" s="230" t="e">
        <f>T708-HLOOKUP(V708,Minimas!$C$3:$CD$12,9,FALSE)</f>
        <v>#N/A</v>
      </c>
      <c r="AJ708" s="230" t="e">
        <f>T708-HLOOKUP(V708,Minimas!$C$3:$CD$12,10,FALSE)</f>
        <v>#N/A</v>
      </c>
      <c r="AK708" s="231" t="str">
        <f t="shared" ref="AK708:AK771" si="111">IF(E708=0," ",IF(AJ708&gt;=0,$AJ$5,IF(AI708&gt;=0,$AI$5,IF(AH708&gt;=0,$AH$5,IF(AG708&gt;=0,$AG$5,IF(AF708&gt;=0,$AF$5,IF(AE708&gt;=0,$AE$5,IF(AD708&gt;=0,$AD$5,IF(AC708&gt;=0,$AC$5,$AB$5)))))))))</f>
        <v xml:space="preserve"> </v>
      </c>
      <c r="AL708" s="232"/>
      <c r="AM708" s="232" t="str">
        <f t="shared" ref="AM708:AM771" si="112">IF(AK708="","",AK708)</f>
        <v xml:space="preserve"> </v>
      </c>
      <c r="AN708" s="232" t="str">
        <f t="shared" ref="AN708:AN771" si="113">IF(E708=0," ",IF(AJ708&gt;=0,AJ708,IF(AI708&gt;=0,AI708,IF(AH708&gt;=0,AH708,IF(AG708&gt;=0,AG708,IF(AF708&gt;=0,AF708,IF(AE708&gt;=0,AE708,IF(AD708&gt;=0,AD708,IF(AC708&gt;=0,AC708,AB708)))))))))</f>
        <v xml:space="preserve"> </v>
      </c>
    </row>
    <row r="709" spans="28:40" x14ac:dyDescent="0.25">
      <c r="AB709" s="230" t="e">
        <f>T709-HLOOKUP(V709,Minimas!$C$3:$CD$12,2,FALSE)</f>
        <v>#N/A</v>
      </c>
      <c r="AC709" s="230" t="e">
        <f>T709-HLOOKUP(V709,Minimas!$C$3:$CD$12,3,FALSE)</f>
        <v>#N/A</v>
      </c>
      <c r="AD709" s="230" t="e">
        <f>T709-HLOOKUP(V709,Minimas!$C$3:$CD$12,4,FALSE)</f>
        <v>#N/A</v>
      </c>
      <c r="AE709" s="230" t="e">
        <f>T709-HLOOKUP(V709,Minimas!$C$3:$CD$12,5,FALSE)</f>
        <v>#N/A</v>
      </c>
      <c r="AF709" s="230" t="e">
        <f>T709-HLOOKUP(V709,Minimas!$C$3:$CD$12,6,FALSE)</f>
        <v>#N/A</v>
      </c>
      <c r="AG709" s="230" t="e">
        <f>T709-HLOOKUP(V709,Minimas!$C$3:$CD$12,7,FALSE)</f>
        <v>#N/A</v>
      </c>
      <c r="AH709" s="230" t="e">
        <f>T709-HLOOKUP(V709,Minimas!$C$3:$CD$12,8,FALSE)</f>
        <v>#N/A</v>
      </c>
      <c r="AI709" s="230" t="e">
        <f>T709-HLOOKUP(V709,Minimas!$C$3:$CD$12,9,FALSE)</f>
        <v>#N/A</v>
      </c>
      <c r="AJ709" s="230" t="e">
        <f>T709-HLOOKUP(V709,Minimas!$C$3:$CD$12,10,FALSE)</f>
        <v>#N/A</v>
      </c>
      <c r="AK709" s="231" t="str">
        <f t="shared" si="111"/>
        <v xml:space="preserve"> </v>
      </c>
      <c r="AL709" s="232"/>
      <c r="AM709" s="232" t="str">
        <f t="shared" si="112"/>
        <v xml:space="preserve"> </v>
      </c>
      <c r="AN709" s="232" t="str">
        <f t="shared" si="113"/>
        <v xml:space="preserve"> </v>
      </c>
    </row>
    <row r="710" spans="28:40" x14ac:dyDescent="0.25">
      <c r="AB710" s="230" t="e">
        <f>T710-HLOOKUP(V710,Minimas!$C$3:$CD$12,2,FALSE)</f>
        <v>#N/A</v>
      </c>
      <c r="AC710" s="230" t="e">
        <f>T710-HLOOKUP(V710,Minimas!$C$3:$CD$12,3,FALSE)</f>
        <v>#N/A</v>
      </c>
      <c r="AD710" s="230" t="e">
        <f>T710-HLOOKUP(V710,Minimas!$C$3:$CD$12,4,FALSE)</f>
        <v>#N/A</v>
      </c>
      <c r="AE710" s="230" t="e">
        <f>T710-HLOOKUP(V710,Minimas!$C$3:$CD$12,5,FALSE)</f>
        <v>#N/A</v>
      </c>
      <c r="AF710" s="230" t="e">
        <f>T710-HLOOKUP(V710,Minimas!$C$3:$CD$12,6,FALSE)</f>
        <v>#N/A</v>
      </c>
      <c r="AG710" s="230" t="e">
        <f>T710-HLOOKUP(V710,Minimas!$C$3:$CD$12,7,FALSE)</f>
        <v>#N/A</v>
      </c>
      <c r="AH710" s="230" t="e">
        <f>T710-HLOOKUP(V710,Minimas!$C$3:$CD$12,8,FALSE)</f>
        <v>#N/A</v>
      </c>
      <c r="AI710" s="230" t="e">
        <f>T710-HLOOKUP(V710,Minimas!$C$3:$CD$12,9,FALSE)</f>
        <v>#N/A</v>
      </c>
      <c r="AJ710" s="230" t="e">
        <f>T710-HLOOKUP(V710,Minimas!$C$3:$CD$12,10,FALSE)</f>
        <v>#N/A</v>
      </c>
      <c r="AK710" s="231" t="str">
        <f t="shared" si="111"/>
        <v xml:space="preserve"> </v>
      </c>
      <c r="AL710" s="232"/>
      <c r="AM710" s="232" t="str">
        <f t="shared" si="112"/>
        <v xml:space="preserve"> </v>
      </c>
      <c r="AN710" s="232" t="str">
        <f t="shared" si="113"/>
        <v xml:space="preserve"> </v>
      </c>
    </row>
    <row r="711" spans="28:40" x14ac:dyDescent="0.25">
      <c r="AB711" s="230" t="e">
        <f>T711-HLOOKUP(V711,Minimas!$C$3:$CD$12,2,FALSE)</f>
        <v>#N/A</v>
      </c>
      <c r="AC711" s="230" t="e">
        <f>T711-HLOOKUP(V711,Minimas!$C$3:$CD$12,3,FALSE)</f>
        <v>#N/A</v>
      </c>
      <c r="AD711" s="230" t="e">
        <f>T711-HLOOKUP(V711,Minimas!$C$3:$CD$12,4,FALSE)</f>
        <v>#N/A</v>
      </c>
      <c r="AE711" s="230" t="e">
        <f>T711-HLOOKUP(V711,Minimas!$C$3:$CD$12,5,FALSE)</f>
        <v>#N/A</v>
      </c>
      <c r="AF711" s="230" t="e">
        <f>T711-HLOOKUP(V711,Minimas!$C$3:$CD$12,6,FALSE)</f>
        <v>#N/A</v>
      </c>
      <c r="AG711" s="230" t="e">
        <f>T711-HLOOKUP(V711,Minimas!$C$3:$CD$12,7,FALSE)</f>
        <v>#N/A</v>
      </c>
      <c r="AH711" s="230" t="e">
        <f>T711-HLOOKUP(V711,Minimas!$C$3:$CD$12,8,FALSE)</f>
        <v>#N/A</v>
      </c>
      <c r="AI711" s="230" t="e">
        <f>T711-HLOOKUP(V711,Minimas!$C$3:$CD$12,9,FALSE)</f>
        <v>#N/A</v>
      </c>
      <c r="AJ711" s="230" t="e">
        <f>T711-HLOOKUP(V711,Minimas!$C$3:$CD$12,10,FALSE)</f>
        <v>#N/A</v>
      </c>
      <c r="AK711" s="231" t="str">
        <f t="shared" si="111"/>
        <v xml:space="preserve"> </v>
      </c>
      <c r="AL711" s="232"/>
      <c r="AM711" s="232" t="str">
        <f t="shared" si="112"/>
        <v xml:space="preserve"> </v>
      </c>
      <c r="AN711" s="232" t="str">
        <f t="shared" si="113"/>
        <v xml:space="preserve"> </v>
      </c>
    </row>
    <row r="712" spans="28:40" x14ac:dyDescent="0.25">
      <c r="AB712" s="230" t="e">
        <f>T712-HLOOKUP(V712,Minimas!$C$3:$CD$12,2,FALSE)</f>
        <v>#N/A</v>
      </c>
      <c r="AC712" s="230" t="e">
        <f>T712-HLOOKUP(V712,Minimas!$C$3:$CD$12,3,FALSE)</f>
        <v>#N/A</v>
      </c>
      <c r="AD712" s="230" t="e">
        <f>T712-HLOOKUP(V712,Minimas!$C$3:$CD$12,4,FALSE)</f>
        <v>#N/A</v>
      </c>
      <c r="AE712" s="230" t="e">
        <f>T712-HLOOKUP(V712,Minimas!$C$3:$CD$12,5,FALSE)</f>
        <v>#N/A</v>
      </c>
      <c r="AF712" s="230" t="e">
        <f>T712-HLOOKUP(V712,Minimas!$C$3:$CD$12,6,FALSE)</f>
        <v>#N/A</v>
      </c>
      <c r="AG712" s="230" t="e">
        <f>T712-HLOOKUP(V712,Minimas!$C$3:$CD$12,7,FALSE)</f>
        <v>#N/A</v>
      </c>
      <c r="AH712" s="230" t="e">
        <f>T712-HLOOKUP(V712,Minimas!$C$3:$CD$12,8,FALSE)</f>
        <v>#N/A</v>
      </c>
      <c r="AI712" s="230" t="e">
        <f>T712-HLOOKUP(V712,Minimas!$C$3:$CD$12,9,FALSE)</f>
        <v>#N/A</v>
      </c>
      <c r="AJ712" s="230" t="e">
        <f>T712-HLOOKUP(V712,Minimas!$C$3:$CD$12,10,FALSE)</f>
        <v>#N/A</v>
      </c>
      <c r="AK712" s="231" t="str">
        <f t="shared" si="111"/>
        <v xml:space="preserve"> </v>
      </c>
      <c r="AL712" s="232"/>
      <c r="AM712" s="232" t="str">
        <f t="shared" si="112"/>
        <v xml:space="preserve"> </v>
      </c>
      <c r="AN712" s="232" t="str">
        <f t="shared" si="113"/>
        <v xml:space="preserve"> </v>
      </c>
    </row>
    <row r="713" spans="28:40" x14ac:dyDescent="0.25">
      <c r="AB713" s="230" t="e">
        <f>T713-HLOOKUP(V713,Minimas!$C$3:$CD$12,2,FALSE)</f>
        <v>#N/A</v>
      </c>
      <c r="AC713" s="230" t="e">
        <f>T713-HLOOKUP(V713,Minimas!$C$3:$CD$12,3,FALSE)</f>
        <v>#N/A</v>
      </c>
      <c r="AD713" s="230" t="e">
        <f>T713-HLOOKUP(V713,Minimas!$C$3:$CD$12,4,FALSE)</f>
        <v>#N/A</v>
      </c>
      <c r="AE713" s="230" t="e">
        <f>T713-HLOOKUP(V713,Minimas!$C$3:$CD$12,5,FALSE)</f>
        <v>#N/A</v>
      </c>
      <c r="AF713" s="230" t="e">
        <f>T713-HLOOKUP(V713,Minimas!$C$3:$CD$12,6,FALSE)</f>
        <v>#N/A</v>
      </c>
      <c r="AG713" s="230" t="e">
        <f>T713-HLOOKUP(V713,Minimas!$C$3:$CD$12,7,FALSE)</f>
        <v>#N/A</v>
      </c>
      <c r="AH713" s="230" t="e">
        <f>T713-HLOOKUP(V713,Minimas!$C$3:$CD$12,8,FALSE)</f>
        <v>#N/A</v>
      </c>
      <c r="AI713" s="230" t="e">
        <f>T713-HLOOKUP(V713,Minimas!$C$3:$CD$12,9,FALSE)</f>
        <v>#N/A</v>
      </c>
      <c r="AJ713" s="230" t="e">
        <f>T713-HLOOKUP(V713,Minimas!$C$3:$CD$12,10,FALSE)</f>
        <v>#N/A</v>
      </c>
      <c r="AK713" s="231" t="str">
        <f t="shared" si="111"/>
        <v xml:space="preserve"> </v>
      </c>
      <c r="AL713" s="232"/>
      <c r="AM713" s="232" t="str">
        <f t="shared" si="112"/>
        <v xml:space="preserve"> </v>
      </c>
      <c r="AN713" s="232" t="str">
        <f t="shared" si="113"/>
        <v xml:space="preserve"> </v>
      </c>
    </row>
    <row r="714" spans="28:40" x14ac:dyDescent="0.25">
      <c r="AB714" s="230" t="e">
        <f>T714-HLOOKUP(V714,Minimas!$C$3:$CD$12,2,FALSE)</f>
        <v>#N/A</v>
      </c>
      <c r="AC714" s="230" t="e">
        <f>T714-HLOOKUP(V714,Minimas!$C$3:$CD$12,3,FALSE)</f>
        <v>#N/A</v>
      </c>
      <c r="AD714" s="230" t="e">
        <f>T714-HLOOKUP(V714,Minimas!$C$3:$CD$12,4,FALSE)</f>
        <v>#N/A</v>
      </c>
      <c r="AE714" s="230" t="e">
        <f>T714-HLOOKUP(V714,Minimas!$C$3:$CD$12,5,FALSE)</f>
        <v>#N/A</v>
      </c>
      <c r="AF714" s="230" t="e">
        <f>T714-HLOOKUP(V714,Minimas!$C$3:$CD$12,6,FALSE)</f>
        <v>#N/A</v>
      </c>
      <c r="AG714" s="230" t="e">
        <f>T714-HLOOKUP(V714,Minimas!$C$3:$CD$12,7,FALSE)</f>
        <v>#N/A</v>
      </c>
      <c r="AH714" s="230" t="e">
        <f>T714-HLOOKUP(V714,Minimas!$C$3:$CD$12,8,FALSE)</f>
        <v>#N/A</v>
      </c>
      <c r="AI714" s="230" t="e">
        <f>T714-HLOOKUP(V714,Minimas!$C$3:$CD$12,9,FALSE)</f>
        <v>#N/A</v>
      </c>
      <c r="AJ714" s="230" t="e">
        <f>T714-HLOOKUP(V714,Minimas!$C$3:$CD$12,10,FALSE)</f>
        <v>#N/A</v>
      </c>
      <c r="AK714" s="231" t="str">
        <f t="shared" si="111"/>
        <v xml:space="preserve"> </v>
      </c>
      <c r="AL714" s="232"/>
      <c r="AM714" s="232" t="str">
        <f t="shared" si="112"/>
        <v xml:space="preserve"> </v>
      </c>
      <c r="AN714" s="232" t="str">
        <f t="shared" si="113"/>
        <v xml:space="preserve"> </v>
      </c>
    </row>
    <row r="715" spans="28:40" x14ac:dyDescent="0.25">
      <c r="AB715" s="230" t="e">
        <f>T715-HLOOKUP(V715,Minimas!$C$3:$CD$12,2,FALSE)</f>
        <v>#N/A</v>
      </c>
      <c r="AC715" s="230" t="e">
        <f>T715-HLOOKUP(V715,Minimas!$C$3:$CD$12,3,FALSE)</f>
        <v>#N/A</v>
      </c>
      <c r="AD715" s="230" t="e">
        <f>T715-HLOOKUP(V715,Minimas!$C$3:$CD$12,4,FALSE)</f>
        <v>#N/A</v>
      </c>
      <c r="AE715" s="230" t="e">
        <f>T715-HLOOKUP(V715,Minimas!$C$3:$CD$12,5,FALSE)</f>
        <v>#N/A</v>
      </c>
      <c r="AF715" s="230" t="e">
        <f>T715-HLOOKUP(V715,Minimas!$C$3:$CD$12,6,FALSE)</f>
        <v>#N/A</v>
      </c>
      <c r="AG715" s="230" t="e">
        <f>T715-HLOOKUP(V715,Minimas!$C$3:$CD$12,7,FALSE)</f>
        <v>#N/A</v>
      </c>
      <c r="AH715" s="230" t="e">
        <f>T715-HLOOKUP(V715,Minimas!$C$3:$CD$12,8,FALSE)</f>
        <v>#N/A</v>
      </c>
      <c r="AI715" s="230" t="e">
        <f>T715-HLOOKUP(V715,Minimas!$C$3:$CD$12,9,FALSE)</f>
        <v>#N/A</v>
      </c>
      <c r="AJ715" s="230" t="e">
        <f>T715-HLOOKUP(V715,Minimas!$C$3:$CD$12,10,FALSE)</f>
        <v>#N/A</v>
      </c>
      <c r="AK715" s="231" t="str">
        <f t="shared" si="111"/>
        <v xml:space="preserve"> </v>
      </c>
      <c r="AL715" s="232"/>
      <c r="AM715" s="232" t="str">
        <f t="shared" si="112"/>
        <v xml:space="preserve"> </v>
      </c>
      <c r="AN715" s="232" t="str">
        <f t="shared" si="113"/>
        <v xml:space="preserve"> </v>
      </c>
    </row>
    <row r="716" spans="28:40" x14ac:dyDescent="0.25">
      <c r="AB716" s="230" t="e">
        <f>T716-HLOOKUP(V716,Minimas!$C$3:$CD$12,2,FALSE)</f>
        <v>#N/A</v>
      </c>
      <c r="AC716" s="230" t="e">
        <f>T716-HLOOKUP(V716,Minimas!$C$3:$CD$12,3,FALSE)</f>
        <v>#N/A</v>
      </c>
      <c r="AD716" s="230" t="e">
        <f>T716-HLOOKUP(V716,Minimas!$C$3:$CD$12,4,FALSE)</f>
        <v>#N/A</v>
      </c>
      <c r="AE716" s="230" t="e">
        <f>T716-HLOOKUP(V716,Minimas!$C$3:$CD$12,5,FALSE)</f>
        <v>#N/A</v>
      </c>
      <c r="AF716" s="230" t="e">
        <f>T716-HLOOKUP(V716,Minimas!$C$3:$CD$12,6,FALSE)</f>
        <v>#N/A</v>
      </c>
      <c r="AG716" s="230" t="e">
        <f>T716-HLOOKUP(V716,Minimas!$C$3:$CD$12,7,FALSE)</f>
        <v>#N/A</v>
      </c>
      <c r="AH716" s="230" t="e">
        <f>T716-HLOOKUP(V716,Minimas!$C$3:$CD$12,8,FALSE)</f>
        <v>#N/A</v>
      </c>
      <c r="AI716" s="230" t="e">
        <f>T716-HLOOKUP(V716,Minimas!$C$3:$CD$12,9,FALSE)</f>
        <v>#N/A</v>
      </c>
      <c r="AJ716" s="230" t="e">
        <f>T716-HLOOKUP(V716,Minimas!$C$3:$CD$12,10,FALSE)</f>
        <v>#N/A</v>
      </c>
      <c r="AK716" s="231" t="str">
        <f t="shared" si="111"/>
        <v xml:space="preserve"> </v>
      </c>
      <c r="AL716" s="232"/>
      <c r="AM716" s="232" t="str">
        <f t="shared" si="112"/>
        <v xml:space="preserve"> </v>
      </c>
      <c r="AN716" s="232" t="str">
        <f t="shared" si="113"/>
        <v xml:space="preserve"> </v>
      </c>
    </row>
    <row r="717" spans="28:40" x14ac:dyDescent="0.25">
      <c r="AB717" s="230" t="e">
        <f>T717-HLOOKUP(V717,Minimas!$C$3:$CD$12,2,FALSE)</f>
        <v>#N/A</v>
      </c>
      <c r="AC717" s="230" t="e">
        <f>T717-HLOOKUP(V717,Minimas!$C$3:$CD$12,3,FALSE)</f>
        <v>#N/A</v>
      </c>
      <c r="AD717" s="230" t="e">
        <f>T717-HLOOKUP(V717,Minimas!$C$3:$CD$12,4,FALSE)</f>
        <v>#N/A</v>
      </c>
      <c r="AE717" s="230" t="e">
        <f>T717-HLOOKUP(V717,Minimas!$C$3:$CD$12,5,FALSE)</f>
        <v>#N/A</v>
      </c>
      <c r="AF717" s="230" t="e">
        <f>T717-HLOOKUP(V717,Minimas!$C$3:$CD$12,6,FALSE)</f>
        <v>#N/A</v>
      </c>
      <c r="AG717" s="230" t="e">
        <f>T717-HLOOKUP(V717,Minimas!$C$3:$CD$12,7,FALSE)</f>
        <v>#N/A</v>
      </c>
      <c r="AH717" s="230" t="e">
        <f>T717-HLOOKUP(V717,Minimas!$C$3:$CD$12,8,FALSE)</f>
        <v>#N/A</v>
      </c>
      <c r="AI717" s="230" t="e">
        <f>T717-HLOOKUP(V717,Minimas!$C$3:$CD$12,9,FALSE)</f>
        <v>#N/A</v>
      </c>
      <c r="AJ717" s="230" t="e">
        <f>T717-HLOOKUP(V717,Minimas!$C$3:$CD$12,10,FALSE)</f>
        <v>#N/A</v>
      </c>
      <c r="AK717" s="231" t="str">
        <f t="shared" si="111"/>
        <v xml:space="preserve"> </v>
      </c>
      <c r="AL717" s="232"/>
      <c r="AM717" s="232" t="str">
        <f t="shared" si="112"/>
        <v xml:space="preserve"> </v>
      </c>
      <c r="AN717" s="232" t="str">
        <f t="shared" si="113"/>
        <v xml:space="preserve"> </v>
      </c>
    </row>
    <row r="718" spans="28:40" x14ac:dyDescent="0.25">
      <c r="AB718" s="230" t="e">
        <f>T718-HLOOKUP(V718,Minimas!$C$3:$CD$12,2,FALSE)</f>
        <v>#N/A</v>
      </c>
      <c r="AC718" s="230" t="e">
        <f>T718-HLOOKUP(V718,Minimas!$C$3:$CD$12,3,FALSE)</f>
        <v>#N/A</v>
      </c>
      <c r="AD718" s="230" t="e">
        <f>T718-HLOOKUP(V718,Minimas!$C$3:$CD$12,4,FALSE)</f>
        <v>#N/A</v>
      </c>
      <c r="AE718" s="230" t="e">
        <f>T718-HLOOKUP(V718,Minimas!$C$3:$CD$12,5,FALSE)</f>
        <v>#N/A</v>
      </c>
      <c r="AF718" s="230" t="e">
        <f>T718-HLOOKUP(V718,Minimas!$C$3:$CD$12,6,FALSE)</f>
        <v>#N/A</v>
      </c>
      <c r="AG718" s="230" t="e">
        <f>T718-HLOOKUP(V718,Minimas!$C$3:$CD$12,7,FALSE)</f>
        <v>#N/A</v>
      </c>
      <c r="AH718" s="230" t="e">
        <f>T718-HLOOKUP(V718,Minimas!$C$3:$CD$12,8,FALSE)</f>
        <v>#N/A</v>
      </c>
      <c r="AI718" s="230" t="e">
        <f>T718-HLOOKUP(V718,Minimas!$C$3:$CD$12,9,FALSE)</f>
        <v>#N/A</v>
      </c>
      <c r="AJ718" s="230" t="e">
        <f>T718-HLOOKUP(V718,Minimas!$C$3:$CD$12,10,FALSE)</f>
        <v>#N/A</v>
      </c>
      <c r="AK718" s="231" t="str">
        <f t="shared" si="111"/>
        <v xml:space="preserve"> </v>
      </c>
      <c r="AL718" s="232"/>
      <c r="AM718" s="232" t="str">
        <f t="shared" si="112"/>
        <v xml:space="preserve"> </v>
      </c>
      <c r="AN718" s="232" t="str">
        <f t="shared" si="113"/>
        <v xml:space="preserve"> </v>
      </c>
    </row>
    <row r="719" spans="28:40" x14ac:dyDescent="0.25">
      <c r="AB719" s="230" t="e">
        <f>T719-HLOOKUP(V719,Minimas!$C$3:$CD$12,2,FALSE)</f>
        <v>#N/A</v>
      </c>
      <c r="AC719" s="230" t="e">
        <f>T719-HLOOKUP(V719,Minimas!$C$3:$CD$12,3,FALSE)</f>
        <v>#N/A</v>
      </c>
      <c r="AD719" s="230" t="e">
        <f>T719-HLOOKUP(V719,Minimas!$C$3:$CD$12,4,FALSE)</f>
        <v>#N/A</v>
      </c>
      <c r="AE719" s="230" t="e">
        <f>T719-HLOOKUP(V719,Minimas!$C$3:$CD$12,5,FALSE)</f>
        <v>#N/A</v>
      </c>
      <c r="AF719" s="230" t="e">
        <f>T719-HLOOKUP(V719,Minimas!$C$3:$CD$12,6,FALSE)</f>
        <v>#N/A</v>
      </c>
      <c r="AG719" s="230" t="e">
        <f>T719-HLOOKUP(V719,Minimas!$C$3:$CD$12,7,FALSE)</f>
        <v>#N/A</v>
      </c>
      <c r="AH719" s="230" t="e">
        <f>T719-HLOOKUP(V719,Minimas!$C$3:$CD$12,8,FALSE)</f>
        <v>#N/A</v>
      </c>
      <c r="AI719" s="230" t="e">
        <f>T719-HLOOKUP(V719,Minimas!$C$3:$CD$12,9,FALSE)</f>
        <v>#N/A</v>
      </c>
      <c r="AJ719" s="230" t="e">
        <f>T719-HLOOKUP(V719,Minimas!$C$3:$CD$12,10,FALSE)</f>
        <v>#N/A</v>
      </c>
      <c r="AK719" s="231" t="str">
        <f t="shared" si="111"/>
        <v xml:space="preserve"> </v>
      </c>
      <c r="AL719" s="232"/>
      <c r="AM719" s="232" t="str">
        <f t="shared" si="112"/>
        <v xml:space="preserve"> </v>
      </c>
      <c r="AN719" s="232" t="str">
        <f t="shared" si="113"/>
        <v xml:space="preserve"> </v>
      </c>
    </row>
    <row r="720" spans="28:40" x14ac:dyDescent="0.25">
      <c r="AB720" s="230" t="e">
        <f>T720-HLOOKUP(V720,Minimas!$C$3:$CD$12,2,FALSE)</f>
        <v>#N/A</v>
      </c>
      <c r="AC720" s="230" t="e">
        <f>T720-HLOOKUP(V720,Minimas!$C$3:$CD$12,3,FALSE)</f>
        <v>#N/A</v>
      </c>
      <c r="AD720" s="230" t="e">
        <f>T720-HLOOKUP(V720,Minimas!$C$3:$CD$12,4,FALSE)</f>
        <v>#N/A</v>
      </c>
      <c r="AE720" s="230" t="e">
        <f>T720-HLOOKUP(V720,Minimas!$C$3:$CD$12,5,FALSE)</f>
        <v>#N/A</v>
      </c>
      <c r="AF720" s="230" t="e">
        <f>T720-HLOOKUP(V720,Minimas!$C$3:$CD$12,6,FALSE)</f>
        <v>#N/A</v>
      </c>
      <c r="AG720" s="230" t="e">
        <f>T720-HLOOKUP(V720,Minimas!$C$3:$CD$12,7,FALSE)</f>
        <v>#N/A</v>
      </c>
      <c r="AH720" s="230" t="e">
        <f>T720-HLOOKUP(V720,Minimas!$C$3:$CD$12,8,FALSE)</f>
        <v>#N/A</v>
      </c>
      <c r="AI720" s="230" t="e">
        <f>T720-HLOOKUP(V720,Minimas!$C$3:$CD$12,9,FALSE)</f>
        <v>#N/A</v>
      </c>
      <c r="AJ720" s="230" t="e">
        <f>T720-HLOOKUP(V720,Minimas!$C$3:$CD$12,10,FALSE)</f>
        <v>#N/A</v>
      </c>
      <c r="AK720" s="231" t="str">
        <f t="shared" si="111"/>
        <v xml:space="preserve"> </v>
      </c>
      <c r="AL720" s="232"/>
      <c r="AM720" s="232" t="str">
        <f t="shared" si="112"/>
        <v xml:space="preserve"> </v>
      </c>
      <c r="AN720" s="232" t="str">
        <f t="shared" si="113"/>
        <v xml:space="preserve"> </v>
      </c>
    </row>
    <row r="721" spans="28:40" x14ac:dyDescent="0.25">
      <c r="AB721" s="230" t="e">
        <f>T721-HLOOKUP(V721,Minimas!$C$3:$CD$12,2,FALSE)</f>
        <v>#N/A</v>
      </c>
      <c r="AC721" s="230" t="e">
        <f>T721-HLOOKUP(V721,Minimas!$C$3:$CD$12,3,FALSE)</f>
        <v>#N/A</v>
      </c>
      <c r="AD721" s="230" t="e">
        <f>T721-HLOOKUP(V721,Minimas!$C$3:$CD$12,4,FALSE)</f>
        <v>#N/A</v>
      </c>
      <c r="AE721" s="230" t="e">
        <f>T721-HLOOKUP(V721,Minimas!$C$3:$CD$12,5,FALSE)</f>
        <v>#N/A</v>
      </c>
      <c r="AF721" s="230" t="e">
        <f>T721-HLOOKUP(V721,Minimas!$C$3:$CD$12,6,FALSE)</f>
        <v>#N/A</v>
      </c>
      <c r="AG721" s="230" t="e">
        <f>T721-HLOOKUP(V721,Minimas!$C$3:$CD$12,7,FALSE)</f>
        <v>#N/A</v>
      </c>
      <c r="AH721" s="230" t="e">
        <f>T721-HLOOKUP(V721,Minimas!$C$3:$CD$12,8,FALSE)</f>
        <v>#N/A</v>
      </c>
      <c r="AI721" s="230" t="e">
        <f>T721-HLOOKUP(V721,Minimas!$C$3:$CD$12,9,FALSE)</f>
        <v>#N/A</v>
      </c>
      <c r="AJ721" s="230" t="e">
        <f>T721-HLOOKUP(V721,Minimas!$C$3:$CD$12,10,FALSE)</f>
        <v>#N/A</v>
      </c>
      <c r="AK721" s="231" t="str">
        <f t="shared" si="111"/>
        <v xml:space="preserve"> </v>
      </c>
      <c r="AL721" s="232"/>
      <c r="AM721" s="232" t="str">
        <f t="shared" si="112"/>
        <v xml:space="preserve"> </v>
      </c>
      <c r="AN721" s="232" t="str">
        <f t="shared" si="113"/>
        <v xml:space="preserve"> </v>
      </c>
    </row>
    <row r="722" spans="28:40" x14ac:dyDescent="0.25">
      <c r="AB722" s="230" t="e">
        <f>T722-HLOOKUP(V722,Minimas!$C$3:$CD$12,2,FALSE)</f>
        <v>#N/A</v>
      </c>
      <c r="AC722" s="230" t="e">
        <f>T722-HLOOKUP(V722,Minimas!$C$3:$CD$12,3,FALSE)</f>
        <v>#N/A</v>
      </c>
      <c r="AD722" s="230" t="e">
        <f>T722-HLOOKUP(V722,Minimas!$C$3:$CD$12,4,FALSE)</f>
        <v>#N/A</v>
      </c>
      <c r="AE722" s="230" t="e">
        <f>T722-HLOOKUP(V722,Minimas!$C$3:$CD$12,5,FALSE)</f>
        <v>#N/A</v>
      </c>
      <c r="AF722" s="230" t="e">
        <f>T722-HLOOKUP(V722,Minimas!$C$3:$CD$12,6,FALSE)</f>
        <v>#N/A</v>
      </c>
      <c r="AG722" s="230" t="e">
        <f>T722-HLOOKUP(V722,Minimas!$C$3:$CD$12,7,FALSE)</f>
        <v>#N/A</v>
      </c>
      <c r="AH722" s="230" t="e">
        <f>T722-HLOOKUP(V722,Minimas!$C$3:$CD$12,8,FALSE)</f>
        <v>#N/A</v>
      </c>
      <c r="AI722" s="230" t="e">
        <f>T722-HLOOKUP(V722,Minimas!$C$3:$CD$12,9,FALSE)</f>
        <v>#N/A</v>
      </c>
      <c r="AJ722" s="230" t="e">
        <f>T722-HLOOKUP(V722,Minimas!$C$3:$CD$12,10,FALSE)</f>
        <v>#N/A</v>
      </c>
      <c r="AK722" s="231" t="str">
        <f t="shared" si="111"/>
        <v xml:space="preserve"> </v>
      </c>
      <c r="AL722" s="232"/>
      <c r="AM722" s="232" t="str">
        <f t="shared" si="112"/>
        <v xml:space="preserve"> </v>
      </c>
      <c r="AN722" s="232" t="str">
        <f t="shared" si="113"/>
        <v xml:space="preserve"> </v>
      </c>
    </row>
    <row r="723" spans="28:40" x14ac:dyDescent="0.25">
      <c r="AB723" s="230" t="e">
        <f>T723-HLOOKUP(V723,Minimas!$C$3:$CD$12,2,FALSE)</f>
        <v>#N/A</v>
      </c>
      <c r="AC723" s="230" t="e">
        <f>T723-HLOOKUP(V723,Minimas!$C$3:$CD$12,3,FALSE)</f>
        <v>#N/A</v>
      </c>
      <c r="AD723" s="230" t="e">
        <f>T723-HLOOKUP(V723,Minimas!$C$3:$CD$12,4,FALSE)</f>
        <v>#N/A</v>
      </c>
      <c r="AE723" s="230" t="e">
        <f>T723-HLOOKUP(V723,Minimas!$C$3:$CD$12,5,FALSE)</f>
        <v>#N/A</v>
      </c>
      <c r="AF723" s="230" t="e">
        <f>T723-HLOOKUP(V723,Minimas!$C$3:$CD$12,6,FALSE)</f>
        <v>#N/A</v>
      </c>
      <c r="AG723" s="230" t="e">
        <f>T723-HLOOKUP(V723,Minimas!$C$3:$CD$12,7,FALSE)</f>
        <v>#N/A</v>
      </c>
      <c r="AH723" s="230" t="e">
        <f>T723-HLOOKUP(V723,Minimas!$C$3:$CD$12,8,FALSE)</f>
        <v>#N/A</v>
      </c>
      <c r="AI723" s="230" t="e">
        <f>T723-HLOOKUP(V723,Minimas!$C$3:$CD$12,9,FALSE)</f>
        <v>#N/A</v>
      </c>
      <c r="AJ723" s="230" t="e">
        <f>T723-HLOOKUP(V723,Minimas!$C$3:$CD$12,10,FALSE)</f>
        <v>#N/A</v>
      </c>
      <c r="AK723" s="231" t="str">
        <f t="shared" si="111"/>
        <v xml:space="preserve"> </v>
      </c>
      <c r="AL723" s="232"/>
      <c r="AM723" s="232" t="str">
        <f t="shared" si="112"/>
        <v xml:space="preserve"> </v>
      </c>
      <c r="AN723" s="232" t="str">
        <f t="shared" si="113"/>
        <v xml:space="preserve"> </v>
      </c>
    </row>
    <row r="724" spans="28:40" x14ac:dyDescent="0.25">
      <c r="AB724" s="230" t="e">
        <f>T724-HLOOKUP(V724,Minimas!$C$3:$CD$12,2,FALSE)</f>
        <v>#N/A</v>
      </c>
      <c r="AC724" s="230" t="e">
        <f>T724-HLOOKUP(V724,Minimas!$C$3:$CD$12,3,FALSE)</f>
        <v>#N/A</v>
      </c>
      <c r="AD724" s="230" t="e">
        <f>T724-HLOOKUP(V724,Minimas!$C$3:$CD$12,4,FALSE)</f>
        <v>#N/A</v>
      </c>
      <c r="AE724" s="230" t="e">
        <f>T724-HLOOKUP(V724,Minimas!$C$3:$CD$12,5,FALSE)</f>
        <v>#N/A</v>
      </c>
      <c r="AF724" s="230" t="e">
        <f>T724-HLOOKUP(V724,Minimas!$C$3:$CD$12,6,FALSE)</f>
        <v>#N/A</v>
      </c>
      <c r="AG724" s="230" t="e">
        <f>T724-HLOOKUP(V724,Minimas!$C$3:$CD$12,7,FALSE)</f>
        <v>#N/A</v>
      </c>
      <c r="AH724" s="230" t="e">
        <f>T724-HLOOKUP(V724,Minimas!$C$3:$CD$12,8,FALSE)</f>
        <v>#N/A</v>
      </c>
      <c r="AI724" s="230" t="e">
        <f>T724-HLOOKUP(V724,Minimas!$C$3:$CD$12,9,FALSE)</f>
        <v>#N/A</v>
      </c>
      <c r="AJ724" s="230" t="e">
        <f>T724-HLOOKUP(V724,Minimas!$C$3:$CD$12,10,FALSE)</f>
        <v>#N/A</v>
      </c>
      <c r="AK724" s="231" t="str">
        <f t="shared" si="111"/>
        <v xml:space="preserve"> </v>
      </c>
      <c r="AL724" s="232"/>
      <c r="AM724" s="232" t="str">
        <f t="shared" si="112"/>
        <v xml:space="preserve"> </v>
      </c>
      <c r="AN724" s="232" t="str">
        <f t="shared" si="113"/>
        <v xml:space="preserve"> </v>
      </c>
    </row>
    <row r="725" spans="28:40" x14ac:dyDescent="0.25">
      <c r="AB725" s="230" t="e">
        <f>T725-HLOOKUP(V725,Minimas!$C$3:$CD$12,2,FALSE)</f>
        <v>#N/A</v>
      </c>
      <c r="AC725" s="230" t="e">
        <f>T725-HLOOKUP(V725,Minimas!$C$3:$CD$12,3,FALSE)</f>
        <v>#N/A</v>
      </c>
      <c r="AD725" s="230" t="e">
        <f>T725-HLOOKUP(V725,Minimas!$C$3:$CD$12,4,FALSE)</f>
        <v>#N/A</v>
      </c>
      <c r="AE725" s="230" t="e">
        <f>T725-HLOOKUP(V725,Minimas!$C$3:$CD$12,5,FALSE)</f>
        <v>#N/A</v>
      </c>
      <c r="AF725" s="230" t="e">
        <f>T725-HLOOKUP(V725,Minimas!$C$3:$CD$12,6,FALSE)</f>
        <v>#N/A</v>
      </c>
      <c r="AG725" s="230" t="e">
        <f>T725-HLOOKUP(V725,Minimas!$C$3:$CD$12,7,FALSE)</f>
        <v>#N/A</v>
      </c>
      <c r="AH725" s="230" t="e">
        <f>T725-HLOOKUP(V725,Minimas!$C$3:$CD$12,8,FALSE)</f>
        <v>#N/A</v>
      </c>
      <c r="AI725" s="230" t="e">
        <f>T725-HLOOKUP(V725,Minimas!$C$3:$CD$12,9,FALSE)</f>
        <v>#N/A</v>
      </c>
      <c r="AJ725" s="230" t="e">
        <f>T725-HLOOKUP(V725,Minimas!$C$3:$CD$12,10,FALSE)</f>
        <v>#N/A</v>
      </c>
      <c r="AK725" s="231" t="str">
        <f t="shared" si="111"/>
        <v xml:space="preserve"> </v>
      </c>
      <c r="AL725" s="232"/>
      <c r="AM725" s="232" t="str">
        <f t="shared" si="112"/>
        <v xml:space="preserve"> </v>
      </c>
      <c r="AN725" s="232" t="str">
        <f t="shared" si="113"/>
        <v xml:space="preserve"> </v>
      </c>
    </row>
    <row r="726" spans="28:40" x14ac:dyDescent="0.25">
      <c r="AB726" s="230" t="e">
        <f>T726-HLOOKUP(V726,Minimas!$C$3:$CD$12,2,FALSE)</f>
        <v>#N/A</v>
      </c>
      <c r="AC726" s="230" t="e">
        <f>T726-HLOOKUP(V726,Minimas!$C$3:$CD$12,3,FALSE)</f>
        <v>#N/A</v>
      </c>
      <c r="AD726" s="230" t="e">
        <f>T726-HLOOKUP(V726,Minimas!$C$3:$CD$12,4,FALSE)</f>
        <v>#N/A</v>
      </c>
      <c r="AE726" s="230" t="e">
        <f>T726-HLOOKUP(V726,Minimas!$C$3:$CD$12,5,FALSE)</f>
        <v>#N/A</v>
      </c>
      <c r="AF726" s="230" t="e">
        <f>T726-HLOOKUP(V726,Minimas!$C$3:$CD$12,6,FALSE)</f>
        <v>#N/A</v>
      </c>
      <c r="AG726" s="230" t="e">
        <f>T726-HLOOKUP(V726,Minimas!$C$3:$CD$12,7,FALSE)</f>
        <v>#N/A</v>
      </c>
      <c r="AH726" s="230" t="e">
        <f>T726-HLOOKUP(V726,Minimas!$C$3:$CD$12,8,FALSE)</f>
        <v>#N/A</v>
      </c>
      <c r="AI726" s="230" t="e">
        <f>T726-HLOOKUP(V726,Minimas!$C$3:$CD$12,9,FALSE)</f>
        <v>#N/A</v>
      </c>
      <c r="AJ726" s="230" t="e">
        <f>T726-HLOOKUP(V726,Minimas!$C$3:$CD$12,10,FALSE)</f>
        <v>#N/A</v>
      </c>
      <c r="AK726" s="231" t="str">
        <f t="shared" si="111"/>
        <v xml:space="preserve"> </v>
      </c>
      <c r="AL726" s="232"/>
      <c r="AM726" s="232" t="str">
        <f t="shared" si="112"/>
        <v xml:space="preserve"> </v>
      </c>
      <c r="AN726" s="232" t="str">
        <f t="shared" si="113"/>
        <v xml:space="preserve"> </v>
      </c>
    </row>
    <row r="727" spans="28:40" x14ac:dyDescent="0.25">
      <c r="AB727" s="230" t="e">
        <f>T727-HLOOKUP(V727,Minimas!$C$3:$CD$12,2,FALSE)</f>
        <v>#N/A</v>
      </c>
      <c r="AC727" s="230" t="e">
        <f>T727-HLOOKUP(V727,Minimas!$C$3:$CD$12,3,FALSE)</f>
        <v>#N/A</v>
      </c>
      <c r="AD727" s="230" t="e">
        <f>T727-HLOOKUP(V727,Minimas!$C$3:$CD$12,4,FALSE)</f>
        <v>#N/A</v>
      </c>
      <c r="AE727" s="230" t="e">
        <f>T727-HLOOKUP(V727,Minimas!$C$3:$CD$12,5,FALSE)</f>
        <v>#N/A</v>
      </c>
      <c r="AF727" s="230" t="e">
        <f>T727-HLOOKUP(V727,Minimas!$C$3:$CD$12,6,FALSE)</f>
        <v>#N/A</v>
      </c>
      <c r="AG727" s="230" t="e">
        <f>T727-HLOOKUP(V727,Minimas!$C$3:$CD$12,7,FALSE)</f>
        <v>#N/A</v>
      </c>
      <c r="AH727" s="230" t="e">
        <f>T727-HLOOKUP(V727,Minimas!$C$3:$CD$12,8,FALSE)</f>
        <v>#N/A</v>
      </c>
      <c r="AI727" s="230" t="e">
        <f>T727-HLOOKUP(V727,Minimas!$C$3:$CD$12,9,FALSE)</f>
        <v>#N/A</v>
      </c>
      <c r="AJ727" s="230" t="e">
        <f>T727-HLOOKUP(V727,Minimas!$C$3:$CD$12,10,FALSE)</f>
        <v>#N/A</v>
      </c>
      <c r="AK727" s="231" t="str">
        <f t="shared" si="111"/>
        <v xml:space="preserve"> </v>
      </c>
      <c r="AL727" s="232"/>
      <c r="AM727" s="232" t="str">
        <f t="shared" si="112"/>
        <v xml:space="preserve"> </v>
      </c>
      <c r="AN727" s="232" t="str">
        <f t="shared" si="113"/>
        <v xml:space="preserve"> </v>
      </c>
    </row>
    <row r="728" spans="28:40" x14ac:dyDescent="0.25">
      <c r="AB728" s="230" t="e">
        <f>T728-HLOOKUP(V728,Minimas!$C$3:$CD$12,2,FALSE)</f>
        <v>#N/A</v>
      </c>
      <c r="AC728" s="230" t="e">
        <f>T728-HLOOKUP(V728,Minimas!$C$3:$CD$12,3,FALSE)</f>
        <v>#N/A</v>
      </c>
      <c r="AD728" s="230" t="e">
        <f>T728-HLOOKUP(V728,Minimas!$C$3:$CD$12,4,FALSE)</f>
        <v>#N/A</v>
      </c>
      <c r="AE728" s="230" t="e">
        <f>T728-HLOOKUP(V728,Minimas!$C$3:$CD$12,5,FALSE)</f>
        <v>#N/A</v>
      </c>
      <c r="AF728" s="230" t="e">
        <f>T728-HLOOKUP(V728,Minimas!$C$3:$CD$12,6,FALSE)</f>
        <v>#N/A</v>
      </c>
      <c r="AG728" s="230" t="e">
        <f>T728-HLOOKUP(V728,Minimas!$C$3:$CD$12,7,FALSE)</f>
        <v>#N/A</v>
      </c>
      <c r="AH728" s="230" t="e">
        <f>T728-HLOOKUP(V728,Minimas!$C$3:$CD$12,8,FALSE)</f>
        <v>#N/A</v>
      </c>
      <c r="AI728" s="230" t="e">
        <f>T728-HLOOKUP(V728,Minimas!$C$3:$CD$12,9,FALSE)</f>
        <v>#N/A</v>
      </c>
      <c r="AJ728" s="230" t="e">
        <f>T728-HLOOKUP(V728,Minimas!$C$3:$CD$12,10,FALSE)</f>
        <v>#N/A</v>
      </c>
      <c r="AK728" s="231" t="str">
        <f t="shared" si="111"/>
        <v xml:space="preserve"> </v>
      </c>
      <c r="AL728" s="232"/>
      <c r="AM728" s="232" t="str">
        <f t="shared" si="112"/>
        <v xml:space="preserve"> </v>
      </c>
      <c r="AN728" s="232" t="str">
        <f t="shared" si="113"/>
        <v xml:space="preserve"> </v>
      </c>
    </row>
    <row r="729" spans="28:40" x14ac:dyDescent="0.25">
      <c r="AB729" s="230" t="e">
        <f>T729-HLOOKUP(V729,Minimas!$C$3:$CD$12,2,FALSE)</f>
        <v>#N/A</v>
      </c>
      <c r="AC729" s="230" t="e">
        <f>T729-HLOOKUP(V729,Minimas!$C$3:$CD$12,3,FALSE)</f>
        <v>#N/A</v>
      </c>
      <c r="AD729" s="230" t="e">
        <f>T729-HLOOKUP(V729,Minimas!$C$3:$CD$12,4,FALSE)</f>
        <v>#N/A</v>
      </c>
      <c r="AE729" s="230" t="e">
        <f>T729-HLOOKUP(V729,Minimas!$C$3:$CD$12,5,FALSE)</f>
        <v>#N/A</v>
      </c>
      <c r="AF729" s="230" t="e">
        <f>T729-HLOOKUP(V729,Minimas!$C$3:$CD$12,6,FALSE)</f>
        <v>#N/A</v>
      </c>
      <c r="AG729" s="230" t="e">
        <f>T729-HLOOKUP(V729,Minimas!$C$3:$CD$12,7,FALSE)</f>
        <v>#N/A</v>
      </c>
      <c r="AH729" s="230" t="e">
        <f>T729-HLOOKUP(V729,Minimas!$C$3:$CD$12,8,FALSE)</f>
        <v>#N/A</v>
      </c>
      <c r="AI729" s="230" t="e">
        <f>T729-HLOOKUP(V729,Minimas!$C$3:$CD$12,9,FALSE)</f>
        <v>#N/A</v>
      </c>
      <c r="AJ729" s="230" t="e">
        <f>T729-HLOOKUP(V729,Minimas!$C$3:$CD$12,10,FALSE)</f>
        <v>#N/A</v>
      </c>
      <c r="AK729" s="231" t="str">
        <f t="shared" si="111"/>
        <v xml:space="preserve"> </v>
      </c>
      <c r="AL729" s="232"/>
      <c r="AM729" s="232" t="str">
        <f t="shared" si="112"/>
        <v xml:space="preserve"> </v>
      </c>
      <c r="AN729" s="232" t="str">
        <f t="shared" si="113"/>
        <v xml:space="preserve"> </v>
      </c>
    </row>
    <row r="730" spans="28:40" x14ac:dyDescent="0.25">
      <c r="AB730" s="230" t="e">
        <f>T730-HLOOKUP(V730,Minimas!$C$3:$CD$12,2,FALSE)</f>
        <v>#N/A</v>
      </c>
      <c r="AC730" s="230" t="e">
        <f>T730-HLOOKUP(V730,Minimas!$C$3:$CD$12,3,FALSE)</f>
        <v>#N/A</v>
      </c>
      <c r="AD730" s="230" t="e">
        <f>T730-HLOOKUP(V730,Minimas!$C$3:$CD$12,4,FALSE)</f>
        <v>#N/A</v>
      </c>
      <c r="AE730" s="230" t="e">
        <f>T730-HLOOKUP(V730,Minimas!$C$3:$CD$12,5,FALSE)</f>
        <v>#N/A</v>
      </c>
      <c r="AF730" s="230" t="e">
        <f>T730-HLOOKUP(V730,Minimas!$C$3:$CD$12,6,FALSE)</f>
        <v>#N/A</v>
      </c>
      <c r="AG730" s="230" t="e">
        <f>T730-HLOOKUP(V730,Minimas!$C$3:$CD$12,7,FALSE)</f>
        <v>#N/A</v>
      </c>
      <c r="AH730" s="230" t="e">
        <f>T730-HLOOKUP(V730,Minimas!$C$3:$CD$12,8,FALSE)</f>
        <v>#N/A</v>
      </c>
      <c r="AI730" s="230" t="e">
        <f>T730-HLOOKUP(V730,Minimas!$C$3:$CD$12,9,FALSE)</f>
        <v>#N/A</v>
      </c>
      <c r="AJ730" s="230" t="e">
        <f>T730-HLOOKUP(V730,Minimas!$C$3:$CD$12,10,FALSE)</f>
        <v>#N/A</v>
      </c>
      <c r="AK730" s="231" t="str">
        <f t="shared" si="111"/>
        <v xml:space="preserve"> </v>
      </c>
      <c r="AL730" s="232"/>
      <c r="AM730" s="232" t="str">
        <f t="shared" si="112"/>
        <v xml:space="preserve"> </v>
      </c>
      <c r="AN730" s="232" t="str">
        <f t="shared" si="113"/>
        <v xml:space="preserve"> </v>
      </c>
    </row>
    <row r="731" spans="28:40" x14ac:dyDescent="0.25">
      <c r="AB731" s="230" t="e">
        <f>T731-HLOOKUP(V731,Minimas!$C$3:$CD$12,2,FALSE)</f>
        <v>#N/A</v>
      </c>
      <c r="AC731" s="230" t="e">
        <f>T731-HLOOKUP(V731,Minimas!$C$3:$CD$12,3,FALSE)</f>
        <v>#N/A</v>
      </c>
      <c r="AD731" s="230" t="e">
        <f>T731-HLOOKUP(V731,Minimas!$C$3:$CD$12,4,FALSE)</f>
        <v>#N/A</v>
      </c>
      <c r="AE731" s="230" t="e">
        <f>T731-HLOOKUP(V731,Minimas!$C$3:$CD$12,5,FALSE)</f>
        <v>#N/A</v>
      </c>
      <c r="AF731" s="230" t="e">
        <f>T731-HLOOKUP(V731,Minimas!$C$3:$CD$12,6,FALSE)</f>
        <v>#N/A</v>
      </c>
      <c r="AG731" s="230" t="e">
        <f>T731-HLOOKUP(V731,Minimas!$C$3:$CD$12,7,FALSE)</f>
        <v>#N/A</v>
      </c>
      <c r="AH731" s="230" t="e">
        <f>T731-HLOOKUP(V731,Minimas!$C$3:$CD$12,8,FALSE)</f>
        <v>#N/A</v>
      </c>
      <c r="AI731" s="230" t="e">
        <f>T731-HLOOKUP(V731,Minimas!$C$3:$CD$12,9,FALSE)</f>
        <v>#N/A</v>
      </c>
      <c r="AJ731" s="230" t="e">
        <f>T731-HLOOKUP(V731,Minimas!$C$3:$CD$12,10,FALSE)</f>
        <v>#N/A</v>
      </c>
      <c r="AK731" s="231" t="str">
        <f t="shared" si="111"/>
        <v xml:space="preserve"> </v>
      </c>
      <c r="AL731" s="232"/>
      <c r="AM731" s="232" t="str">
        <f t="shared" si="112"/>
        <v xml:space="preserve"> </v>
      </c>
      <c r="AN731" s="232" t="str">
        <f t="shared" si="113"/>
        <v xml:space="preserve"> </v>
      </c>
    </row>
    <row r="732" spans="28:40" x14ac:dyDescent="0.25">
      <c r="AB732" s="230" t="e">
        <f>T732-HLOOKUP(V732,Minimas!$C$3:$CD$12,2,FALSE)</f>
        <v>#N/A</v>
      </c>
      <c r="AC732" s="230" t="e">
        <f>T732-HLOOKUP(V732,Minimas!$C$3:$CD$12,3,FALSE)</f>
        <v>#N/A</v>
      </c>
      <c r="AD732" s="230" t="e">
        <f>T732-HLOOKUP(V732,Minimas!$C$3:$CD$12,4,FALSE)</f>
        <v>#N/A</v>
      </c>
      <c r="AE732" s="230" t="e">
        <f>T732-HLOOKUP(V732,Minimas!$C$3:$CD$12,5,FALSE)</f>
        <v>#N/A</v>
      </c>
      <c r="AF732" s="230" t="e">
        <f>T732-HLOOKUP(V732,Minimas!$C$3:$CD$12,6,FALSE)</f>
        <v>#N/A</v>
      </c>
      <c r="AG732" s="230" t="e">
        <f>T732-HLOOKUP(V732,Minimas!$C$3:$CD$12,7,FALSE)</f>
        <v>#N/A</v>
      </c>
      <c r="AH732" s="230" t="e">
        <f>T732-HLOOKUP(V732,Minimas!$C$3:$CD$12,8,FALSE)</f>
        <v>#N/A</v>
      </c>
      <c r="AI732" s="230" t="e">
        <f>T732-HLOOKUP(V732,Minimas!$C$3:$CD$12,9,FALSE)</f>
        <v>#N/A</v>
      </c>
      <c r="AJ732" s="230" t="e">
        <f>T732-HLOOKUP(V732,Minimas!$C$3:$CD$12,10,FALSE)</f>
        <v>#N/A</v>
      </c>
      <c r="AK732" s="231" t="str">
        <f t="shared" si="111"/>
        <v xml:space="preserve"> </v>
      </c>
      <c r="AL732" s="232"/>
      <c r="AM732" s="232" t="str">
        <f t="shared" si="112"/>
        <v xml:space="preserve"> </v>
      </c>
      <c r="AN732" s="232" t="str">
        <f t="shared" si="113"/>
        <v xml:space="preserve"> </v>
      </c>
    </row>
    <row r="733" spans="28:40" x14ac:dyDescent="0.25">
      <c r="AB733" s="230" t="e">
        <f>T733-HLOOKUP(V733,Minimas!$C$3:$CD$12,2,FALSE)</f>
        <v>#N/A</v>
      </c>
      <c r="AC733" s="230" t="e">
        <f>T733-HLOOKUP(V733,Minimas!$C$3:$CD$12,3,FALSE)</f>
        <v>#N/A</v>
      </c>
      <c r="AD733" s="230" t="e">
        <f>T733-HLOOKUP(V733,Minimas!$C$3:$CD$12,4,FALSE)</f>
        <v>#N/A</v>
      </c>
      <c r="AE733" s="230" t="e">
        <f>T733-HLOOKUP(V733,Minimas!$C$3:$CD$12,5,FALSE)</f>
        <v>#N/A</v>
      </c>
      <c r="AF733" s="230" t="e">
        <f>T733-HLOOKUP(V733,Minimas!$C$3:$CD$12,6,FALSE)</f>
        <v>#N/A</v>
      </c>
      <c r="AG733" s="230" t="e">
        <f>T733-HLOOKUP(V733,Minimas!$C$3:$CD$12,7,FALSE)</f>
        <v>#N/A</v>
      </c>
      <c r="AH733" s="230" t="e">
        <f>T733-HLOOKUP(V733,Minimas!$C$3:$CD$12,8,FALSE)</f>
        <v>#N/A</v>
      </c>
      <c r="AI733" s="230" t="e">
        <f>T733-HLOOKUP(V733,Minimas!$C$3:$CD$12,9,FALSE)</f>
        <v>#N/A</v>
      </c>
      <c r="AJ733" s="230" t="e">
        <f>T733-HLOOKUP(V733,Minimas!$C$3:$CD$12,10,FALSE)</f>
        <v>#N/A</v>
      </c>
      <c r="AK733" s="231" t="str">
        <f t="shared" si="111"/>
        <v xml:space="preserve"> </v>
      </c>
      <c r="AL733" s="232"/>
      <c r="AM733" s="232" t="str">
        <f t="shared" si="112"/>
        <v xml:space="preserve"> </v>
      </c>
      <c r="AN733" s="232" t="str">
        <f t="shared" si="113"/>
        <v xml:space="preserve"> </v>
      </c>
    </row>
    <row r="734" spans="28:40" x14ac:dyDescent="0.25">
      <c r="AB734" s="230" t="e">
        <f>T734-HLOOKUP(V734,Minimas!$C$3:$CD$12,2,FALSE)</f>
        <v>#N/A</v>
      </c>
      <c r="AC734" s="230" t="e">
        <f>T734-HLOOKUP(V734,Minimas!$C$3:$CD$12,3,FALSE)</f>
        <v>#N/A</v>
      </c>
      <c r="AD734" s="230" t="e">
        <f>T734-HLOOKUP(V734,Minimas!$C$3:$CD$12,4,FALSE)</f>
        <v>#N/A</v>
      </c>
      <c r="AE734" s="230" t="e">
        <f>T734-HLOOKUP(V734,Minimas!$C$3:$CD$12,5,FALSE)</f>
        <v>#N/A</v>
      </c>
      <c r="AF734" s="230" t="e">
        <f>T734-HLOOKUP(V734,Minimas!$C$3:$CD$12,6,FALSE)</f>
        <v>#N/A</v>
      </c>
      <c r="AG734" s="230" t="e">
        <f>T734-HLOOKUP(V734,Minimas!$C$3:$CD$12,7,FALSE)</f>
        <v>#N/A</v>
      </c>
      <c r="AH734" s="230" t="e">
        <f>T734-HLOOKUP(V734,Minimas!$C$3:$CD$12,8,FALSE)</f>
        <v>#N/A</v>
      </c>
      <c r="AI734" s="230" t="e">
        <f>T734-HLOOKUP(V734,Minimas!$C$3:$CD$12,9,FALSE)</f>
        <v>#N/A</v>
      </c>
      <c r="AJ734" s="230" t="e">
        <f>T734-HLOOKUP(V734,Minimas!$C$3:$CD$12,10,FALSE)</f>
        <v>#N/A</v>
      </c>
      <c r="AK734" s="231" t="str">
        <f t="shared" si="111"/>
        <v xml:space="preserve"> </v>
      </c>
      <c r="AL734" s="232"/>
      <c r="AM734" s="232" t="str">
        <f t="shared" si="112"/>
        <v xml:space="preserve"> </v>
      </c>
      <c r="AN734" s="232" t="str">
        <f t="shared" si="113"/>
        <v xml:space="preserve"> </v>
      </c>
    </row>
    <row r="735" spans="28:40" x14ac:dyDescent="0.25">
      <c r="AB735" s="230" t="e">
        <f>T735-HLOOKUP(V735,Minimas!$C$3:$CD$12,2,FALSE)</f>
        <v>#N/A</v>
      </c>
      <c r="AC735" s="230" t="e">
        <f>T735-HLOOKUP(V735,Minimas!$C$3:$CD$12,3,FALSE)</f>
        <v>#N/A</v>
      </c>
      <c r="AD735" s="230" t="e">
        <f>T735-HLOOKUP(V735,Minimas!$C$3:$CD$12,4,FALSE)</f>
        <v>#N/A</v>
      </c>
      <c r="AE735" s="230" t="e">
        <f>T735-HLOOKUP(V735,Minimas!$C$3:$CD$12,5,FALSE)</f>
        <v>#N/A</v>
      </c>
      <c r="AF735" s="230" t="e">
        <f>T735-HLOOKUP(V735,Minimas!$C$3:$CD$12,6,FALSE)</f>
        <v>#N/A</v>
      </c>
      <c r="AG735" s="230" t="e">
        <f>T735-HLOOKUP(V735,Minimas!$C$3:$CD$12,7,FALSE)</f>
        <v>#N/A</v>
      </c>
      <c r="AH735" s="230" t="e">
        <f>T735-HLOOKUP(V735,Minimas!$C$3:$CD$12,8,FALSE)</f>
        <v>#N/A</v>
      </c>
      <c r="AI735" s="230" t="e">
        <f>T735-HLOOKUP(V735,Minimas!$C$3:$CD$12,9,FALSE)</f>
        <v>#N/A</v>
      </c>
      <c r="AJ735" s="230" t="e">
        <f>T735-HLOOKUP(V735,Minimas!$C$3:$CD$12,10,FALSE)</f>
        <v>#N/A</v>
      </c>
      <c r="AK735" s="231" t="str">
        <f t="shared" si="111"/>
        <v xml:space="preserve"> </v>
      </c>
      <c r="AL735" s="232"/>
      <c r="AM735" s="232" t="str">
        <f t="shared" si="112"/>
        <v xml:space="preserve"> </v>
      </c>
      <c r="AN735" s="232" t="str">
        <f t="shared" si="113"/>
        <v xml:space="preserve"> </v>
      </c>
    </row>
    <row r="736" spans="28:40" x14ac:dyDescent="0.25">
      <c r="AB736" s="230" t="e">
        <f>T736-HLOOKUP(V736,Minimas!$C$3:$CD$12,2,FALSE)</f>
        <v>#N/A</v>
      </c>
      <c r="AC736" s="230" t="e">
        <f>T736-HLOOKUP(V736,Minimas!$C$3:$CD$12,3,FALSE)</f>
        <v>#N/A</v>
      </c>
      <c r="AD736" s="230" t="e">
        <f>T736-HLOOKUP(V736,Minimas!$C$3:$CD$12,4,FALSE)</f>
        <v>#N/A</v>
      </c>
      <c r="AE736" s="230" t="e">
        <f>T736-HLOOKUP(V736,Minimas!$C$3:$CD$12,5,FALSE)</f>
        <v>#N/A</v>
      </c>
      <c r="AF736" s="230" t="e">
        <f>T736-HLOOKUP(V736,Minimas!$C$3:$CD$12,6,FALSE)</f>
        <v>#N/A</v>
      </c>
      <c r="AG736" s="230" t="e">
        <f>T736-HLOOKUP(V736,Minimas!$C$3:$CD$12,7,FALSE)</f>
        <v>#N/A</v>
      </c>
      <c r="AH736" s="230" t="e">
        <f>T736-HLOOKUP(V736,Minimas!$C$3:$CD$12,8,FALSE)</f>
        <v>#N/A</v>
      </c>
      <c r="AI736" s="230" t="e">
        <f>T736-HLOOKUP(V736,Minimas!$C$3:$CD$12,9,FALSE)</f>
        <v>#N/A</v>
      </c>
      <c r="AJ736" s="230" t="e">
        <f>T736-HLOOKUP(V736,Minimas!$C$3:$CD$12,10,FALSE)</f>
        <v>#N/A</v>
      </c>
      <c r="AK736" s="231" t="str">
        <f t="shared" si="111"/>
        <v xml:space="preserve"> </v>
      </c>
      <c r="AL736" s="232"/>
      <c r="AM736" s="232" t="str">
        <f t="shared" si="112"/>
        <v xml:space="preserve"> </v>
      </c>
      <c r="AN736" s="232" t="str">
        <f t="shared" si="113"/>
        <v xml:space="preserve"> </v>
      </c>
    </row>
    <row r="737" spans="28:40" x14ac:dyDescent="0.25">
      <c r="AB737" s="230" t="e">
        <f>T737-HLOOKUP(V737,Minimas!$C$3:$CD$12,2,FALSE)</f>
        <v>#N/A</v>
      </c>
      <c r="AC737" s="230" t="e">
        <f>T737-HLOOKUP(V737,Minimas!$C$3:$CD$12,3,FALSE)</f>
        <v>#N/A</v>
      </c>
      <c r="AD737" s="230" t="e">
        <f>T737-HLOOKUP(V737,Minimas!$C$3:$CD$12,4,FALSE)</f>
        <v>#N/A</v>
      </c>
      <c r="AE737" s="230" t="e">
        <f>T737-HLOOKUP(V737,Minimas!$C$3:$CD$12,5,FALSE)</f>
        <v>#N/A</v>
      </c>
      <c r="AF737" s="230" t="e">
        <f>T737-HLOOKUP(V737,Minimas!$C$3:$CD$12,6,FALSE)</f>
        <v>#N/A</v>
      </c>
      <c r="AG737" s="230" t="e">
        <f>T737-HLOOKUP(V737,Minimas!$C$3:$CD$12,7,FALSE)</f>
        <v>#N/A</v>
      </c>
      <c r="AH737" s="230" t="e">
        <f>T737-HLOOKUP(V737,Minimas!$C$3:$CD$12,8,FALSE)</f>
        <v>#N/A</v>
      </c>
      <c r="AI737" s="230" t="e">
        <f>T737-HLOOKUP(V737,Minimas!$C$3:$CD$12,9,FALSE)</f>
        <v>#N/A</v>
      </c>
      <c r="AJ737" s="230" t="e">
        <f>T737-HLOOKUP(V737,Minimas!$C$3:$CD$12,10,FALSE)</f>
        <v>#N/A</v>
      </c>
      <c r="AK737" s="231" t="str">
        <f t="shared" si="111"/>
        <v xml:space="preserve"> </v>
      </c>
      <c r="AL737" s="232"/>
      <c r="AM737" s="232" t="str">
        <f t="shared" si="112"/>
        <v xml:space="preserve"> </v>
      </c>
      <c r="AN737" s="232" t="str">
        <f t="shared" si="113"/>
        <v xml:space="preserve"> </v>
      </c>
    </row>
    <row r="738" spans="28:40" x14ac:dyDescent="0.25">
      <c r="AB738" s="230" t="e">
        <f>T738-HLOOKUP(V738,Minimas!$C$3:$CD$12,2,FALSE)</f>
        <v>#N/A</v>
      </c>
      <c r="AC738" s="230" t="e">
        <f>T738-HLOOKUP(V738,Minimas!$C$3:$CD$12,3,FALSE)</f>
        <v>#N/A</v>
      </c>
      <c r="AD738" s="230" t="e">
        <f>T738-HLOOKUP(V738,Minimas!$C$3:$CD$12,4,FALSE)</f>
        <v>#N/A</v>
      </c>
      <c r="AE738" s="230" t="e">
        <f>T738-HLOOKUP(V738,Minimas!$C$3:$CD$12,5,FALSE)</f>
        <v>#N/A</v>
      </c>
      <c r="AF738" s="230" t="e">
        <f>T738-HLOOKUP(V738,Minimas!$C$3:$CD$12,6,FALSE)</f>
        <v>#N/A</v>
      </c>
      <c r="AG738" s="230" t="e">
        <f>T738-HLOOKUP(V738,Minimas!$C$3:$CD$12,7,FALSE)</f>
        <v>#N/A</v>
      </c>
      <c r="AH738" s="230" t="e">
        <f>T738-HLOOKUP(V738,Minimas!$C$3:$CD$12,8,FALSE)</f>
        <v>#N/A</v>
      </c>
      <c r="AI738" s="230" t="e">
        <f>T738-HLOOKUP(V738,Minimas!$C$3:$CD$12,9,FALSE)</f>
        <v>#N/A</v>
      </c>
      <c r="AJ738" s="230" t="e">
        <f>T738-HLOOKUP(V738,Minimas!$C$3:$CD$12,10,FALSE)</f>
        <v>#N/A</v>
      </c>
      <c r="AK738" s="231" t="str">
        <f t="shared" si="111"/>
        <v xml:space="preserve"> </v>
      </c>
      <c r="AL738" s="232"/>
      <c r="AM738" s="232" t="str">
        <f t="shared" si="112"/>
        <v xml:space="preserve"> </v>
      </c>
      <c r="AN738" s="232" t="str">
        <f t="shared" si="113"/>
        <v xml:space="preserve"> </v>
      </c>
    </row>
    <row r="739" spans="28:40" x14ac:dyDescent="0.25">
      <c r="AB739" s="230" t="e">
        <f>T739-HLOOKUP(V739,Minimas!$C$3:$CD$12,2,FALSE)</f>
        <v>#N/A</v>
      </c>
      <c r="AC739" s="230" t="e">
        <f>T739-HLOOKUP(V739,Minimas!$C$3:$CD$12,3,FALSE)</f>
        <v>#N/A</v>
      </c>
      <c r="AD739" s="230" t="e">
        <f>T739-HLOOKUP(V739,Minimas!$C$3:$CD$12,4,FALSE)</f>
        <v>#N/A</v>
      </c>
      <c r="AE739" s="230" t="e">
        <f>T739-HLOOKUP(V739,Minimas!$C$3:$CD$12,5,FALSE)</f>
        <v>#N/A</v>
      </c>
      <c r="AF739" s="230" t="e">
        <f>T739-HLOOKUP(V739,Minimas!$C$3:$CD$12,6,FALSE)</f>
        <v>#N/A</v>
      </c>
      <c r="AG739" s="230" t="e">
        <f>T739-HLOOKUP(V739,Minimas!$C$3:$CD$12,7,FALSE)</f>
        <v>#N/A</v>
      </c>
      <c r="AH739" s="230" t="e">
        <f>T739-HLOOKUP(V739,Minimas!$C$3:$CD$12,8,FALSE)</f>
        <v>#N/A</v>
      </c>
      <c r="AI739" s="230" t="e">
        <f>T739-HLOOKUP(V739,Minimas!$C$3:$CD$12,9,FALSE)</f>
        <v>#N/A</v>
      </c>
      <c r="AJ739" s="230" t="e">
        <f>T739-HLOOKUP(V739,Minimas!$C$3:$CD$12,10,FALSE)</f>
        <v>#N/A</v>
      </c>
      <c r="AK739" s="231" t="str">
        <f t="shared" si="111"/>
        <v xml:space="preserve"> </v>
      </c>
      <c r="AL739" s="232"/>
      <c r="AM739" s="232" t="str">
        <f t="shared" si="112"/>
        <v xml:space="preserve"> </v>
      </c>
      <c r="AN739" s="232" t="str">
        <f t="shared" si="113"/>
        <v xml:space="preserve"> </v>
      </c>
    </row>
    <row r="740" spans="28:40" x14ac:dyDescent="0.25">
      <c r="AB740" s="230" t="e">
        <f>T740-HLOOKUP(V740,Minimas!$C$3:$CD$12,2,FALSE)</f>
        <v>#N/A</v>
      </c>
      <c r="AC740" s="230" t="e">
        <f>T740-HLOOKUP(V740,Minimas!$C$3:$CD$12,3,FALSE)</f>
        <v>#N/A</v>
      </c>
      <c r="AD740" s="230" t="e">
        <f>T740-HLOOKUP(V740,Minimas!$C$3:$CD$12,4,FALSE)</f>
        <v>#N/A</v>
      </c>
      <c r="AE740" s="230" t="e">
        <f>T740-HLOOKUP(V740,Minimas!$C$3:$CD$12,5,FALSE)</f>
        <v>#N/A</v>
      </c>
      <c r="AF740" s="230" t="e">
        <f>T740-HLOOKUP(V740,Minimas!$C$3:$CD$12,6,FALSE)</f>
        <v>#N/A</v>
      </c>
      <c r="AG740" s="230" t="e">
        <f>T740-HLOOKUP(V740,Minimas!$C$3:$CD$12,7,FALSE)</f>
        <v>#N/A</v>
      </c>
      <c r="AH740" s="230" t="e">
        <f>T740-HLOOKUP(V740,Minimas!$C$3:$CD$12,8,FALSE)</f>
        <v>#N/A</v>
      </c>
      <c r="AI740" s="230" t="e">
        <f>T740-HLOOKUP(V740,Minimas!$C$3:$CD$12,9,FALSE)</f>
        <v>#N/A</v>
      </c>
      <c r="AJ740" s="230" t="e">
        <f>T740-HLOOKUP(V740,Minimas!$C$3:$CD$12,10,FALSE)</f>
        <v>#N/A</v>
      </c>
      <c r="AK740" s="231" t="str">
        <f t="shared" si="111"/>
        <v xml:space="preserve"> </v>
      </c>
      <c r="AL740" s="232"/>
      <c r="AM740" s="232" t="str">
        <f t="shared" si="112"/>
        <v xml:space="preserve"> </v>
      </c>
      <c r="AN740" s="232" t="str">
        <f t="shared" si="113"/>
        <v xml:space="preserve"> </v>
      </c>
    </row>
    <row r="741" spans="28:40" x14ac:dyDescent="0.25">
      <c r="AB741" s="230" t="e">
        <f>T741-HLOOKUP(V741,Minimas!$C$3:$CD$12,2,FALSE)</f>
        <v>#N/A</v>
      </c>
      <c r="AC741" s="230" t="e">
        <f>T741-HLOOKUP(V741,Minimas!$C$3:$CD$12,3,FALSE)</f>
        <v>#N/A</v>
      </c>
      <c r="AD741" s="230" t="e">
        <f>T741-HLOOKUP(V741,Minimas!$C$3:$CD$12,4,FALSE)</f>
        <v>#N/A</v>
      </c>
      <c r="AE741" s="230" t="e">
        <f>T741-HLOOKUP(V741,Minimas!$C$3:$CD$12,5,FALSE)</f>
        <v>#N/A</v>
      </c>
      <c r="AF741" s="230" t="e">
        <f>T741-HLOOKUP(V741,Minimas!$C$3:$CD$12,6,FALSE)</f>
        <v>#N/A</v>
      </c>
      <c r="AG741" s="230" t="e">
        <f>T741-HLOOKUP(V741,Minimas!$C$3:$CD$12,7,FALSE)</f>
        <v>#N/A</v>
      </c>
      <c r="AH741" s="230" t="e">
        <f>T741-HLOOKUP(V741,Minimas!$C$3:$CD$12,8,FALSE)</f>
        <v>#N/A</v>
      </c>
      <c r="AI741" s="230" t="e">
        <f>T741-HLOOKUP(V741,Minimas!$C$3:$CD$12,9,FALSE)</f>
        <v>#N/A</v>
      </c>
      <c r="AJ741" s="230" t="e">
        <f>T741-HLOOKUP(V741,Minimas!$C$3:$CD$12,10,FALSE)</f>
        <v>#N/A</v>
      </c>
      <c r="AK741" s="231" t="str">
        <f t="shared" si="111"/>
        <v xml:space="preserve"> </v>
      </c>
      <c r="AL741" s="232"/>
      <c r="AM741" s="232" t="str">
        <f t="shared" si="112"/>
        <v xml:space="preserve"> </v>
      </c>
      <c r="AN741" s="232" t="str">
        <f t="shared" si="113"/>
        <v xml:space="preserve"> </v>
      </c>
    </row>
    <row r="742" spans="28:40" x14ac:dyDescent="0.25">
      <c r="AB742" s="230" t="e">
        <f>T742-HLOOKUP(V742,Minimas!$C$3:$CD$12,2,FALSE)</f>
        <v>#N/A</v>
      </c>
      <c r="AC742" s="230" t="e">
        <f>T742-HLOOKUP(V742,Minimas!$C$3:$CD$12,3,FALSE)</f>
        <v>#N/A</v>
      </c>
      <c r="AD742" s="230" t="e">
        <f>T742-HLOOKUP(V742,Minimas!$C$3:$CD$12,4,FALSE)</f>
        <v>#N/A</v>
      </c>
      <c r="AE742" s="230" t="e">
        <f>T742-HLOOKUP(V742,Minimas!$C$3:$CD$12,5,FALSE)</f>
        <v>#N/A</v>
      </c>
      <c r="AF742" s="230" t="e">
        <f>T742-HLOOKUP(V742,Minimas!$C$3:$CD$12,6,FALSE)</f>
        <v>#N/A</v>
      </c>
      <c r="AG742" s="230" t="e">
        <f>T742-HLOOKUP(V742,Minimas!$C$3:$CD$12,7,FALSE)</f>
        <v>#N/A</v>
      </c>
      <c r="AH742" s="230" t="e">
        <f>T742-HLOOKUP(V742,Minimas!$C$3:$CD$12,8,FALSE)</f>
        <v>#N/A</v>
      </c>
      <c r="AI742" s="230" t="e">
        <f>T742-HLOOKUP(V742,Minimas!$C$3:$CD$12,9,FALSE)</f>
        <v>#N/A</v>
      </c>
      <c r="AJ742" s="230" t="e">
        <f>T742-HLOOKUP(V742,Minimas!$C$3:$CD$12,10,FALSE)</f>
        <v>#N/A</v>
      </c>
      <c r="AK742" s="231" t="str">
        <f t="shared" si="111"/>
        <v xml:space="preserve"> </v>
      </c>
      <c r="AL742" s="232"/>
      <c r="AM742" s="232" t="str">
        <f t="shared" si="112"/>
        <v xml:space="preserve"> </v>
      </c>
      <c r="AN742" s="232" t="str">
        <f t="shared" si="113"/>
        <v xml:space="preserve"> </v>
      </c>
    </row>
    <row r="743" spans="28:40" x14ac:dyDescent="0.25">
      <c r="AB743" s="230" t="e">
        <f>T743-HLOOKUP(V743,Minimas!$C$3:$CD$12,2,FALSE)</f>
        <v>#N/A</v>
      </c>
      <c r="AC743" s="230" t="e">
        <f>T743-HLOOKUP(V743,Minimas!$C$3:$CD$12,3,FALSE)</f>
        <v>#N/A</v>
      </c>
      <c r="AD743" s="230" t="e">
        <f>T743-HLOOKUP(V743,Minimas!$C$3:$CD$12,4,FALSE)</f>
        <v>#N/A</v>
      </c>
      <c r="AE743" s="230" t="e">
        <f>T743-HLOOKUP(V743,Minimas!$C$3:$CD$12,5,FALSE)</f>
        <v>#N/A</v>
      </c>
      <c r="AF743" s="230" t="e">
        <f>T743-HLOOKUP(V743,Minimas!$C$3:$CD$12,6,FALSE)</f>
        <v>#N/A</v>
      </c>
      <c r="AG743" s="230" t="e">
        <f>T743-HLOOKUP(V743,Minimas!$C$3:$CD$12,7,FALSE)</f>
        <v>#N/A</v>
      </c>
      <c r="AH743" s="230" t="e">
        <f>T743-HLOOKUP(V743,Minimas!$C$3:$CD$12,8,FALSE)</f>
        <v>#N/A</v>
      </c>
      <c r="AI743" s="230" t="e">
        <f>T743-HLOOKUP(V743,Minimas!$C$3:$CD$12,9,FALSE)</f>
        <v>#N/A</v>
      </c>
      <c r="AJ743" s="230" t="e">
        <f>T743-HLOOKUP(V743,Minimas!$C$3:$CD$12,10,FALSE)</f>
        <v>#N/A</v>
      </c>
      <c r="AK743" s="231" t="str">
        <f t="shared" si="111"/>
        <v xml:space="preserve"> </v>
      </c>
      <c r="AL743" s="232"/>
      <c r="AM743" s="232" t="str">
        <f t="shared" si="112"/>
        <v xml:space="preserve"> </v>
      </c>
      <c r="AN743" s="232" t="str">
        <f t="shared" si="113"/>
        <v xml:space="preserve"> </v>
      </c>
    </row>
    <row r="744" spans="28:40" x14ac:dyDescent="0.25">
      <c r="AB744" s="230" t="e">
        <f>T744-HLOOKUP(V744,Minimas!$C$3:$CD$12,2,FALSE)</f>
        <v>#N/A</v>
      </c>
      <c r="AC744" s="230" t="e">
        <f>T744-HLOOKUP(V744,Minimas!$C$3:$CD$12,3,FALSE)</f>
        <v>#N/A</v>
      </c>
      <c r="AD744" s="230" t="e">
        <f>T744-HLOOKUP(V744,Minimas!$C$3:$CD$12,4,FALSE)</f>
        <v>#N/A</v>
      </c>
      <c r="AE744" s="230" t="e">
        <f>T744-HLOOKUP(V744,Minimas!$C$3:$CD$12,5,FALSE)</f>
        <v>#N/A</v>
      </c>
      <c r="AF744" s="230" t="e">
        <f>T744-HLOOKUP(V744,Minimas!$C$3:$CD$12,6,FALSE)</f>
        <v>#N/A</v>
      </c>
      <c r="AG744" s="230" t="e">
        <f>T744-HLOOKUP(V744,Minimas!$C$3:$CD$12,7,FALSE)</f>
        <v>#N/A</v>
      </c>
      <c r="AH744" s="230" t="e">
        <f>T744-HLOOKUP(V744,Minimas!$C$3:$CD$12,8,FALSE)</f>
        <v>#N/A</v>
      </c>
      <c r="AI744" s="230" t="e">
        <f>T744-HLOOKUP(V744,Minimas!$C$3:$CD$12,9,FALSE)</f>
        <v>#N/A</v>
      </c>
      <c r="AJ744" s="230" t="e">
        <f>T744-HLOOKUP(V744,Minimas!$C$3:$CD$12,10,FALSE)</f>
        <v>#N/A</v>
      </c>
      <c r="AK744" s="231" t="str">
        <f t="shared" si="111"/>
        <v xml:space="preserve"> </v>
      </c>
      <c r="AL744" s="232"/>
      <c r="AM744" s="232" t="str">
        <f t="shared" si="112"/>
        <v xml:space="preserve"> </v>
      </c>
      <c r="AN744" s="232" t="str">
        <f t="shared" si="113"/>
        <v xml:space="preserve"> </v>
      </c>
    </row>
    <row r="745" spans="28:40" x14ac:dyDescent="0.25">
      <c r="AB745" s="230" t="e">
        <f>T745-HLOOKUP(V745,Minimas!$C$3:$CD$12,2,FALSE)</f>
        <v>#N/A</v>
      </c>
      <c r="AC745" s="230" t="e">
        <f>T745-HLOOKUP(V745,Minimas!$C$3:$CD$12,3,FALSE)</f>
        <v>#N/A</v>
      </c>
      <c r="AD745" s="230" t="e">
        <f>T745-HLOOKUP(V745,Minimas!$C$3:$CD$12,4,FALSE)</f>
        <v>#N/A</v>
      </c>
      <c r="AE745" s="230" t="e">
        <f>T745-HLOOKUP(V745,Minimas!$C$3:$CD$12,5,FALSE)</f>
        <v>#N/A</v>
      </c>
      <c r="AF745" s="230" t="e">
        <f>T745-HLOOKUP(V745,Minimas!$C$3:$CD$12,6,FALSE)</f>
        <v>#N/A</v>
      </c>
      <c r="AG745" s="230" t="e">
        <f>T745-HLOOKUP(V745,Minimas!$C$3:$CD$12,7,FALSE)</f>
        <v>#N/A</v>
      </c>
      <c r="AH745" s="230" t="e">
        <f>T745-HLOOKUP(V745,Minimas!$C$3:$CD$12,8,FALSE)</f>
        <v>#N/A</v>
      </c>
      <c r="AI745" s="230" t="e">
        <f>T745-HLOOKUP(V745,Minimas!$C$3:$CD$12,9,FALSE)</f>
        <v>#N/A</v>
      </c>
      <c r="AJ745" s="230" t="e">
        <f>T745-HLOOKUP(V745,Minimas!$C$3:$CD$12,10,FALSE)</f>
        <v>#N/A</v>
      </c>
      <c r="AK745" s="231" t="str">
        <f t="shared" si="111"/>
        <v xml:space="preserve"> </v>
      </c>
      <c r="AL745" s="232"/>
      <c r="AM745" s="232" t="str">
        <f t="shared" si="112"/>
        <v xml:space="preserve"> </v>
      </c>
      <c r="AN745" s="232" t="str">
        <f t="shared" si="113"/>
        <v xml:space="preserve"> </v>
      </c>
    </row>
    <row r="746" spans="28:40" x14ac:dyDescent="0.25">
      <c r="AB746" s="230" t="e">
        <f>T746-HLOOKUP(V746,Minimas!$C$3:$CD$12,2,FALSE)</f>
        <v>#N/A</v>
      </c>
      <c r="AC746" s="230" t="e">
        <f>T746-HLOOKUP(V746,Minimas!$C$3:$CD$12,3,FALSE)</f>
        <v>#N/A</v>
      </c>
      <c r="AD746" s="230" t="e">
        <f>T746-HLOOKUP(V746,Minimas!$C$3:$CD$12,4,FALSE)</f>
        <v>#N/A</v>
      </c>
      <c r="AE746" s="230" t="e">
        <f>T746-HLOOKUP(V746,Minimas!$C$3:$CD$12,5,FALSE)</f>
        <v>#N/A</v>
      </c>
      <c r="AF746" s="230" t="e">
        <f>T746-HLOOKUP(V746,Minimas!$C$3:$CD$12,6,FALSE)</f>
        <v>#N/A</v>
      </c>
      <c r="AG746" s="230" t="e">
        <f>T746-HLOOKUP(V746,Minimas!$C$3:$CD$12,7,FALSE)</f>
        <v>#N/A</v>
      </c>
      <c r="AH746" s="230" t="e">
        <f>T746-HLOOKUP(V746,Minimas!$C$3:$CD$12,8,FALSE)</f>
        <v>#N/A</v>
      </c>
      <c r="AI746" s="230" t="e">
        <f>T746-HLOOKUP(V746,Minimas!$C$3:$CD$12,9,FALSE)</f>
        <v>#N/A</v>
      </c>
      <c r="AJ746" s="230" t="e">
        <f>T746-HLOOKUP(V746,Minimas!$C$3:$CD$12,10,FALSE)</f>
        <v>#N/A</v>
      </c>
      <c r="AK746" s="231" t="str">
        <f t="shared" si="111"/>
        <v xml:space="preserve"> </v>
      </c>
      <c r="AL746" s="232"/>
      <c r="AM746" s="232" t="str">
        <f t="shared" si="112"/>
        <v xml:space="preserve"> </v>
      </c>
      <c r="AN746" s="232" t="str">
        <f t="shared" si="113"/>
        <v xml:space="preserve"> </v>
      </c>
    </row>
    <row r="747" spans="28:40" x14ac:dyDescent="0.25">
      <c r="AB747" s="230" t="e">
        <f>T747-HLOOKUP(V747,Minimas!$C$3:$CD$12,2,FALSE)</f>
        <v>#N/A</v>
      </c>
      <c r="AC747" s="230" t="e">
        <f>T747-HLOOKUP(V747,Minimas!$C$3:$CD$12,3,FALSE)</f>
        <v>#N/A</v>
      </c>
      <c r="AD747" s="230" t="e">
        <f>T747-HLOOKUP(V747,Minimas!$C$3:$CD$12,4,FALSE)</f>
        <v>#N/A</v>
      </c>
      <c r="AE747" s="230" t="e">
        <f>T747-HLOOKUP(V747,Minimas!$C$3:$CD$12,5,FALSE)</f>
        <v>#N/A</v>
      </c>
      <c r="AF747" s="230" t="e">
        <f>T747-HLOOKUP(V747,Minimas!$C$3:$CD$12,6,FALSE)</f>
        <v>#N/A</v>
      </c>
      <c r="AG747" s="230" t="e">
        <f>T747-HLOOKUP(V747,Minimas!$C$3:$CD$12,7,FALSE)</f>
        <v>#N/A</v>
      </c>
      <c r="AH747" s="230" t="e">
        <f>T747-HLOOKUP(V747,Minimas!$C$3:$CD$12,8,FALSE)</f>
        <v>#N/A</v>
      </c>
      <c r="AI747" s="230" t="e">
        <f>T747-HLOOKUP(V747,Minimas!$C$3:$CD$12,9,FALSE)</f>
        <v>#N/A</v>
      </c>
      <c r="AJ747" s="230" t="e">
        <f>T747-HLOOKUP(V747,Minimas!$C$3:$CD$12,10,FALSE)</f>
        <v>#N/A</v>
      </c>
      <c r="AK747" s="231" t="str">
        <f t="shared" si="111"/>
        <v xml:space="preserve"> </v>
      </c>
      <c r="AL747" s="232"/>
      <c r="AM747" s="232" t="str">
        <f t="shared" si="112"/>
        <v xml:space="preserve"> </v>
      </c>
      <c r="AN747" s="232" t="str">
        <f t="shared" si="113"/>
        <v xml:space="preserve"> </v>
      </c>
    </row>
    <row r="748" spans="28:40" x14ac:dyDescent="0.25">
      <c r="AB748" s="230" t="e">
        <f>T748-HLOOKUP(V748,Minimas!$C$3:$CD$12,2,FALSE)</f>
        <v>#N/A</v>
      </c>
      <c r="AC748" s="230" t="e">
        <f>T748-HLOOKUP(V748,Minimas!$C$3:$CD$12,3,FALSE)</f>
        <v>#N/A</v>
      </c>
      <c r="AD748" s="230" t="e">
        <f>T748-HLOOKUP(V748,Minimas!$C$3:$CD$12,4,FALSE)</f>
        <v>#N/A</v>
      </c>
      <c r="AE748" s="230" t="e">
        <f>T748-HLOOKUP(V748,Minimas!$C$3:$CD$12,5,FALSE)</f>
        <v>#N/A</v>
      </c>
      <c r="AF748" s="230" t="e">
        <f>T748-HLOOKUP(V748,Minimas!$C$3:$CD$12,6,FALSE)</f>
        <v>#N/A</v>
      </c>
      <c r="AG748" s="230" t="e">
        <f>T748-HLOOKUP(V748,Minimas!$C$3:$CD$12,7,FALSE)</f>
        <v>#N/A</v>
      </c>
      <c r="AH748" s="230" t="e">
        <f>T748-HLOOKUP(V748,Minimas!$C$3:$CD$12,8,FALSE)</f>
        <v>#N/A</v>
      </c>
      <c r="AI748" s="230" t="e">
        <f>T748-HLOOKUP(V748,Minimas!$C$3:$CD$12,9,FALSE)</f>
        <v>#N/A</v>
      </c>
      <c r="AJ748" s="230" t="e">
        <f>T748-HLOOKUP(V748,Minimas!$C$3:$CD$12,10,FALSE)</f>
        <v>#N/A</v>
      </c>
      <c r="AK748" s="231" t="str">
        <f t="shared" si="111"/>
        <v xml:space="preserve"> </v>
      </c>
      <c r="AL748" s="232"/>
      <c r="AM748" s="232" t="str">
        <f t="shared" si="112"/>
        <v xml:space="preserve"> </v>
      </c>
      <c r="AN748" s="232" t="str">
        <f t="shared" si="113"/>
        <v xml:space="preserve"> </v>
      </c>
    </row>
    <row r="749" spans="28:40" x14ac:dyDescent="0.25">
      <c r="AB749" s="230" t="e">
        <f>T749-HLOOKUP(V749,Minimas!$C$3:$CD$12,2,FALSE)</f>
        <v>#N/A</v>
      </c>
      <c r="AC749" s="230" t="e">
        <f>T749-HLOOKUP(V749,Minimas!$C$3:$CD$12,3,FALSE)</f>
        <v>#N/A</v>
      </c>
      <c r="AD749" s="230" t="e">
        <f>T749-HLOOKUP(V749,Minimas!$C$3:$CD$12,4,FALSE)</f>
        <v>#N/A</v>
      </c>
      <c r="AE749" s="230" t="e">
        <f>T749-HLOOKUP(V749,Minimas!$C$3:$CD$12,5,FALSE)</f>
        <v>#N/A</v>
      </c>
      <c r="AF749" s="230" t="e">
        <f>T749-HLOOKUP(V749,Minimas!$C$3:$CD$12,6,FALSE)</f>
        <v>#N/A</v>
      </c>
      <c r="AG749" s="230" t="e">
        <f>T749-HLOOKUP(V749,Minimas!$C$3:$CD$12,7,FALSE)</f>
        <v>#N/A</v>
      </c>
      <c r="AH749" s="230" t="e">
        <f>T749-HLOOKUP(V749,Minimas!$C$3:$CD$12,8,FALSE)</f>
        <v>#N/A</v>
      </c>
      <c r="AI749" s="230" t="e">
        <f>T749-HLOOKUP(V749,Minimas!$C$3:$CD$12,9,FALSE)</f>
        <v>#N/A</v>
      </c>
      <c r="AJ749" s="230" t="e">
        <f>T749-HLOOKUP(V749,Minimas!$C$3:$CD$12,10,FALSE)</f>
        <v>#N/A</v>
      </c>
      <c r="AK749" s="231" t="str">
        <f t="shared" si="111"/>
        <v xml:space="preserve"> </v>
      </c>
      <c r="AL749" s="232"/>
      <c r="AM749" s="232" t="str">
        <f t="shared" si="112"/>
        <v xml:space="preserve"> </v>
      </c>
      <c r="AN749" s="232" t="str">
        <f t="shared" si="113"/>
        <v xml:space="preserve"> </v>
      </c>
    </row>
    <row r="750" spans="28:40" x14ac:dyDescent="0.25">
      <c r="AB750" s="230" t="e">
        <f>T750-HLOOKUP(V750,Minimas!$C$3:$CD$12,2,FALSE)</f>
        <v>#N/A</v>
      </c>
      <c r="AC750" s="230" t="e">
        <f>T750-HLOOKUP(V750,Minimas!$C$3:$CD$12,3,FALSE)</f>
        <v>#N/A</v>
      </c>
      <c r="AD750" s="230" t="e">
        <f>T750-HLOOKUP(V750,Minimas!$C$3:$CD$12,4,FALSE)</f>
        <v>#N/A</v>
      </c>
      <c r="AE750" s="230" t="e">
        <f>T750-HLOOKUP(V750,Minimas!$C$3:$CD$12,5,FALSE)</f>
        <v>#N/A</v>
      </c>
      <c r="AF750" s="230" t="e">
        <f>T750-HLOOKUP(V750,Minimas!$C$3:$CD$12,6,FALSE)</f>
        <v>#N/A</v>
      </c>
      <c r="AG750" s="230" t="e">
        <f>T750-HLOOKUP(V750,Minimas!$C$3:$CD$12,7,FALSE)</f>
        <v>#N/A</v>
      </c>
      <c r="AH750" s="230" t="e">
        <f>T750-HLOOKUP(V750,Minimas!$C$3:$CD$12,8,FALSE)</f>
        <v>#N/A</v>
      </c>
      <c r="AI750" s="230" t="e">
        <f>T750-HLOOKUP(V750,Minimas!$C$3:$CD$12,9,FALSE)</f>
        <v>#N/A</v>
      </c>
      <c r="AJ750" s="230" t="e">
        <f>T750-HLOOKUP(V750,Minimas!$C$3:$CD$12,10,FALSE)</f>
        <v>#N/A</v>
      </c>
      <c r="AK750" s="231" t="str">
        <f t="shared" si="111"/>
        <v xml:space="preserve"> </v>
      </c>
      <c r="AL750" s="232"/>
      <c r="AM750" s="232" t="str">
        <f t="shared" si="112"/>
        <v xml:space="preserve"> </v>
      </c>
      <c r="AN750" s="232" t="str">
        <f t="shared" si="113"/>
        <v xml:space="preserve"> </v>
      </c>
    </row>
    <row r="751" spans="28:40" x14ac:dyDescent="0.25">
      <c r="AB751" s="230" t="e">
        <f>T751-HLOOKUP(V751,Minimas!$C$3:$CD$12,2,FALSE)</f>
        <v>#N/A</v>
      </c>
      <c r="AC751" s="230" t="e">
        <f>T751-HLOOKUP(V751,Minimas!$C$3:$CD$12,3,FALSE)</f>
        <v>#N/A</v>
      </c>
      <c r="AD751" s="230" t="e">
        <f>T751-HLOOKUP(V751,Minimas!$C$3:$CD$12,4,FALSE)</f>
        <v>#N/A</v>
      </c>
      <c r="AE751" s="230" t="e">
        <f>T751-HLOOKUP(V751,Minimas!$C$3:$CD$12,5,FALSE)</f>
        <v>#N/A</v>
      </c>
      <c r="AF751" s="230" t="e">
        <f>T751-HLOOKUP(V751,Minimas!$C$3:$CD$12,6,FALSE)</f>
        <v>#N/A</v>
      </c>
      <c r="AG751" s="230" t="e">
        <f>T751-HLOOKUP(V751,Minimas!$C$3:$CD$12,7,FALSE)</f>
        <v>#N/A</v>
      </c>
      <c r="AH751" s="230" t="e">
        <f>T751-HLOOKUP(V751,Minimas!$C$3:$CD$12,8,FALSE)</f>
        <v>#N/A</v>
      </c>
      <c r="AI751" s="230" t="e">
        <f>T751-HLOOKUP(V751,Minimas!$C$3:$CD$12,9,FALSE)</f>
        <v>#N/A</v>
      </c>
      <c r="AJ751" s="230" t="e">
        <f>T751-HLOOKUP(V751,Minimas!$C$3:$CD$12,10,FALSE)</f>
        <v>#N/A</v>
      </c>
      <c r="AK751" s="231" t="str">
        <f t="shared" si="111"/>
        <v xml:space="preserve"> </v>
      </c>
      <c r="AL751" s="232"/>
      <c r="AM751" s="232" t="str">
        <f t="shared" si="112"/>
        <v xml:space="preserve"> </v>
      </c>
      <c r="AN751" s="232" t="str">
        <f t="shared" si="113"/>
        <v xml:space="preserve"> </v>
      </c>
    </row>
    <row r="752" spans="28:40" x14ac:dyDescent="0.25">
      <c r="AB752" s="230" t="e">
        <f>T752-HLOOKUP(V752,Minimas!$C$3:$CD$12,2,FALSE)</f>
        <v>#N/A</v>
      </c>
      <c r="AC752" s="230" t="e">
        <f>T752-HLOOKUP(V752,Minimas!$C$3:$CD$12,3,FALSE)</f>
        <v>#N/A</v>
      </c>
      <c r="AD752" s="230" t="e">
        <f>T752-HLOOKUP(V752,Minimas!$C$3:$CD$12,4,FALSE)</f>
        <v>#N/A</v>
      </c>
      <c r="AE752" s="230" t="e">
        <f>T752-HLOOKUP(V752,Minimas!$C$3:$CD$12,5,FALSE)</f>
        <v>#N/A</v>
      </c>
      <c r="AF752" s="230" t="e">
        <f>T752-HLOOKUP(V752,Minimas!$C$3:$CD$12,6,FALSE)</f>
        <v>#N/A</v>
      </c>
      <c r="AG752" s="230" t="e">
        <f>T752-HLOOKUP(V752,Minimas!$C$3:$CD$12,7,FALSE)</f>
        <v>#N/A</v>
      </c>
      <c r="AH752" s="230" t="e">
        <f>T752-HLOOKUP(V752,Minimas!$C$3:$CD$12,8,FALSE)</f>
        <v>#N/A</v>
      </c>
      <c r="AI752" s="230" t="e">
        <f>T752-HLOOKUP(V752,Minimas!$C$3:$CD$12,9,FALSE)</f>
        <v>#N/A</v>
      </c>
      <c r="AJ752" s="230" t="e">
        <f>T752-HLOOKUP(V752,Minimas!$C$3:$CD$12,10,FALSE)</f>
        <v>#N/A</v>
      </c>
      <c r="AK752" s="231" t="str">
        <f t="shared" si="111"/>
        <v xml:space="preserve"> </v>
      </c>
      <c r="AL752" s="232"/>
      <c r="AM752" s="232" t="str">
        <f t="shared" si="112"/>
        <v xml:space="preserve"> </v>
      </c>
      <c r="AN752" s="232" t="str">
        <f t="shared" si="113"/>
        <v xml:space="preserve"> </v>
      </c>
    </row>
    <row r="753" spans="28:40" x14ac:dyDescent="0.25">
      <c r="AB753" s="230" t="e">
        <f>T753-HLOOKUP(V753,Minimas!$C$3:$CD$12,2,FALSE)</f>
        <v>#N/A</v>
      </c>
      <c r="AC753" s="230" t="e">
        <f>T753-HLOOKUP(V753,Minimas!$C$3:$CD$12,3,FALSE)</f>
        <v>#N/A</v>
      </c>
      <c r="AD753" s="230" t="e">
        <f>T753-HLOOKUP(V753,Minimas!$C$3:$CD$12,4,FALSE)</f>
        <v>#N/A</v>
      </c>
      <c r="AE753" s="230" t="e">
        <f>T753-HLOOKUP(V753,Minimas!$C$3:$CD$12,5,FALSE)</f>
        <v>#N/A</v>
      </c>
      <c r="AF753" s="230" t="e">
        <f>T753-HLOOKUP(V753,Minimas!$C$3:$CD$12,6,FALSE)</f>
        <v>#N/A</v>
      </c>
      <c r="AG753" s="230" t="e">
        <f>T753-HLOOKUP(V753,Minimas!$C$3:$CD$12,7,FALSE)</f>
        <v>#N/A</v>
      </c>
      <c r="AH753" s="230" t="e">
        <f>T753-HLOOKUP(V753,Minimas!$C$3:$CD$12,8,FALSE)</f>
        <v>#N/A</v>
      </c>
      <c r="AI753" s="230" t="e">
        <f>T753-HLOOKUP(V753,Minimas!$C$3:$CD$12,9,FALSE)</f>
        <v>#N/A</v>
      </c>
      <c r="AJ753" s="230" t="e">
        <f>T753-HLOOKUP(V753,Minimas!$C$3:$CD$12,10,FALSE)</f>
        <v>#N/A</v>
      </c>
      <c r="AK753" s="231" t="str">
        <f t="shared" si="111"/>
        <v xml:space="preserve"> </v>
      </c>
      <c r="AL753" s="232"/>
      <c r="AM753" s="232" t="str">
        <f t="shared" si="112"/>
        <v xml:space="preserve"> </v>
      </c>
      <c r="AN753" s="232" t="str">
        <f t="shared" si="113"/>
        <v xml:space="preserve"> </v>
      </c>
    </row>
    <row r="754" spans="28:40" x14ac:dyDescent="0.25">
      <c r="AB754" s="230" t="e">
        <f>T754-HLOOKUP(V754,Minimas!$C$3:$CD$12,2,FALSE)</f>
        <v>#N/A</v>
      </c>
      <c r="AC754" s="230" t="e">
        <f>T754-HLOOKUP(V754,Minimas!$C$3:$CD$12,3,FALSE)</f>
        <v>#N/A</v>
      </c>
      <c r="AD754" s="230" t="e">
        <f>T754-HLOOKUP(V754,Minimas!$C$3:$CD$12,4,FALSE)</f>
        <v>#N/A</v>
      </c>
      <c r="AE754" s="230" t="e">
        <f>T754-HLOOKUP(V754,Minimas!$C$3:$CD$12,5,FALSE)</f>
        <v>#N/A</v>
      </c>
      <c r="AF754" s="230" t="e">
        <f>T754-HLOOKUP(V754,Minimas!$C$3:$CD$12,6,FALSE)</f>
        <v>#N/A</v>
      </c>
      <c r="AG754" s="230" t="e">
        <f>T754-HLOOKUP(V754,Minimas!$C$3:$CD$12,7,FALSE)</f>
        <v>#N/A</v>
      </c>
      <c r="AH754" s="230" t="e">
        <f>T754-HLOOKUP(V754,Minimas!$C$3:$CD$12,8,FALSE)</f>
        <v>#N/A</v>
      </c>
      <c r="AI754" s="230" t="e">
        <f>T754-HLOOKUP(V754,Minimas!$C$3:$CD$12,9,FALSE)</f>
        <v>#N/A</v>
      </c>
      <c r="AJ754" s="230" t="e">
        <f>T754-HLOOKUP(V754,Minimas!$C$3:$CD$12,10,FALSE)</f>
        <v>#N/A</v>
      </c>
      <c r="AK754" s="231" t="str">
        <f t="shared" si="111"/>
        <v xml:space="preserve"> </v>
      </c>
      <c r="AL754" s="232"/>
      <c r="AM754" s="232" t="str">
        <f t="shared" si="112"/>
        <v xml:space="preserve"> </v>
      </c>
      <c r="AN754" s="232" t="str">
        <f t="shared" si="113"/>
        <v xml:space="preserve"> </v>
      </c>
    </row>
    <row r="755" spans="28:40" x14ac:dyDescent="0.25">
      <c r="AB755" s="230" t="e">
        <f>T755-HLOOKUP(V755,Minimas!$C$3:$CD$12,2,FALSE)</f>
        <v>#N/A</v>
      </c>
      <c r="AC755" s="230" t="e">
        <f>T755-HLOOKUP(V755,Minimas!$C$3:$CD$12,3,FALSE)</f>
        <v>#N/A</v>
      </c>
      <c r="AD755" s="230" t="e">
        <f>T755-HLOOKUP(V755,Minimas!$C$3:$CD$12,4,FALSE)</f>
        <v>#N/A</v>
      </c>
      <c r="AE755" s="230" t="e">
        <f>T755-HLOOKUP(V755,Minimas!$C$3:$CD$12,5,FALSE)</f>
        <v>#N/A</v>
      </c>
      <c r="AF755" s="230" t="e">
        <f>T755-HLOOKUP(V755,Minimas!$C$3:$CD$12,6,FALSE)</f>
        <v>#N/A</v>
      </c>
      <c r="AG755" s="230" t="e">
        <f>T755-HLOOKUP(V755,Minimas!$C$3:$CD$12,7,FALSE)</f>
        <v>#N/A</v>
      </c>
      <c r="AH755" s="230" t="e">
        <f>T755-HLOOKUP(V755,Minimas!$C$3:$CD$12,8,FALSE)</f>
        <v>#N/A</v>
      </c>
      <c r="AI755" s="230" t="e">
        <f>T755-HLOOKUP(V755,Minimas!$C$3:$CD$12,9,FALSE)</f>
        <v>#N/A</v>
      </c>
      <c r="AJ755" s="230" t="e">
        <f>T755-HLOOKUP(V755,Minimas!$C$3:$CD$12,10,FALSE)</f>
        <v>#N/A</v>
      </c>
      <c r="AK755" s="231" t="str">
        <f t="shared" si="111"/>
        <v xml:space="preserve"> </v>
      </c>
      <c r="AL755" s="232"/>
      <c r="AM755" s="232" t="str">
        <f t="shared" si="112"/>
        <v xml:space="preserve"> </v>
      </c>
      <c r="AN755" s="232" t="str">
        <f t="shared" si="113"/>
        <v xml:space="preserve"> </v>
      </c>
    </row>
    <row r="756" spans="28:40" x14ac:dyDescent="0.25">
      <c r="AB756" s="230" t="e">
        <f>T756-HLOOKUP(V756,Minimas!$C$3:$CD$12,2,FALSE)</f>
        <v>#N/A</v>
      </c>
      <c r="AC756" s="230" t="e">
        <f>T756-HLOOKUP(V756,Minimas!$C$3:$CD$12,3,FALSE)</f>
        <v>#N/A</v>
      </c>
      <c r="AD756" s="230" t="e">
        <f>T756-HLOOKUP(V756,Minimas!$C$3:$CD$12,4,FALSE)</f>
        <v>#N/A</v>
      </c>
      <c r="AE756" s="230" t="e">
        <f>T756-HLOOKUP(V756,Minimas!$C$3:$CD$12,5,FALSE)</f>
        <v>#N/A</v>
      </c>
      <c r="AF756" s="230" t="e">
        <f>T756-HLOOKUP(V756,Minimas!$C$3:$CD$12,6,FALSE)</f>
        <v>#N/A</v>
      </c>
      <c r="AG756" s="230" t="e">
        <f>T756-HLOOKUP(V756,Minimas!$C$3:$CD$12,7,FALSE)</f>
        <v>#N/A</v>
      </c>
      <c r="AH756" s="230" t="e">
        <f>T756-HLOOKUP(V756,Minimas!$C$3:$CD$12,8,FALSE)</f>
        <v>#N/A</v>
      </c>
      <c r="AI756" s="230" t="e">
        <f>T756-HLOOKUP(V756,Minimas!$C$3:$CD$12,9,FALSE)</f>
        <v>#N/A</v>
      </c>
      <c r="AJ756" s="230" t="e">
        <f>T756-HLOOKUP(V756,Minimas!$C$3:$CD$12,10,FALSE)</f>
        <v>#N/A</v>
      </c>
      <c r="AK756" s="231" t="str">
        <f t="shared" si="111"/>
        <v xml:space="preserve"> </v>
      </c>
      <c r="AL756" s="232"/>
      <c r="AM756" s="232" t="str">
        <f t="shared" si="112"/>
        <v xml:space="preserve"> </v>
      </c>
      <c r="AN756" s="232" t="str">
        <f t="shared" si="113"/>
        <v xml:space="preserve"> </v>
      </c>
    </row>
    <row r="757" spans="28:40" x14ac:dyDescent="0.25">
      <c r="AB757" s="230" t="e">
        <f>T757-HLOOKUP(V757,Minimas!$C$3:$CD$12,2,FALSE)</f>
        <v>#N/A</v>
      </c>
      <c r="AC757" s="230" t="e">
        <f>T757-HLOOKUP(V757,Minimas!$C$3:$CD$12,3,FALSE)</f>
        <v>#N/A</v>
      </c>
      <c r="AD757" s="230" t="e">
        <f>T757-HLOOKUP(V757,Minimas!$C$3:$CD$12,4,FALSE)</f>
        <v>#N/A</v>
      </c>
      <c r="AE757" s="230" t="e">
        <f>T757-HLOOKUP(V757,Minimas!$C$3:$CD$12,5,FALSE)</f>
        <v>#N/A</v>
      </c>
      <c r="AF757" s="230" t="e">
        <f>T757-HLOOKUP(V757,Minimas!$C$3:$CD$12,6,FALSE)</f>
        <v>#N/A</v>
      </c>
      <c r="AG757" s="230" t="e">
        <f>T757-HLOOKUP(V757,Minimas!$C$3:$CD$12,7,FALSE)</f>
        <v>#N/A</v>
      </c>
      <c r="AH757" s="230" t="e">
        <f>T757-HLOOKUP(V757,Minimas!$C$3:$CD$12,8,FALSE)</f>
        <v>#N/A</v>
      </c>
      <c r="AI757" s="230" t="e">
        <f>T757-HLOOKUP(V757,Minimas!$C$3:$CD$12,9,FALSE)</f>
        <v>#N/A</v>
      </c>
      <c r="AJ757" s="230" t="e">
        <f>T757-HLOOKUP(V757,Minimas!$C$3:$CD$12,10,FALSE)</f>
        <v>#N/A</v>
      </c>
      <c r="AK757" s="231" t="str">
        <f t="shared" si="111"/>
        <v xml:space="preserve"> </v>
      </c>
      <c r="AL757" s="232"/>
      <c r="AM757" s="232" t="str">
        <f t="shared" si="112"/>
        <v xml:space="preserve"> </v>
      </c>
      <c r="AN757" s="232" t="str">
        <f t="shared" si="113"/>
        <v xml:space="preserve"> </v>
      </c>
    </row>
    <row r="758" spans="28:40" x14ac:dyDescent="0.25">
      <c r="AB758" s="230" t="e">
        <f>T758-HLOOKUP(V758,Minimas!$C$3:$CD$12,2,FALSE)</f>
        <v>#N/A</v>
      </c>
      <c r="AC758" s="230" t="e">
        <f>T758-HLOOKUP(V758,Minimas!$C$3:$CD$12,3,FALSE)</f>
        <v>#N/A</v>
      </c>
      <c r="AD758" s="230" t="e">
        <f>T758-HLOOKUP(V758,Minimas!$C$3:$CD$12,4,FALSE)</f>
        <v>#N/A</v>
      </c>
      <c r="AE758" s="230" t="e">
        <f>T758-HLOOKUP(V758,Minimas!$C$3:$CD$12,5,FALSE)</f>
        <v>#N/A</v>
      </c>
      <c r="AF758" s="230" t="e">
        <f>T758-HLOOKUP(V758,Minimas!$C$3:$CD$12,6,FALSE)</f>
        <v>#N/A</v>
      </c>
      <c r="AG758" s="230" t="e">
        <f>T758-HLOOKUP(V758,Minimas!$C$3:$CD$12,7,FALSE)</f>
        <v>#N/A</v>
      </c>
      <c r="AH758" s="230" t="e">
        <f>T758-HLOOKUP(V758,Minimas!$C$3:$CD$12,8,FALSE)</f>
        <v>#N/A</v>
      </c>
      <c r="AI758" s="230" t="e">
        <f>T758-HLOOKUP(V758,Minimas!$C$3:$CD$12,9,FALSE)</f>
        <v>#N/A</v>
      </c>
      <c r="AJ758" s="230" t="e">
        <f>T758-HLOOKUP(V758,Minimas!$C$3:$CD$12,10,FALSE)</f>
        <v>#N/A</v>
      </c>
      <c r="AK758" s="231" t="str">
        <f t="shared" si="111"/>
        <v xml:space="preserve"> </v>
      </c>
      <c r="AL758" s="232"/>
      <c r="AM758" s="232" t="str">
        <f t="shared" si="112"/>
        <v xml:space="preserve"> </v>
      </c>
      <c r="AN758" s="232" t="str">
        <f t="shared" si="113"/>
        <v xml:space="preserve"> </v>
      </c>
    </row>
    <row r="759" spans="28:40" x14ac:dyDescent="0.25">
      <c r="AB759" s="230" t="e">
        <f>T759-HLOOKUP(V759,Minimas!$C$3:$CD$12,2,FALSE)</f>
        <v>#N/A</v>
      </c>
      <c r="AC759" s="230" t="e">
        <f>T759-HLOOKUP(V759,Minimas!$C$3:$CD$12,3,FALSE)</f>
        <v>#N/A</v>
      </c>
      <c r="AD759" s="230" t="e">
        <f>T759-HLOOKUP(V759,Minimas!$C$3:$CD$12,4,FALSE)</f>
        <v>#N/A</v>
      </c>
      <c r="AE759" s="230" t="e">
        <f>T759-HLOOKUP(V759,Minimas!$C$3:$CD$12,5,FALSE)</f>
        <v>#N/A</v>
      </c>
      <c r="AF759" s="230" t="e">
        <f>T759-HLOOKUP(V759,Minimas!$C$3:$CD$12,6,FALSE)</f>
        <v>#N/A</v>
      </c>
      <c r="AG759" s="230" t="e">
        <f>T759-HLOOKUP(V759,Minimas!$C$3:$CD$12,7,FALSE)</f>
        <v>#N/A</v>
      </c>
      <c r="AH759" s="230" t="e">
        <f>T759-HLOOKUP(V759,Minimas!$C$3:$CD$12,8,FALSE)</f>
        <v>#N/A</v>
      </c>
      <c r="AI759" s="230" t="e">
        <f>T759-HLOOKUP(V759,Minimas!$C$3:$CD$12,9,FALSE)</f>
        <v>#N/A</v>
      </c>
      <c r="AJ759" s="230" t="e">
        <f>T759-HLOOKUP(V759,Minimas!$C$3:$CD$12,10,FALSE)</f>
        <v>#N/A</v>
      </c>
      <c r="AK759" s="231" t="str">
        <f t="shared" si="111"/>
        <v xml:space="preserve"> </v>
      </c>
      <c r="AL759" s="232"/>
      <c r="AM759" s="232" t="str">
        <f t="shared" si="112"/>
        <v xml:space="preserve"> </v>
      </c>
      <c r="AN759" s="232" t="str">
        <f t="shared" si="113"/>
        <v xml:space="preserve"> </v>
      </c>
    </row>
    <row r="760" spans="28:40" x14ac:dyDescent="0.25">
      <c r="AB760" s="230" t="e">
        <f>T760-HLOOKUP(V760,Minimas!$C$3:$CD$12,2,FALSE)</f>
        <v>#N/A</v>
      </c>
      <c r="AC760" s="230" t="e">
        <f>T760-HLOOKUP(V760,Minimas!$C$3:$CD$12,3,FALSE)</f>
        <v>#N/A</v>
      </c>
      <c r="AD760" s="230" t="e">
        <f>T760-HLOOKUP(V760,Minimas!$C$3:$CD$12,4,FALSE)</f>
        <v>#N/A</v>
      </c>
      <c r="AE760" s="230" t="e">
        <f>T760-HLOOKUP(V760,Minimas!$C$3:$CD$12,5,FALSE)</f>
        <v>#N/A</v>
      </c>
      <c r="AF760" s="230" t="e">
        <f>T760-HLOOKUP(V760,Minimas!$C$3:$CD$12,6,FALSE)</f>
        <v>#N/A</v>
      </c>
      <c r="AG760" s="230" t="e">
        <f>T760-HLOOKUP(V760,Minimas!$C$3:$CD$12,7,FALSE)</f>
        <v>#N/A</v>
      </c>
      <c r="AH760" s="230" t="e">
        <f>T760-HLOOKUP(V760,Minimas!$C$3:$CD$12,8,FALSE)</f>
        <v>#N/A</v>
      </c>
      <c r="AI760" s="230" t="e">
        <f>T760-HLOOKUP(V760,Minimas!$C$3:$CD$12,9,FALSE)</f>
        <v>#N/A</v>
      </c>
      <c r="AJ760" s="230" t="e">
        <f>T760-HLOOKUP(V760,Minimas!$C$3:$CD$12,10,FALSE)</f>
        <v>#N/A</v>
      </c>
      <c r="AK760" s="231" t="str">
        <f t="shared" si="111"/>
        <v xml:space="preserve"> </v>
      </c>
      <c r="AL760" s="232"/>
      <c r="AM760" s="232" t="str">
        <f t="shared" si="112"/>
        <v xml:space="preserve"> </v>
      </c>
      <c r="AN760" s="232" t="str">
        <f t="shared" si="113"/>
        <v xml:space="preserve"> </v>
      </c>
    </row>
    <row r="761" spans="28:40" x14ac:dyDescent="0.25">
      <c r="AB761" s="230" t="e">
        <f>T761-HLOOKUP(V761,Minimas!$C$3:$CD$12,2,FALSE)</f>
        <v>#N/A</v>
      </c>
      <c r="AC761" s="230" t="e">
        <f>T761-HLOOKUP(V761,Minimas!$C$3:$CD$12,3,FALSE)</f>
        <v>#N/A</v>
      </c>
      <c r="AD761" s="230" t="e">
        <f>T761-HLOOKUP(V761,Minimas!$C$3:$CD$12,4,FALSE)</f>
        <v>#N/A</v>
      </c>
      <c r="AE761" s="230" t="e">
        <f>T761-HLOOKUP(V761,Minimas!$C$3:$CD$12,5,FALSE)</f>
        <v>#N/A</v>
      </c>
      <c r="AF761" s="230" t="e">
        <f>T761-HLOOKUP(V761,Minimas!$C$3:$CD$12,6,FALSE)</f>
        <v>#N/A</v>
      </c>
      <c r="AG761" s="230" t="e">
        <f>T761-HLOOKUP(V761,Minimas!$C$3:$CD$12,7,FALSE)</f>
        <v>#N/A</v>
      </c>
      <c r="AH761" s="230" t="e">
        <f>T761-HLOOKUP(V761,Minimas!$C$3:$CD$12,8,FALSE)</f>
        <v>#N/A</v>
      </c>
      <c r="AI761" s="230" t="e">
        <f>T761-HLOOKUP(V761,Minimas!$C$3:$CD$12,9,FALSE)</f>
        <v>#N/A</v>
      </c>
      <c r="AJ761" s="230" t="e">
        <f>T761-HLOOKUP(V761,Minimas!$C$3:$CD$12,10,FALSE)</f>
        <v>#N/A</v>
      </c>
      <c r="AK761" s="231" t="str">
        <f t="shared" si="111"/>
        <v xml:space="preserve"> </v>
      </c>
      <c r="AL761" s="232"/>
      <c r="AM761" s="232" t="str">
        <f t="shared" si="112"/>
        <v xml:space="preserve"> </v>
      </c>
      <c r="AN761" s="232" t="str">
        <f t="shared" si="113"/>
        <v xml:space="preserve"> </v>
      </c>
    </row>
    <row r="762" spans="28:40" x14ac:dyDescent="0.25">
      <c r="AB762" s="230" t="e">
        <f>T762-HLOOKUP(V762,Minimas!$C$3:$CD$12,2,FALSE)</f>
        <v>#N/A</v>
      </c>
      <c r="AC762" s="230" t="e">
        <f>T762-HLOOKUP(V762,Minimas!$C$3:$CD$12,3,FALSE)</f>
        <v>#N/A</v>
      </c>
      <c r="AD762" s="230" t="e">
        <f>T762-HLOOKUP(V762,Minimas!$C$3:$CD$12,4,FALSE)</f>
        <v>#N/A</v>
      </c>
      <c r="AE762" s="230" t="e">
        <f>T762-HLOOKUP(V762,Minimas!$C$3:$CD$12,5,FALSE)</f>
        <v>#N/A</v>
      </c>
      <c r="AF762" s="230" t="e">
        <f>T762-HLOOKUP(V762,Minimas!$C$3:$CD$12,6,FALSE)</f>
        <v>#N/A</v>
      </c>
      <c r="AG762" s="230" t="e">
        <f>T762-HLOOKUP(V762,Minimas!$C$3:$CD$12,7,FALSE)</f>
        <v>#N/A</v>
      </c>
      <c r="AH762" s="230" t="e">
        <f>T762-HLOOKUP(V762,Minimas!$C$3:$CD$12,8,FALSE)</f>
        <v>#N/A</v>
      </c>
      <c r="AI762" s="230" t="e">
        <f>T762-HLOOKUP(V762,Minimas!$C$3:$CD$12,9,FALSE)</f>
        <v>#N/A</v>
      </c>
      <c r="AJ762" s="230" t="e">
        <f>T762-HLOOKUP(V762,Minimas!$C$3:$CD$12,10,FALSE)</f>
        <v>#N/A</v>
      </c>
      <c r="AK762" s="231" t="str">
        <f t="shared" si="111"/>
        <v xml:space="preserve"> </v>
      </c>
      <c r="AL762" s="232"/>
      <c r="AM762" s="232" t="str">
        <f t="shared" si="112"/>
        <v xml:space="preserve"> </v>
      </c>
      <c r="AN762" s="232" t="str">
        <f t="shared" si="113"/>
        <v xml:space="preserve"> </v>
      </c>
    </row>
    <row r="763" spans="28:40" x14ac:dyDescent="0.25">
      <c r="AB763" s="230" t="e">
        <f>T763-HLOOKUP(V763,Minimas!$C$3:$CD$12,2,FALSE)</f>
        <v>#N/A</v>
      </c>
      <c r="AC763" s="230" t="e">
        <f>T763-HLOOKUP(V763,Minimas!$C$3:$CD$12,3,FALSE)</f>
        <v>#N/A</v>
      </c>
      <c r="AD763" s="230" t="e">
        <f>T763-HLOOKUP(V763,Minimas!$C$3:$CD$12,4,FALSE)</f>
        <v>#N/A</v>
      </c>
      <c r="AE763" s="230" t="e">
        <f>T763-HLOOKUP(V763,Minimas!$C$3:$CD$12,5,FALSE)</f>
        <v>#N/A</v>
      </c>
      <c r="AF763" s="230" t="e">
        <f>T763-HLOOKUP(V763,Minimas!$C$3:$CD$12,6,FALSE)</f>
        <v>#N/A</v>
      </c>
      <c r="AG763" s="230" t="e">
        <f>T763-HLOOKUP(V763,Minimas!$C$3:$CD$12,7,FALSE)</f>
        <v>#N/A</v>
      </c>
      <c r="AH763" s="230" t="e">
        <f>T763-HLOOKUP(V763,Minimas!$C$3:$CD$12,8,FALSE)</f>
        <v>#N/A</v>
      </c>
      <c r="AI763" s="230" t="e">
        <f>T763-HLOOKUP(V763,Minimas!$C$3:$CD$12,9,FALSE)</f>
        <v>#N/A</v>
      </c>
      <c r="AJ763" s="230" t="e">
        <f>T763-HLOOKUP(V763,Minimas!$C$3:$CD$12,10,FALSE)</f>
        <v>#N/A</v>
      </c>
      <c r="AK763" s="231" t="str">
        <f t="shared" si="111"/>
        <v xml:space="preserve"> </v>
      </c>
      <c r="AL763" s="232"/>
      <c r="AM763" s="232" t="str">
        <f t="shared" si="112"/>
        <v xml:space="preserve"> </v>
      </c>
      <c r="AN763" s="232" t="str">
        <f t="shared" si="113"/>
        <v xml:space="preserve"> </v>
      </c>
    </row>
    <row r="764" spans="28:40" x14ac:dyDescent="0.25">
      <c r="AB764" s="230" t="e">
        <f>T764-HLOOKUP(V764,Minimas!$C$3:$CD$12,2,FALSE)</f>
        <v>#N/A</v>
      </c>
      <c r="AC764" s="230" t="e">
        <f>T764-HLOOKUP(V764,Minimas!$C$3:$CD$12,3,FALSE)</f>
        <v>#N/A</v>
      </c>
      <c r="AD764" s="230" t="e">
        <f>T764-HLOOKUP(V764,Minimas!$C$3:$CD$12,4,FALSE)</f>
        <v>#N/A</v>
      </c>
      <c r="AE764" s="230" t="e">
        <f>T764-HLOOKUP(V764,Minimas!$C$3:$CD$12,5,FALSE)</f>
        <v>#N/A</v>
      </c>
      <c r="AF764" s="230" t="e">
        <f>T764-HLOOKUP(V764,Minimas!$C$3:$CD$12,6,FALSE)</f>
        <v>#N/A</v>
      </c>
      <c r="AG764" s="230" t="e">
        <f>T764-HLOOKUP(V764,Minimas!$C$3:$CD$12,7,FALSE)</f>
        <v>#N/A</v>
      </c>
      <c r="AH764" s="230" t="e">
        <f>T764-HLOOKUP(V764,Minimas!$C$3:$CD$12,8,FALSE)</f>
        <v>#N/A</v>
      </c>
      <c r="AI764" s="230" t="e">
        <f>T764-HLOOKUP(V764,Minimas!$C$3:$CD$12,9,FALSE)</f>
        <v>#N/A</v>
      </c>
      <c r="AJ764" s="230" t="e">
        <f>T764-HLOOKUP(V764,Minimas!$C$3:$CD$12,10,FALSE)</f>
        <v>#N/A</v>
      </c>
      <c r="AK764" s="231" t="str">
        <f t="shared" si="111"/>
        <v xml:space="preserve"> </v>
      </c>
      <c r="AL764" s="232"/>
      <c r="AM764" s="232" t="str">
        <f t="shared" si="112"/>
        <v xml:space="preserve"> </v>
      </c>
      <c r="AN764" s="232" t="str">
        <f t="shared" si="113"/>
        <v xml:space="preserve"> </v>
      </c>
    </row>
    <row r="765" spans="28:40" x14ac:dyDescent="0.25">
      <c r="AB765" s="230" t="e">
        <f>T765-HLOOKUP(V765,Minimas!$C$3:$CD$12,2,FALSE)</f>
        <v>#N/A</v>
      </c>
      <c r="AC765" s="230" t="e">
        <f>T765-HLOOKUP(V765,Minimas!$C$3:$CD$12,3,FALSE)</f>
        <v>#N/A</v>
      </c>
      <c r="AD765" s="230" t="e">
        <f>T765-HLOOKUP(V765,Minimas!$C$3:$CD$12,4,FALSE)</f>
        <v>#N/A</v>
      </c>
      <c r="AE765" s="230" t="e">
        <f>T765-HLOOKUP(V765,Minimas!$C$3:$CD$12,5,FALSE)</f>
        <v>#N/A</v>
      </c>
      <c r="AF765" s="230" t="e">
        <f>T765-HLOOKUP(V765,Minimas!$C$3:$CD$12,6,FALSE)</f>
        <v>#N/A</v>
      </c>
      <c r="AG765" s="230" t="e">
        <f>T765-HLOOKUP(V765,Minimas!$C$3:$CD$12,7,FALSE)</f>
        <v>#N/A</v>
      </c>
      <c r="AH765" s="230" t="e">
        <f>T765-HLOOKUP(V765,Minimas!$C$3:$CD$12,8,FALSE)</f>
        <v>#N/A</v>
      </c>
      <c r="AI765" s="230" t="e">
        <f>T765-HLOOKUP(V765,Minimas!$C$3:$CD$12,9,FALSE)</f>
        <v>#N/A</v>
      </c>
      <c r="AJ765" s="230" t="e">
        <f>T765-HLOOKUP(V765,Minimas!$C$3:$CD$12,10,FALSE)</f>
        <v>#N/A</v>
      </c>
      <c r="AK765" s="231" t="str">
        <f t="shared" si="111"/>
        <v xml:space="preserve"> </v>
      </c>
      <c r="AL765" s="232"/>
      <c r="AM765" s="232" t="str">
        <f t="shared" si="112"/>
        <v xml:space="preserve"> </v>
      </c>
      <c r="AN765" s="232" t="str">
        <f t="shared" si="113"/>
        <v xml:space="preserve"> </v>
      </c>
    </row>
    <row r="766" spans="28:40" x14ac:dyDescent="0.25">
      <c r="AB766" s="230" t="e">
        <f>T766-HLOOKUP(V766,Minimas!$C$3:$CD$12,2,FALSE)</f>
        <v>#N/A</v>
      </c>
      <c r="AC766" s="230" t="e">
        <f>T766-HLOOKUP(V766,Minimas!$C$3:$CD$12,3,FALSE)</f>
        <v>#N/A</v>
      </c>
      <c r="AD766" s="230" t="e">
        <f>T766-HLOOKUP(V766,Minimas!$C$3:$CD$12,4,FALSE)</f>
        <v>#N/A</v>
      </c>
      <c r="AE766" s="230" t="e">
        <f>T766-HLOOKUP(V766,Minimas!$C$3:$CD$12,5,FALSE)</f>
        <v>#N/A</v>
      </c>
      <c r="AF766" s="230" t="e">
        <f>T766-HLOOKUP(V766,Minimas!$C$3:$CD$12,6,FALSE)</f>
        <v>#N/A</v>
      </c>
      <c r="AG766" s="230" t="e">
        <f>T766-HLOOKUP(V766,Minimas!$C$3:$CD$12,7,FALSE)</f>
        <v>#N/A</v>
      </c>
      <c r="AH766" s="230" t="e">
        <f>T766-HLOOKUP(V766,Minimas!$C$3:$CD$12,8,FALSE)</f>
        <v>#N/A</v>
      </c>
      <c r="AI766" s="230" t="e">
        <f>T766-HLOOKUP(V766,Minimas!$C$3:$CD$12,9,FALSE)</f>
        <v>#N/A</v>
      </c>
      <c r="AJ766" s="230" t="e">
        <f>T766-HLOOKUP(V766,Minimas!$C$3:$CD$12,10,FALSE)</f>
        <v>#N/A</v>
      </c>
      <c r="AK766" s="231" t="str">
        <f t="shared" si="111"/>
        <v xml:space="preserve"> </v>
      </c>
      <c r="AL766" s="232"/>
      <c r="AM766" s="232" t="str">
        <f t="shared" si="112"/>
        <v xml:space="preserve"> </v>
      </c>
      <c r="AN766" s="232" t="str">
        <f t="shared" si="113"/>
        <v xml:space="preserve"> </v>
      </c>
    </row>
    <row r="767" spans="28:40" x14ac:dyDescent="0.25">
      <c r="AB767" s="230" t="e">
        <f>T767-HLOOKUP(V767,Minimas!$C$3:$CD$12,2,FALSE)</f>
        <v>#N/A</v>
      </c>
      <c r="AC767" s="230" t="e">
        <f>T767-HLOOKUP(V767,Minimas!$C$3:$CD$12,3,FALSE)</f>
        <v>#N/A</v>
      </c>
      <c r="AD767" s="230" t="e">
        <f>T767-HLOOKUP(V767,Minimas!$C$3:$CD$12,4,FALSE)</f>
        <v>#N/A</v>
      </c>
      <c r="AE767" s="230" t="e">
        <f>T767-HLOOKUP(V767,Minimas!$C$3:$CD$12,5,FALSE)</f>
        <v>#N/A</v>
      </c>
      <c r="AF767" s="230" t="e">
        <f>T767-HLOOKUP(V767,Minimas!$C$3:$CD$12,6,FALSE)</f>
        <v>#N/A</v>
      </c>
      <c r="AG767" s="230" t="e">
        <f>T767-HLOOKUP(V767,Minimas!$C$3:$CD$12,7,FALSE)</f>
        <v>#N/A</v>
      </c>
      <c r="AH767" s="230" t="e">
        <f>T767-HLOOKUP(V767,Minimas!$C$3:$CD$12,8,FALSE)</f>
        <v>#N/A</v>
      </c>
      <c r="AI767" s="230" t="e">
        <f>T767-HLOOKUP(V767,Minimas!$C$3:$CD$12,9,FALSE)</f>
        <v>#N/A</v>
      </c>
      <c r="AJ767" s="230" t="e">
        <f>T767-HLOOKUP(V767,Minimas!$C$3:$CD$12,10,FALSE)</f>
        <v>#N/A</v>
      </c>
      <c r="AK767" s="231" t="str">
        <f t="shared" si="111"/>
        <v xml:space="preserve"> </v>
      </c>
      <c r="AL767" s="232"/>
      <c r="AM767" s="232" t="str">
        <f t="shared" si="112"/>
        <v xml:space="preserve"> </v>
      </c>
      <c r="AN767" s="232" t="str">
        <f t="shared" si="113"/>
        <v xml:space="preserve"> </v>
      </c>
    </row>
    <row r="768" spans="28:40" x14ac:dyDescent="0.25">
      <c r="AB768" s="230" t="e">
        <f>T768-HLOOKUP(V768,Minimas!$C$3:$CD$12,2,FALSE)</f>
        <v>#N/A</v>
      </c>
      <c r="AC768" s="230" t="e">
        <f>T768-HLOOKUP(V768,Minimas!$C$3:$CD$12,3,FALSE)</f>
        <v>#N/A</v>
      </c>
      <c r="AD768" s="230" t="e">
        <f>T768-HLOOKUP(V768,Minimas!$C$3:$CD$12,4,FALSE)</f>
        <v>#N/A</v>
      </c>
      <c r="AE768" s="230" t="e">
        <f>T768-HLOOKUP(V768,Minimas!$C$3:$CD$12,5,FALSE)</f>
        <v>#N/A</v>
      </c>
      <c r="AF768" s="230" t="e">
        <f>T768-HLOOKUP(V768,Minimas!$C$3:$CD$12,6,FALSE)</f>
        <v>#N/A</v>
      </c>
      <c r="AG768" s="230" t="e">
        <f>T768-HLOOKUP(V768,Minimas!$C$3:$CD$12,7,FALSE)</f>
        <v>#N/A</v>
      </c>
      <c r="AH768" s="230" t="e">
        <f>T768-HLOOKUP(V768,Minimas!$C$3:$CD$12,8,FALSE)</f>
        <v>#N/A</v>
      </c>
      <c r="AI768" s="230" t="e">
        <f>T768-HLOOKUP(V768,Minimas!$C$3:$CD$12,9,FALSE)</f>
        <v>#N/A</v>
      </c>
      <c r="AJ768" s="230" t="e">
        <f>T768-HLOOKUP(V768,Minimas!$C$3:$CD$12,10,FALSE)</f>
        <v>#N/A</v>
      </c>
      <c r="AK768" s="231" t="str">
        <f t="shared" si="111"/>
        <v xml:space="preserve"> </v>
      </c>
      <c r="AL768" s="232"/>
      <c r="AM768" s="232" t="str">
        <f t="shared" si="112"/>
        <v xml:space="preserve"> </v>
      </c>
      <c r="AN768" s="232" t="str">
        <f t="shared" si="113"/>
        <v xml:space="preserve"> </v>
      </c>
    </row>
    <row r="769" spans="28:40" x14ac:dyDescent="0.25">
      <c r="AB769" s="230" t="e">
        <f>T769-HLOOKUP(V769,Minimas!$C$3:$CD$12,2,FALSE)</f>
        <v>#N/A</v>
      </c>
      <c r="AC769" s="230" t="e">
        <f>T769-HLOOKUP(V769,Minimas!$C$3:$CD$12,3,FALSE)</f>
        <v>#N/A</v>
      </c>
      <c r="AD769" s="230" t="e">
        <f>T769-HLOOKUP(V769,Minimas!$C$3:$CD$12,4,FALSE)</f>
        <v>#N/A</v>
      </c>
      <c r="AE769" s="230" t="e">
        <f>T769-HLOOKUP(V769,Minimas!$C$3:$CD$12,5,FALSE)</f>
        <v>#N/A</v>
      </c>
      <c r="AF769" s="230" t="e">
        <f>T769-HLOOKUP(V769,Minimas!$C$3:$CD$12,6,FALSE)</f>
        <v>#N/A</v>
      </c>
      <c r="AG769" s="230" t="e">
        <f>T769-HLOOKUP(V769,Minimas!$C$3:$CD$12,7,FALSE)</f>
        <v>#N/A</v>
      </c>
      <c r="AH769" s="230" t="e">
        <f>T769-HLOOKUP(V769,Minimas!$C$3:$CD$12,8,FALSE)</f>
        <v>#N/A</v>
      </c>
      <c r="AI769" s="230" t="e">
        <f>T769-HLOOKUP(V769,Minimas!$C$3:$CD$12,9,FALSE)</f>
        <v>#N/A</v>
      </c>
      <c r="AJ769" s="230" t="e">
        <f>T769-HLOOKUP(V769,Minimas!$C$3:$CD$12,10,FALSE)</f>
        <v>#N/A</v>
      </c>
      <c r="AK769" s="231" t="str">
        <f t="shared" si="111"/>
        <v xml:space="preserve"> </v>
      </c>
      <c r="AL769" s="232"/>
      <c r="AM769" s="232" t="str">
        <f t="shared" si="112"/>
        <v xml:space="preserve"> </v>
      </c>
      <c r="AN769" s="232" t="str">
        <f t="shared" si="113"/>
        <v xml:space="preserve"> </v>
      </c>
    </row>
    <row r="770" spans="28:40" x14ac:dyDescent="0.25">
      <c r="AB770" s="230" t="e">
        <f>T770-HLOOKUP(V770,Minimas!$C$3:$CD$12,2,FALSE)</f>
        <v>#N/A</v>
      </c>
      <c r="AC770" s="230" t="e">
        <f>T770-HLOOKUP(V770,Minimas!$C$3:$CD$12,3,FALSE)</f>
        <v>#N/A</v>
      </c>
      <c r="AD770" s="230" t="e">
        <f>T770-HLOOKUP(V770,Minimas!$C$3:$CD$12,4,FALSE)</f>
        <v>#N/A</v>
      </c>
      <c r="AE770" s="230" t="e">
        <f>T770-HLOOKUP(V770,Minimas!$C$3:$CD$12,5,FALSE)</f>
        <v>#N/A</v>
      </c>
      <c r="AF770" s="230" t="e">
        <f>T770-HLOOKUP(V770,Minimas!$C$3:$CD$12,6,FALSE)</f>
        <v>#N/A</v>
      </c>
      <c r="AG770" s="230" t="e">
        <f>T770-HLOOKUP(V770,Minimas!$C$3:$CD$12,7,FALSE)</f>
        <v>#N/A</v>
      </c>
      <c r="AH770" s="230" t="e">
        <f>T770-HLOOKUP(V770,Minimas!$C$3:$CD$12,8,FALSE)</f>
        <v>#N/A</v>
      </c>
      <c r="AI770" s="230" t="e">
        <f>T770-HLOOKUP(V770,Minimas!$C$3:$CD$12,9,FALSE)</f>
        <v>#N/A</v>
      </c>
      <c r="AJ770" s="230" t="e">
        <f>T770-HLOOKUP(V770,Minimas!$C$3:$CD$12,10,FALSE)</f>
        <v>#N/A</v>
      </c>
      <c r="AK770" s="231" t="str">
        <f t="shared" si="111"/>
        <v xml:space="preserve"> </v>
      </c>
      <c r="AL770" s="232"/>
      <c r="AM770" s="232" t="str">
        <f t="shared" si="112"/>
        <v xml:space="preserve"> </v>
      </c>
      <c r="AN770" s="232" t="str">
        <f t="shared" si="113"/>
        <v xml:space="preserve"> </v>
      </c>
    </row>
    <row r="771" spans="28:40" x14ac:dyDescent="0.25">
      <c r="AB771" s="230" t="e">
        <f>T771-HLOOKUP(V771,Minimas!$C$3:$CD$12,2,FALSE)</f>
        <v>#N/A</v>
      </c>
      <c r="AC771" s="230" t="e">
        <f>T771-HLOOKUP(V771,Minimas!$C$3:$CD$12,3,FALSE)</f>
        <v>#N/A</v>
      </c>
      <c r="AD771" s="230" t="e">
        <f>T771-HLOOKUP(V771,Minimas!$C$3:$CD$12,4,FALSE)</f>
        <v>#N/A</v>
      </c>
      <c r="AE771" s="230" t="e">
        <f>T771-HLOOKUP(V771,Minimas!$C$3:$CD$12,5,FALSE)</f>
        <v>#N/A</v>
      </c>
      <c r="AF771" s="230" t="e">
        <f>T771-HLOOKUP(V771,Minimas!$C$3:$CD$12,6,FALSE)</f>
        <v>#N/A</v>
      </c>
      <c r="AG771" s="230" t="e">
        <f>T771-HLOOKUP(V771,Minimas!$C$3:$CD$12,7,FALSE)</f>
        <v>#N/A</v>
      </c>
      <c r="AH771" s="230" t="e">
        <f>T771-HLOOKUP(V771,Minimas!$C$3:$CD$12,8,FALSE)</f>
        <v>#N/A</v>
      </c>
      <c r="AI771" s="230" t="e">
        <f>T771-HLOOKUP(V771,Minimas!$C$3:$CD$12,9,FALSE)</f>
        <v>#N/A</v>
      </c>
      <c r="AJ771" s="230" t="e">
        <f>T771-HLOOKUP(V771,Minimas!$C$3:$CD$12,10,FALSE)</f>
        <v>#N/A</v>
      </c>
      <c r="AK771" s="231" t="str">
        <f t="shared" si="111"/>
        <v xml:space="preserve"> </v>
      </c>
      <c r="AL771" s="232"/>
      <c r="AM771" s="232" t="str">
        <f t="shared" si="112"/>
        <v xml:space="preserve"> </v>
      </c>
      <c r="AN771" s="232" t="str">
        <f t="shared" si="113"/>
        <v xml:space="preserve"> </v>
      </c>
    </row>
    <row r="772" spans="28:40" x14ac:dyDescent="0.25">
      <c r="AB772" s="230" t="e">
        <f>T772-HLOOKUP(V772,Minimas!$C$3:$CD$12,2,FALSE)</f>
        <v>#N/A</v>
      </c>
      <c r="AC772" s="230" t="e">
        <f>T772-HLOOKUP(V772,Minimas!$C$3:$CD$12,3,FALSE)</f>
        <v>#N/A</v>
      </c>
      <c r="AD772" s="230" t="e">
        <f>T772-HLOOKUP(V772,Minimas!$C$3:$CD$12,4,FALSE)</f>
        <v>#N/A</v>
      </c>
      <c r="AE772" s="230" t="e">
        <f>T772-HLOOKUP(V772,Minimas!$C$3:$CD$12,5,FALSE)</f>
        <v>#N/A</v>
      </c>
      <c r="AF772" s="230" t="e">
        <f>T772-HLOOKUP(V772,Minimas!$C$3:$CD$12,6,FALSE)</f>
        <v>#N/A</v>
      </c>
      <c r="AG772" s="230" t="e">
        <f>T772-HLOOKUP(V772,Minimas!$C$3:$CD$12,7,FALSE)</f>
        <v>#N/A</v>
      </c>
      <c r="AH772" s="230" t="e">
        <f>T772-HLOOKUP(V772,Minimas!$C$3:$CD$12,8,FALSE)</f>
        <v>#N/A</v>
      </c>
      <c r="AI772" s="230" t="e">
        <f>T772-HLOOKUP(V772,Minimas!$C$3:$CD$12,9,FALSE)</f>
        <v>#N/A</v>
      </c>
      <c r="AJ772" s="230" t="e">
        <f>T772-HLOOKUP(V772,Minimas!$C$3:$CD$12,10,FALSE)</f>
        <v>#N/A</v>
      </c>
      <c r="AK772" s="231" t="str">
        <f t="shared" ref="AK772:AK835" si="114">IF(E772=0," ",IF(AJ772&gt;=0,$AJ$5,IF(AI772&gt;=0,$AI$5,IF(AH772&gt;=0,$AH$5,IF(AG772&gt;=0,$AG$5,IF(AF772&gt;=0,$AF$5,IF(AE772&gt;=0,$AE$5,IF(AD772&gt;=0,$AD$5,IF(AC772&gt;=0,$AC$5,$AB$5)))))))))</f>
        <v xml:space="preserve"> </v>
      </c>
      <c r="AL772" s="232"/>
      <c r="AM772" s="232" t="str">
        <f t="shared" ref="AM772:AM835" si="115">IF(AK772="","",AK772)</f>
        <v xml:space="preserve"> </v>
      </c>
      <c r="AN772" s="232" t="str">
        <f t="shared" ref="AN772:AN835" si="116">IF(E772=0," ",IF(AJ772&gt;=0,AJ772,IF(AI772&gt;=0,AI772,IF(AH772&gt;=0,AH772,IF(AG772&gt;=0,AG772,IF(AF772&gt;=0,AF772,IF(AE772&gt;=0,AE772,IF(AD772&gt;=0,AD772,IF(AC772&gt;=0,AC772,AB772)))))))))</f>
        <v xml:space="preserve"> </v>
      </c>
    </row>
    <row r="773" spans="28:40" x14ac:dyDescent="0.25">
      <c r="AB773" s="230" t="e">
        <f>T773-HLOOKUP(V773,Minimas!$C$3:$CD$12,2,FALSE)</f>
        <v>#N/A</v>
      </c>
      <c r="AC773" s="230" t="e">
        <f>T773-HLOOKUP(V773,Minimas!$C$3:$CD$12,3,FALSE)</f>
        <v>#N/A</v>
      </c>
      <c r="AD773" s="230" t="e">
        <f>T773-HLOOKUP(V773,Minimas!$C$3:$CD$12,4,FALSE)</f>
        <v>#N/A</v>
      </c>
      <c r="AE773" s="230" t="e">
        <f>T773-HLOOKUP(V773,Minimas!$C$3:$CD$12,5,FALSE)</f>
        <v>#N/A</v>
      </c>
      <c r="AF773" s="230" t="e">
        <f>T773-HLOOKUP(V773,Minimas!$C$3:$CD$12,6,FALSE)</f>
        <v>#N/A</v>
      </c>
      <c r="AG773" s="230" t="e">
        <f>T773-HLOOKUP(V773,Minimas!$C$3:$CD$12,7,FALSE)</f>
        <v>#N/A</v>
      </c>
      <c r="AH773" s="230" t="e">
        <f>T773-HLOOKUP(V773,Minimas!$C$3:$CD$12,8,FALSE)</f>
        <v>#N/A</v>
      </c>
      <c r="AI773" s="230" t="e">
        <f>T773-HLOOKUP(V773,Minimas!$C$3:$CD$12,9,FALSE)</f>
        <v>#N/A</v>
      </c>
      <c r="AJ773" s="230" t="e">
        <f>T773-HLOOKUP(V773,Minimas!$C$3:$CD$12,10,FALSE)</f>
        <v>#N/A</v>
      </c>
      <c r="AK773" s="231" t="str">
        <f t="shared" si="114"/>
        <v xml:space="preserve"> </v>
      </c>
      <c r="AL773" s="232"/>
      <c r="AM773" s="232" t="str">
        <f t="shared" si="115"/>
        <v xml:space="preserve"> </v>
      </c>
      <c r="AN773" s="232" t="str">
        <f t="shared" si="116"/>
        <v xml:space="preserve"> </v>
      </c>
    </row>
    <row r="774" spans="28:40" x14ac:dyDescent="0.25">
      <c r="AB774" s="230" t="e">
        <f>T774-HLOOKUP(V774,Minimas!$C$3:$CD$12,2,FALSE)</f>
        <v>#N/A</v>
      </c>
      <c r="AC774" s="230" t="e">
        <f>T774-HLOOKUP(V774,Minimas!$C$3:$CD$12,3,FALSE)</f>
        <v>#N/A</v>
      </c>
      <c r="AD774" s="230" t="e">
        <f>T774-HLOOKUP(V774,Minimas!$C$3:$CD$12,4,FALSE)</f>
        <v>#N/A</v>
      </c>
      <c r="AE774" s="230" t="e">
        <f>T774-HLOOKUP(V774,Minimas!$C$3:$CD$12,5,FALSE)</f>
        <v>#N/A</v>
      </c>
      <c r="AF774" s="230" t="e">
        <f>T774-HLOOKUP(V774,Minimas!$C$3:$CD$12,6,FALSE)</f>
        <v>#N/A</v>
      </c>
      <c r="AG774" s="230" t="e">
        <f>T774-HLOOKUP(V774,Minimas!$C$3:$CD$12,7,FALSE)</f>
        <v>#N/A</v>
      </c>
      <c r="AH774" s="230" t="e">
        <f>T774-HLOOKUP(V774,Minimas!$C$3:$CD$12,8,FALSE)</f>
        <v>#N/A</v>
      </c>
      <c r="AI774" s="230" t="e">
        <f>T774-HLOOKUP(V774,Minimas!$C$3:$CD$12,9,FALSE)</f>
        <v>#N/A</v>
      </c>
      <c r="AJ774" s="230" t="e">
        <f>T774-HLOOKUP(V774,Minimas!$C$3:$CD$12,10,FALSE)</f>
        <v>#N/A</v>
      </c>
      <c r="AK774" s="231" t="str">
        <f t="shared" si="114"/>
        <v xml:space="preserve"> </v>
      </c>
      <c r="AL774" s="232"/>
      <c r="AM774" s="232" t="str">
        <f t="shared" si="115"/>
        <v xml:space="preserve"> </v>
      </c>
      <c r="AN774" s="232" t="str">
        <f t="shared" si="116"/>
        <v xml:space="preserve"> </v>
      </c>
    </row>
    <row r="775" spans="28:40" x14ac:dyDescent="0.25">
      <c r="AB775" s="230" t="e">
        <f>T775-HLOOKUP(V775,Minimas!$C$3:$CD$12,2,FALSE)</f>
        <v>#N/A</v>
      </c>
      <c r="AC775" s="230" t="e">
        <f>T775-HLOOKUP(V775,Minimas!$C$3:$CD$12,3,FALSE)</f>
        <v>#N/A</v>
      </c>
      <c r="AD775" s="230" t="e">
        <f>T775-HLOOKUP(V775,Minimas!$C$3:$CD$12,4,FALSE)</f>
        <v>#N/A</v>
      </c>
      <c r="AE775" s="230" t="e">
        <f>T775-HLOOKUP(V775,Minimas!$C$3:$CD$12,5,FALSE)</f>
        <v>#N/A</v>
      </c>
      <c r="AF775" s="230" t="e">
        <f>T775-HLOOKUP(V775,Minimas!$C$3:$CD$12,6,FALSE)</f>
        <v>#N/A</v>
      </c>
      <c r="AG775" s="230" t="e">
        <f>T775-HLOOKUP(V775,Minimas!$C$3:$CD$12,7,FALSE)</f>
        <v>#N/A</v>
      </c>
      <c r="AH775" s="230" t="e">
        <f>T775-HLOOKUP(V775,Minimas!$C$3:$CD$12,8,FALSE)</f>
        <v>#N/A</v>
      </c>
      <c r="AI775" s="230" t="e">
        <f>T775-HLOOKUP(V775,Minimas!$C$3:$CD$12,9,FALSE)</f>
        <v>#N/A</v>
      </c>
      <c r="AJ775" s="230" t="e">
        <f>T775-HLOOKUP(V775,Minimas!$C$3:$CD$12,10,FALSE)</f>
        <v>#N/A</v>
      </c>
      <c r="AK775" s="231" t="str">
        <f t="shared" si="114"/>
        <v xml:space="preserve"> </v>
      </c>
      <c r="AL775" s="232"/>
      <c r="AM775" s="232" t="str">
        <f t="shared" si="115"/>
        <v xml:space="preserve"> </v>
      </c>
      <c r="AN775" s="232" t="str">
        <f t="shared" si="116"/>
        <v xml:space="preserve"> </v>
      </c>
    </row>
    <row r="776" spans="28:40" x14ac:dyDescent="0.25">
      <c r="AB776" s="230" t="e">
        <f>T776-HLOOKUP(V776,Minimas!$C$3:$CD$12,2,FALSE)</f>
        <v>#N/A</v>
      </c>
      <c r="AC776" s="230" t="e">
        <f>T776-HLOOKUP(V776,Minimas!$C$3:$CD$12,3,FALSE)</f>
        <v>#N/A</v>
      </c>
      <c r="AD776" s="230" t="e">
        <f>T776-HLOOKUP(V776,Minimas!$C$3:$CD$12,4,FALSE)</f>
        <v>#N/A</v>
      </c>
      <c r="AE776" s="230" t="e">
        <f>T776-HLOOKUP(V776,Minimas!$C$3:$CD$12,5,FALSE)</f>
        <v>#N/A</v>
      </c>
      <c r="AF776" s="230" t="e">
        <f>T776-HLOOKUP(V776,Minimas!$C$3:$CD$12,6,FALSE)</f>
        <v>#N/A</v>
      </c>
      <c r="AG776" s="230" t="e">
        <f>T776-HLOOKUP(V776,Minimas!$C$3:$CD$12,7,FALSE)</f>
        <v>#N/A</v>
      </c>
      <c r="AH776" s="230" t="e">
        <f>T776-HLOOKUP(V776,Minimas!$C$3:$CD$12,8,FALSE)</f>
        <v>#N/A</v>
      </c>
      <c r="AI776" s="230" t="e">
        <f>T776-HLOOKUP(V776,Minimas!$C$3:$CD$12,9,FALSE)</f>
        <v>#N/A</v>
      </c>
      <c r="AJ776" s="230" t="e">
        <f>T776-HLOOKUP(V776,Minimas!$C$3:$CD$12,10,FALSE)</f>
        <v>#N/A</v>
      </c>
      <c r="AK776" s="231" t="str">
        <f t="shared" si="114"/>
        <v xml:space="preserve"> </v>
      </c>
      <c r="AL776" s="232"/>
      <c r="AM776" s="232" t="str">
        <f t="shared" si="115"/>
        <v xml:space="preserve"> </v>
      </c>
      <c r="AN776" s="232" t="str">
        <f t="shared" si="116"/>
        <v xml:space="preserve"> </v>
      </c>
    </row>
    <row r="777" spans="28:40" x14ac:dyDescent="0.25">
      <c r="AB777" s="230" t="e">
        <f>T777-HLOOKUP(V777,Minimas!$C$3:$CD$12,2,FALSE)</f>
        <v>#N/A</v>
      </c>
      <c r="AC777" s="230" t="e">
        <f>T777-HLOOKUP(V777,Minimas!$C$3:$CD$12,3,FALSE)</f>
        <v>#N/A</v>
      </c>
      <c r="AD777" s="230" t="e">
        <f>T777-HLOOKUP(V777,Minimas!$C$3:$CD$12,4,FALSE)</f>
        <v>#N/A</v>
      </c>
      <c r="AE777" s="230" t="e">
        <f>T777-HLOOKUP(V777,Minimas!$C$3:$CD$12,5,FALSE)</f>
        <v>#N/A</v>
      </c>
      <c r="AF777" s="230" t="e">
        <f>T777-HLOOKUP(V777,Minimas!$C$3:$CD$12,6,FALSE)</f>
        <v>#N/A</v>
      </c>
      <c r="AG777" s="230" t="e">
        <f>T777-HLOOKUP(V777,Minimas!$C$3:$CD$12,7,FALSE)</f>
        <v>#N/A</v>
      </c>
      <c r="AH777" s="230" t="e">
        <f>T777-HLOOKUP(V777,Minimas!$C$3:$CD$12,8,FALSE)</f>
        <v>#N/A</v>
      </c>
      <c r="AI777" s="230" t="e">
        <f>T777-HLOOKUP(V777,Minimas!$C$3:$CD$12,9,FALSE)</f>
        <v>#N/A</v>
      </c>
      <c r="AJ777" s="230" t="e">
        <f>T777-HLOOKUP(V777,Minimas!$C$3:$CD$12,10,FALSE)</f>
        <v>#N/A</v>
      </c>
      <c r="AK777" s="231" t="str">
        <f t="shared" si="114"/>
        <v xml:space="preserve"> </v>
      </c>
      <c r="AL777" s="232"/>
      <c r="AM777" s="232" t="str">
        <f t="shared" si="115"/>
        <v xml:space="preserve"> </v>
      </c>
      <c r="AN777" s="232" t="str">
        <f t="shared" si="116"/>
        <v xml:space="preserve"> </v>
      </c>
    </row>
    <row r="778" spans="28:40" x14ac:dyDescent="0.25">
      <c r="AB778" s="230" t="e">
        <f>T778-HLOOKUP(V778,Minimas!$C$3:$CD$12,2,FALSE)</f>
        <v>#N/A</v>
      </c>
      <c r="AC778" s="230" t="e">
        <f>T778-HLOOKUP(V778,Minimas!$C$3:$CD$12,3,FALSE)</f>
        <v>#N/A</v>
      </c>
      <c r="AD778" s="230" t="e">
        <f>T778-HLOOKUP(V778,Minimas!$C$3:$CD$12,4,FALSE)</f>
        <v>#N/A</v>
      </c>
      <c r="AE778" s="230" t="e">
        <f>T778-HLOOKUP(V778,Minimas!$C$3:$CD$12,5,FALSE)</f>
        <v>#N/A</v>
      </c>
      <c r="AF778" s="230" t="e">
        <f>T778-HLOOKUP(V778,Minimas!$C$3:$CD$12,6,FALSE)</f>
        <v>#N/A</v>
      </c>
      <c r="AG778" s="230" t="e">
        <f>T778-HLOOKUP(V778,Minimas!$C$3:$CD$12,7,FALSE)</f>
        <v>#N/A</v>
      </c>
      <c r="AH778" s="230" t="e">
        <f>T778-HLOOKUP(V778,Minimas!$C$3:$CD$12,8,FALSE)</f>
        <v>#N/A</v>
      </c>
      <c r="AI778" s="230" t="e">
        <f>T778-HLOOKUP(V778,Minimas!$C$3:$CD$12,9,FALSE)</f>
        <v>#N/A</v>
      </c>
      <c r="AJ778" s="230" t="e">
        <f>T778-HLOOKUP(V778,Minimas!$C$3:$CD$12,10,FALSE)</f>
        <v>#N/A</v>
      </c>
      <c r="AK778" s="231" t="str">
        <f t="shared" si="114"/>
        <v xml:space="preserve"> </v>
      </c>
      <c r="AL778" s="232"/>
      <c r="AM778" s="232" t="str">
        <f t="shared" si="115"/>
        <v xml:space="preserve"> </v>
      </c>
      <c r="AN778" s="232" t="str">
        <f t="shared" si="116"/>
        <v xml:space="preserve"> </v>
      </c>
    </row>
    <row r="779" spans="28:40" x14ac:dyDescent="0.25">
      <c r="AB779" s="230" t="e">
        <f>T779-HLOOKUP(V779,Minimas!$C$3:$CD$12,2,FALSE)</f>
        <v>#N/A</v>
      </c>
      <c r="AC779" s="230" t="e">
        <f>T779-HLOOKUP(V779,Minimas!$C$3:$CD$12,3,FALSE)</f>
        <v>#N/A</v>
      </c>
      <c r="AD779" s="230" t="e">
        <f>T779-HLOOKUP(V779,Minimas!$C$3:$CD$12,4,FALSE)</f>
        <v>#N/A</v>
      </c>
      <c r="AE779" s="230" t="e">
        <f>T779-HLOOKUP(V779,Minimas!$C$3:$CD$12,5,FALSE)</f>
        <v>#N/A</v>
      </c>
      <c r="AF779" s="230" t="e">
        <f>T779-HLOOKUP(V779,Minimas!$C$3:$CD$12,6,FALSE)</f>
        <v>#N/A</v>
      </c>
      <c r="AG779" s="230" t="e">
        <f>T779-HLOOKUP(V779,Minimas!$C$3:$CD$12,7,FALSE)</f>
        <v>#N/A</v>
      </c>
      <c r="AH779" s="230" t="e">
        <f>T779-HLOOKUP(V779,Minimas!$C$3:$CD$12,8,FALSE)</f>
        <v>#N/A</v>
      </c>
      <c r="AI779" s="230" t="e">
        <f>T779-HLOOKUP(V779,Minimas!$C$3:$CD$12,9,FALSE)</f>
        <v>#N/A</v>
      </c>
      <c r="AJ779" s="230" t="e">
        <f>T779-HLOOKUP(V779,Minimas!$C$3:$CD$12,10,FALSE)</f>
        <v>#N/A</v>
      </c>
      <c r="AK779" s="231" t="str">
        <f t="shared" si="114"/>
        <v xml:space="preserve"> </v>
      </c>
      <c r="AL779" s="232"/>
      <c r="AM779" s="232" t="str">
        <f t="shared" si="115"/>
        <v xml:space="preserve"> </v>
      </c>
      <c r="AN779" s="232" t="str">
        <f t="shared" si="116"/>
        <v xml:space="preserve"> </v>
      </c>
    </row>
    <row r="780" spans="28:40" x14ac:dyDescent="0.25">
      <c r="AB780" s="230" t="e">
        <f>T780-HLOOKUP(V780,Minimas!$C$3:$CD$12,2,FALSE)</f>
        <v>#N/A</v>
      </c>
      <c r="AC780" s="230" t="e">
        <f>T780-HLOOKUP(V780,Minimas!$C$3:$CD$12,3,FALSE)</f>
        <v>#N/A</v>
      </c>
      <c r="AD780" s="230" t="e">
        <f>T780-HLOOKUP(V780,Minimas!$C$3:$CD$12,4,FALSE)</f>
        <v>#N/A</v>
      </c>
      <c r="AE780" s="230" t="e">
        <f>T780-HLOOKUP(V780,Minimas!$C$3:$CD$12,5,FALSE)</f>
        <v>#N/A</v>
      </c>
      <c r="AF780" s="230" t="e">
        <f>T780-HLOOKUP(V780,Minimas!$C$3:$CD$12,6,FALSE)</f>
        <v>#N/A</v>
      </c>
      <c r="AG780" s="230" t="e">
        <f>T780-HLOOKUP(V780,Minimas!$C$3:$CD$12,7,FALSE)</f>
        <v>#N/A</v>
      </c>
      <c r="AH780" s="230" t="e">
        <f>T780-HLOOKUP(V780,Minimas!$C$3:$CD$12,8,FALSE)</f>
        <v>#N/A</v>
      </c>
      <c r="AI780" s="230" t="e">
        <f>T780-HLOOKUP(V780,Minimas!$C$3:$CD$12,9,FALSE)</f>
        <v>#N/A</v>
      </c>
      <c r="AJ780" s="230" t="e">
        <f>T780-HLOOKUP(V780,Minimas!$C$3:$CD$12,10,FALSE)</f>
        <v>#N/A</v>
      </c>
      <c r="AK780" s="231" t="str">
        <f t="shared" si="114"/>
        <v xml:space="preserve"> </v>
      </c>
      <c r="AL780" s="232"/>
      <c r="AM780" s="232" t="str">
        <f t="shared" si="115"/>
        <v xml:space="preserve"> </v>
      </c>
      <c r="AN780" s="232" t="str">
        <f t="shared" si="116"/>
        <v xml:space="preserve"> </v>
      </c>
    </row>
    <row r="781" spans="28:40" x14ac:dyDescent="0.25">
      <c r="AB781" s="230" t="e">
        <f>T781-HLOOKUP(V781,Minimas!$C$3:$CD$12,2,FALSE)</f>
        <v>#N/A</v>
      </c>
      <c r="AC781" s="230" t="e">
        <f>T781-HLOOKUP(V781,Minimas!$C$3:$CD$12,3,FALSE)</f>
        <v>#N/A</v>
      </c>
      <c r="AD781" s="230" t="e">
        <f>T781-HLOOKUP(V781,Minimas!$C$3:$CD$12,4,FALSE)</f>
        <v>#N/A</v>
      </c>
      <c r="AE781" s="230" t="e">
        <f>T781-HLOOKUP(V781,Minimas!$C$3:$CD$12,5,FALSE)</f>
        <v>#N/A</v>
      </c>
      <c r="AF781" s="230" t="e">
        <f>T781-HLOOKUP(V781,Minimas!$C$3:$CD$12,6,FALSE)</f>
        <v>#N/A</v>
      </c>
      <c r="AG781" s="230" t="e">
        <f>T781-HLOOKUP(V781,Minimas!$C$3:$CD$12,7,FALSE)</f>
        <v>#N/A</v>
      </c>
      <c r="AH781" s="230" t="e">
        <f>T781-HLOOKUP(V781,Minimas!$C$3:$CD$12,8,FALSE)</f>
        <v>#N/A</v>
      </c>
      <c r="AI781" s="230" t="e">
        <f>T781-HLOOKUP(V781,Minimas!$C$3:$CD$12,9,FALSE)</f>
        <v>#N/A</v>
      </c>
      <c r="AJ781" s="230" t="e">
        <f>T781-HLOOKUP(V781,Minimas!$C$3:$CD$12,10,FALSE)</f>
        <v>#N/A</v>
      </c>
      <c r="AK781" s="231" t="str">
        <f t="shared" si="114"/>
        <v xml:space="preserve"> </v>
      </c>
      <c r="AL781" s="232"/>
      <c r="AM781" s="232" t="str">
        <f t="shared" si="115"/>
        <v xml:space="preserve"> </v>
      </c>
      <c r="AN781" s="232" t="str">
        <f t="shared" si="116"/>
        <v xml:space="preserve"> </v>
      </c>
    </row>
    <row r="782" spans="28:40" x14ac:dyDescent="0.25">
      <c r="AB782" s="230" t="e">
        <f>T782-HLOOKUP(V782,Minimas!$C$3:$CD$12,2,FALSE)</f>
        <v>#N/A</v>
      </c>
      <c r="AC782" s="230" t="e">
        <f>T782-HLOOKUP(V782,Minimas!$C$3:$CD$12,3,FALSE)</f>
        <v>#N/A</v>
      </c>
      <c r="AD782" s="230" t="e">
        <f>T782-HLOOKUP(V782,Minimas!$C$3:$CD$12,4,FALSE)</f>
        <v>#N/A</v>
      </c>
      <c r="AE782" s="230" t="e">
        <f>T782-HLOOKUP(V782,Minimas!$C$3:$CD$12,5,FALSE)</f>
        <v>#N/A</v>
      </c>
      <c r="AF782" s="230" t="e">
        <f>T782-HLOOKUP(V782,Minimas!$C$3:$CD$12,6,FALSE)</f>
        <v>#N/A</v>
      </c>
      <c r="AG782" s="230" t="e">
        <f>T782-HLOOKUP(V782,Minimas!$C$3:$CD$12,7,FALSE)</f>
        <v>#N/A</v>
      </c>
      <c r="AH782" s="230" t="e">
        <f>T782-HLOOKUP(V782,Minimas!$C$3:$CD$12,8,FALSE)</f>
        <v>#N/A</v>
      </c>
      <c r="AI782" s="230" t="e">
        <f>T782-HLOOKUP(V782,Minimas!$C$3:$CD$12,9,FALSE)</f>
        <v>#N/A</v>
      </c>
      <c r="AJ782" s="230" t="e">
        <f>T782-HLOOKUP(V782,Minimas!$C$3:$CD$12,10,FALSE)</f>
        <v>#N/A</v>
      </c>
      <c r="AK782" s="231" t="str">
        <f t="shared" si="114"/>
        <v xml:space="preserve"> </v>
      </c>
      <c r="AL782" s="232"/>
      <c r="AM782" s="232" t="str">
        <f t="shared" si="115"/>
        <v xml:space="preserve"> </v>
      </c>
      <c r="AN782" s="232" t="str">
        <f t="shared" si="116"/>
        <v xml:space="preserve"> </v>
      </c>
    </row>
    <row r="783" spans="28:40" x14ac:dyDescent="0.25">
      <c r="AB783" s="230" t="e">
        <f>T783-HLOOKUP(V783,Minimas!$C$3:$CD$12,2,FALSE)</f>
        <v>#N/A</v>
      </c>
      <c r="AC783" s="230" t="e">
        <f>T783-HLOOKUP(V783,Minimas!$C$3:$CD$12,3,FALSE)</f>
        <v>#N/A</v>
      </c>
      <c r="AD783" s="230" t="e">
        <f>T783-HLOOKUP(V783,Minimas!$C$3:$CD$12,4,FALSE)</f>
        <v>#N/A</v>
      </c>
      <c r="AE783" s="230" t="e">
        <f>T783-HLOOKUP(V783,Minimas!$C$3:$CD$12,5,FALSE)</f>
        <v>#N/A</v>
      </c>
      <c r="AF783" s="230" t="e">
        <f>T783-HLOOKUP(V783,Minimas!$C$3:$CD$12,6,FALSE)</f>
        <v>#N/A</v>
      </c>
      <c r="AG783" s="230" t="e">
        <f>T783-HLOOKUP(V783,Minimas!$C$3:$CD$12,7,FALSE)</f>
        <v>#N/A</v>
      </c>
      <c r="AH783" s="230" t="e">
        <f>T783-HLOOKUP(V783,Minimas!$C$3:$CD$12,8,FALSE)</f>
        <v>#N/A</v>
      </c>
      <c r="AI783" s="230" t="e">
        <f>T783-HLOOKUP(V783,Minimas!$C$3:$CD$12,9,FALSE)</f>
        <v>#N/A</v>
      </c>
      <c r="AJ783" s="230" t="e">
        <f>T783-HLOOKUP(V783,Minimas!$C$3:$CD$12,10,FALSE)</f>
        <v>#N/A</v>
      </c>
      <c r="AK783" s="231" t="str">
        <f t="shared" si="114"/>
        <v xml:space="preserve"> </v>
      </c>
      <c r="AL783" s="232"/>
      <c r="AM783" s="232" t="str">
        <f t="shared" si="115"/>
        <v xml:space="preserve"> </v>
      </c>
      <c r="AN783" s="232" t="str">
        <f t="shared" si="116"/>
        <v xml:space="preserve"> </v>
      </c>
    </row>
    <row r="784" spans="28:40" x14ac:dyDescent="0.25">
      <c r="AB784" s="230" t="e">
        <f>T784-HLOOKUP(V784,Minimas!$C$3:$CD$12,2,FALSE)</f>
        <v>#N/A</v>
      </c>
      <c r="AC784" s="230" t="e">
        <f>T784-HLOOKUP(V784,Minimas!$C$3:$CD$12,3,FALSE)</f>
        <v>#N/A</v>
      </c>
      <c r="AD784" s="230" t="e">
        <f>T784-HLOOKUP(V784,Minimas!$C$3:$CD$12,4,FALSE)</f>
        <v>#N/A</v>
      </c>
      <c r="AE784" s="230" t="e">
        <f>T784-HLOOKUP(V784,Minimas!$C$3:$CD$12,5,FALSE)</f>
        <v>#N/A</v>
      </c>
      <c r="AF784" s="230" t="e">
        <f>T784-HLOOKUP(V784,Minimas!$C$3:$CD$12,6,FALSE)</f>
        <v>#N/A</v>
      </c>
      <c r="AG784" s="230" t="e">
        <f>T784-HLOOKUP(V784,Minimas!$C$3:$CD$12,7,FALSE)</f>
        <v>#N/A</v>
      </c>
      <c r="AH784" s="230" t="e">
        <f>T784-HLOOKUP(V784,Minimas!$C$3:$CD$12,8,FALSE)</f>
        <v>#N/A</v>
      </c>
      <c r="AI784" s="230" t="e">
        <f>T784-HLOOKUP(V784,Minimas!$C$3:$CD$12,9,FALSE)</f>
        <v>#N/A</v>
      </c>
      <c r="AJ784" s="230" t="e">
        <f>T784-HLOOKUP(V784,Minimas!$C$3:$CD$12,10,FALSE)</f>
        <v>#N/A</v>
      </c>
      <c r="AK784" s="231" t="str">
        <f t="shared" si="114"/>
        <v xml:space="preserve"> </v>
      </c>
      <c r="AL784" s="232"/>
      <c r="AM784" s="232" t="str">
        <f t="shared" si="115"/>
        <v xml:space="preserve"> </v>
      </c>
      <c r="AN784" s="232" t="str">
        <f t="shared" si="116"/>
        <v xml:space="preserve"> </v>
      </c>
    </row>
    <row r="785" spans="28:40" x14ac:dyDescent="0.25">
      <c r="AB785" s="230" t="e">
        <f>T785-HLOOKUP(V785,Minimas!$C$3:$CD$12,2,FALSE)</f>
        <v>#N/A</v>
      </c>
      <c r="AC785" s="230" t="e">
        <f>T785-HLOOKUP(V785,Minimas!$C$3:$CD$12,3,FALSE)</f>
        <v>#N/A</v>
      </c>
      <c r="AD785" s="230" t="e">
        <f>T785-HLOOKUP(V785,Minimas!$C$3:$CD$12,4,FALSE)</f>
        <v>#N/A</v>
      </c>
      <c r="AE785" s="230" t="e">
        <f>T785-HLOOKUP(V785,Minimas!$C$3:$CD$12,5,FALSE)</f>
        <v>#N/A</v>
      </c>
      <c r="AF785" s="230" t="e">
        <f>T785-HLOOKUP(V785,Minimas!$C$3:$CD$12,6,FALSE)</f>
        <v>#N/A</v>
      </c>
      <c r="AG785" s="230" t="e">
        <f>T785-HLOOKUP(V785,Minimas!$C$3:$CD$12,7,FALSE)</f>
        <v>#N/A</v>
      </c>
      <c r="AH785" s="230" t="e">
        <f>T785-HLOOKUP(V785,Minimas!$C$3:$CD$12,8,FALSE)</f>
        <v>#N/A</v>
      </c>
      <c r="AI785" s="230" t="e">
        <f>T785-HLOOKUP(V785,Minimas!$C$3:$CD$12,9,FALSE)</f>
        <v>#N/A</v>
      </c>
      <c r="AJ785" s="230" t="e">
        <f>T785-HLOOKUP(V785,Minimas!$C$3:$CD$12,10,FALSE)</f>
        <v>#N/A</v>
      </c>
      <c r="AK785" s="231" t="str">
        <f t="shared" si="114"/>
        <v xml:space="preserve"> </v>
      </c>
      <c r="AL785" s="232"/>
      <c r="AM785" s="232" t="str">
        <f t="shared" si="115"/>
        <v xml:space="preserve"> </v>
      </c>
      <c r="AN785" s="232" t="str">
        <f t="shared" si="116"/>
        <v xml:space="preserve"> </v>
      </c>
    </row>
    <row r="786" spans="28:40" x14ac:dyDescent="0.25">
      <c r="AB786" s="230" t="e">
        <f>T786-HLOOKUP(V786,Minimas!$C$3:$CD$12,2,FALSE)</f>
        <v>#N/A</v>
      </c>
      <c r="AC786" s="230" t="e">
        <f>T786-HLOOKUP(V786,Minimas!$C$3:$CD$12,3,FALSE)</f>
        <v>#N/A</v>
      </c>
      <c r="AD786" s="230" t="e">
        <f>T786-HLOOKUP(V786,Minimas!$C$3:$CD$12,4,FALSE)</f>
        <v>#N/A</v>
      </c>
      <c r="AE786" s="230" t="e">
        <f>T786-HLOOKUP(V786,Minimas!$C$3:$CD$12,5,FALSE)</f>
        <v>#N/A</v>
      </c>
      <c r="AF786" s="230" t="e">
        <f>T786-HLOOKUP(V786,Minimas!$C$3:$CD$12,6,FALSE)</f>
        <v>#N/A</v>
      </c>
      <c r="AG786" s="230" t="e">
        <f>T786-HLOOKUP(V786,Minimas!$C$3:$CD$12,7,FALSE)</f>
        <v>#N/A</v>
      </c>
      <c r="AH786" s="230" t="e">
        <f>T786-HLOOKUP(V786,Minimas!$C$3:$CD$12,8,FALSE)</f>
        <v>#N/A</v>
      </c>
      <c r="AI786" s="230" t="e">
        <f>T786-HLOOKUP(V786,Minimas!$C$3:$CD$12,9,FALSE)</f>
        <v>#N/A</v>
      </c>
      <c r="AJ786" s="230" t="e">
        <f>T786-HLOOKUP(V786,Minimas!$C$3:$CD$12,10,FALSE)</f>
        <v>#N/A</v>
      </c>
      <c r="AK786" s="231" t="str">
        <f t="shared" si="114"/>
        <v xml:space="preserve"> </v>
      </c>
      <c r="AL786" s="232"/>
      <c r="AM786" s="232" t="str">
        <f t="shared" si="115"/>
        <v xml:space="preserve"> </v>
      </c>
      <c r="AN786" s="232" t="str">
        <f t="shared" si="116"/>
        <v xml:space="preserve"> </v>
      </c>
    </row>
    <row r="787" spans="28:40" x14ac:dyDescent="0.25">
      <c r="AB787" s="230" t="e">
        <f>T787-HLOOKUP(V787,Minimas!$C$3:$CD$12,2,FALSE)</f>
        <v>#N/A</v>
      </c>
      <c r="AC787" s="230" t="e">
        <f>T787-HLOOKUP(V787,Minimas!$C$3:$CD$12,3,FALSE)</f>
        <v>#N/A</v>
      </c>
      <c r="AD787" s="230" t="e">
        <f>T787-HLOOKUP(V787,Minimas!$C$3:$CD$12,4,FALSE)</f>
        <v>#N/A</v>
      </c>
      <c r="AE787" s="230" t="e">
        <f>T787-HLOOKUP(V787,Minimas!$C$3:$CD$12,5,FALSE)</f>
        <v>#N/A</v>
      </c>
      <c r="AF787" s="230" t="e">
        <f>T787-HLOOKUP(V787,Minimas!$C$3:$CD$12,6,FALSE)</f>
        <v>#N/A</v>
      </c>
      <c r="AG787" s="230" t="e">
        <f>T787-HLOOKUP(V787,Minimas!$C$3:$CD$12,7,FALSE)</f>
        <v>#N/A</v>
      </c>
      <c r="AH787" s="230" t="e">
        <f>T787-HLOOKUP(V787,Minimas!$C$3:$CD$12,8,FALSE)</f>
        <v>#N/A</v>
      </c>
      <c r="AI787" s="230" t="e">
        <f>T787-HLOOKUP(V787,Minimas!$C$3:$CD$12,9,FALSE)</f>
        <v>#N/A</v>
      </c>
      <c r="AJ787" s="230" t="e">
        <f>T787-HLOOKUP(V787,Minimas!$C$3:$CD$12,10,FALSE)</f>
        <v>#N/A</v>
      </c>
      <c r="AK787" s="231" t="str">
        <f t="shared" si="114"/>
        <v xml:space="preserve"> </v>
      </c>
      <c r="AL787" s="232"/>
      <c r="AM787" s="232" t="str">
        <f t="shared" si="115"/>
        <v xml:space="preserve"> </v>
      </c>
      <c r="AN787" s="232" t="str">
        <f t="shared" si="116"/>
        <v xml:space="preserve"> </v>
      </c>
    </row>
    <row r="788" spans="28:40" x14ac:dyDescent="0.25">
      <c r="AB788" s="230" t="e">
        <f>T788-HLOOKUP(V788,Minimas!$C$3:$CD$12,2,FALSE)</f>
        <v>#N/A</v>
      </c>
      <c r="AC788" s="230" t="e">
        <f>T788-HLOOKUP(V788,Minimas!$C$3:$CD$12,3,FALSE)</f>
        <v>#N/A</v>
      </c>
      <c r="AD788" s="230" t="e">
        <f>T788-HLOOKUP(V788,Minimas!$C$3:$CD$12,4,FALSE)</f>
        <v>#N/A</v>
      </c>
      <c r="AE788" s="230" t="e">
        <f>T788-HLOOKUP(V788,Minimas!$C$3:$CD$12,5,FALSE)</f>
        <v>#N/A</v>
      </c>
      <c r="AF788" s="230" t="e">
        <f>T788-HLOOKUP(V788,Minimas!$C$3:$CD$12,6,FALSE)</f>
        <v>#N/A</v>
      </c>
      <c r="AG788" s="230" t="e">
        <f>T788-HLOOKUP(V788,Minimas!$C$3:$CD$12,7,FALSE)</f>
        <v>#N/A</v>
      </c>
      <c r="AH788" s="230" t="e">
        <f>T788-HLOOKUP(V788,Minimas!$C$3:$CD$12,8,FALSE)</f>
        <v>#N/A</v>
      </c>
      <c r="AI788" s="230" t="e">
        <f>T788-HLOOKUP(V788,Minimas!$C$3:$CD$12,9,FALSE)</f>
        <v>#N/A</v>
      </c>
      <c r="AJ788" s="230" t="e">
        <f>T788-HLOOKUP(V788,Minimas!$C$3:$CD$12,10,FALSE)</f>
        <v>#N/A</v>
      </c>
      <c r="AK788" s="231" t="str">
        <f t="shared" si="114"/>
        <v xml:space="preserve"> </v>
      </c>
      <c r="AL788" s="232"/>
      <c r="AM788" s="232" t="str">
        <f t="shared" si="115"/>
        <v xml:space="preserve"> </v>
      </c>
      <c r="AN788" s="232" t="str">
        <f t="shared" si="116"/>
        <v xml:space="preserve"> </v>
      </c>
    </row>
    <row r="789" spans="28:40" x14ac:dyDescent="0.25">
      <c r="AB789" s="230" t="e">
        <f>T789-HLOOKUP(V789,Minimas!$C$3:$CD$12,2,FALSE)</f>
        <v>#N/A</v>
      </c>
      <c r="AC789" s="230" t="e">
        <f>T789-HLOOKUP(V789,Minimas!$C$3:$CD$12,3,FALSE)</f>
        <v>#N/A</v>
      </c>
      <c r="AD789" s="230" t="e">
        <f>T789-HLOOKUP(V789,Minimas!$C$3:$CD$12,4,FALSE)</f>
        <v>#N/A</v>
      </c>
      <c r="AE789" s="230" t="e">
        <f>T789-HLOOKUP(V789,Minimas!$C$3:$CD$12,5,FALSE)</f>
        <v>#N/A</v>
      </c>
      <c r="AF789" s="230" t="e">
        <f>T789-HLOOKUP(V789,Minimas!$C$3:$CD$12,6,FALSE)</f>
        <v>#N/A</v>
      </c>
      <c r="AG789" s="230" t="e">
        <f>T789-HLOOKUP(V789,Minimas!$C$3:$CD$12,7,FALSE)</f>
        <v>#N/A</v>
      </c>
      <c r="AH789" s="230" t="e">
        <f>T789-HLOOKUP(V789,Minimas!$C$3:$CD$12,8,FALSE)</f>
        <v>#N/A</v>
      </c>
      <c r="AI789" s="230" t="e">
        <f>T789-HLOOKUP(V789,Minimas!$C$3:$CD$12,9,FALSE)</f>
        <v>#N/A</v>
      </c>
      <c r="AJ789" s="230" t="e">
        <f>T789-HLOOKUP(V789,Minimas!$C$3:$CD$12,10,FALSE)</f>
        <v>#N/A</v>
      </c>
      <c r="AK789" s="231" t="str">
        <f t="shared" si="114"/>
        <v xml:space="preserve"> </v>
      </c>
      <c r="AL789" s="232"/>
      <c r="AM789" s="232" t="str">
        <f t="shared" si="115"/>
        <v xml:space="preserve"> </v>
      </c>
      <c r="AN789" s="232" t="str">
        <f t="shared" si="116"/>
        <v xml:space="preserve"> </v>
      </c>
    </row>
    <row r="790" spans="28:40" x14ac:dyDescent="0.25">
      <c r="AB790" s="230" t="e">
        <f>T790-HLOOKUP(V790,Minimas!$C$3:$CD$12,2,FALSE)</f>
        <v>#N/A</v>
      </c>
      <c r="AC790" s="230" t="e">
        <f>T790-HLOOKUP(V790,Minimas!$C$3:$CD$12,3,FALSE)</f>
        <v>#N/A</v>
      </c>
      <c r="AD790" s="230" t="e">
        <f>T790-HLOOKUP(V790,Minimas!$C$3:$CD$12,4,FALSE)</f>
        <v>#N/A</v>
      </c>
      <c r="AE790" s="230" t="e">
        <f>T790-HLOOKUP(V790,Minimas!$C$3:$CD$12,5,FALSE)</f>
        <v>#N/A</v>
      </c>
      <c r="AF790" s="230" t="e">
        <f>T790-HLOOKUP(V790,Minimas!$C$3:$CD$12,6,FALSE)</f>
        <v>#N/A</v>
      </c>
      <c r="AG790" s="230" t="e">
        <f>T790-HLOOKUP(V790,Minimas!$C$3:$CD$12,7,FALSE)</f>
        <v>#N/A</v>
      </c>
      <c r="AH790" s="230" t="e">
        <f>T790-HLOOKUP(V790,Minimas!$C$3:$CD$12,8,FALSE)</f>
        <v>#N/A</v>
      </c>
      <c r="AI790" s="230" t="e">
        <f>T790-HLOOKUP(V790,Minimas!$C$3:$CD$12,9,FALSE)</f>
        <v>#N/A</v>
      </c>
      <c r="AJ790" s="230" t="e">
        <f>T790-HLOOKUP(V790,Minimas!$C$3:$CD$12,10,FALSE)</f>
        <v>#N/A</v>
      </c>
      <c r="AK790" s="231" t="str">
        <f t="shared" si="114"/>
        <v xml:space="preserve"> </v>
      </c>
      <c r="AL790" s="232"/>
      <c r="AM790" s="232" t="str">
        <f t="shared" si="115"/>
        <v xml:space="preserve"> </v>
      </c>
      <c r="AN790" s="232" t="str">
        <f t="shared" si="116"/>
        <v xml:space="preserve"> </v>
      </c>
    </row>
    <row r="791" spans="28:40" x14ac:dyDescent="0.25">
      <c r="AB791" s="230" t="e">
        <f>T791-HLOOKUP(V791,Minimas!$C$3:$CD$12,2,FALSE)</f>
        <v>#N/A</v>
      </c>
      <c r="AC791" s="230" t="e">
        <f>T791-HLOOKUP(V791,Minimas!$C$3:$CD$12,3,FALSE)</f>
        <v>#N/A</v>
      </c>
      <c r="AD791" s="230" t="e">
        <f>T791-HLOOKUP(V791,Minimas!$C$3:$CD$12,4,FALSE)</f>
        <v>#N/A</v>
      </c>
      <c r="AE791" s="230" t="e">
        <f>T791-HLOOKUP(V791,Minimas!$C$3:$CD$12,5,FALSE)</f>
        <v>#N/A</v>
      </c>
      <c r="AF791" s="230" t="e">
        <f>T791-HLOOKUP(V791,Minimas!$C$3:$CD$12,6,FALSE)</f>
        <v>#N/A</v>
      </c>
      <c r="AG791" s="230" t="e">
        <f>T791-HLOOKUP(V791,Minimas!$C$3:$CD$12,7,FALSE)</f>
        <v>#N/A</v>
      </c>
      <c r="AH791" s="230" t="e">
        <f>T791-HLOOKUP(V791,Minimas!$C$3:$CD$12,8,FALSE)</f>
        <v>#N/A</v>
      </c>
      <c r="AI791" s="230" t="e">
        <f>T791-HLOOKUP(V791,Minimas!$C$3:$CD$12,9,FALSE)</f>
        <v>#N/A</v>
      </c>
      <c r="AJ791" s="230" t="e">
        <f>T791-HLOOKUP(V791,Minimas!$C$3:$CD$12,10,FALSE)</f>
        <v>#N/A</v>
      </c>
      <c r="AK791" s="231" t="str">
        <f t="shared" si="114"/>
        <v xml:space="preserve"> </v>
      </c>
      <c r="AL791" s="232"/>
      <c r="AM791" s="232" t="str">
        <f t="shared" si="115"/>
        <v xml:space="preserve"> </v>
      </c>
      <c r="AN791" s="232" t="str">
        <f t="shared" si="116"/>
        <v xml:space="preserve"> </v>
      </c>
    </row>
    <row r="792" spans="28:40" x14ac:dyDescent="0.25">
      <c r="AB792" s="230" t="e">
        <f>T792-HLOOKUP(V792,Minimas!$C$3:$CD$12,2,FALSE)</f>
        <v>#N/A</v>
      </c>
      <c r="AC792" s="230" t="e">
        <f>T792-HLOOKUP(V792,Minimas!$C$3:$CD$12,3,FALSE)</f>
        <v>#N/A</v>
      </c>
      <c r="AD792" s="230" t="e">
        <f>T792-HLOOKUP(V792,Minimas!$C$3:$CD$12,4,FALSE)</f>
        <v>#N/A</v>
      </c>
      <c r="AE792" s="230" t="e">
        <f>T792-HLOOKUP(V792,Minimas!$C$3:$CD$12,5,FALSE)</f>
        <v>#N/A</v>
      </c>
      <c r="AF792" s="230" t="e">
        <f>T792-HLOOKUP(V792,Minimas!$C$3:$CD$12,6,FALSE)</f>
        <v>#N/A</v>
      </c>
      <c r="AG792" s="230" t="e">
        <f>T792-HLOOKUP(V792,Minimas!$C$3:$CD$12,7,FALSE)</f>
        <v>#N/A</v>
      </c>
      <c r="AH792" s="230" t="e">
        <f>T792-HLOOKUP(V792,Minimas!$C$3:$CD$12,8,FALSE)</f>
        <v>#N/A</v>
      </c>
      <c r="AI792" s="230" t="e">
        <f>T792-HLOOKUP(V792,Minimas!$C$3:$CD$12,9,FALSE)</f>
        <v>#N/A</v>
      </c>
      <c r="AJ792" s="230" t="e">
        <f>T792-HLOOKUP(V792,Minimas!$C$3:$CD$12,10,FALSE)</f>
        <v>#N/A</v>
      </c>
      <c r="AK792" s="231" t="str">
        <f t="shared" si="114"/>
        <v xml:space="preserve"> </v>
      </c>
      <c r="AL792" s="232"/>
      <c r="AM792" s="232" t="str">
        <f t="shared" si="115"/>
        <v xml:space="preserve"> </v>
      </c>
      <c r="AN792" s="232" t="str">
        <f t="shared" si="116"/>
        <v xml:space="preserve"> </v>
      </c>
    </row>
    <row r="793" spans="28:40" x14ac:dyDescent="0.25">
      <c r="AB793" s="230" t="e">
        <f>T793-HLOOKUP(V793,Minimas!$C$3:$CD$12,2,FALSE)</f>
        <v>#N/A</v>
      </c>
      <c r="AC793" s="230" t="e">
        <f>T793-HLOOKUP(V793,Minimas!$C$3:$CD$12,3,FALSE)</f>
        <v>#N/A</v>
      </c>
      <c r="AD793" s="230" t="e">
        <f>T793-HLOOKUP(V793,Minimas!$C$3:$CD$12,4,FALSE)</f>
        <v>#N/A</v>
      </c>
      <c r="AE793" s="230" t="e">
        <f>T793-HLOOKUP(V793,Minimas!$C$3:$CD$12,5,FALSE)</f>
        <v>#N/A</v>
      </c>
      <c r="AF793" s="230" t="e">
        <f>T793-HLOOKUP(V793,Minimas!$C$3:$CD$12,6,FALSE)</f>
        <v>#N/A</v>
      </c>
      <c r="AG793" s="230" t="e">
        <f>T793-HLOOKUP(V793,Minimas!$C$3:$CD$12,7,FALSE)</f>
        <v>#N/A</v>
      </c>
      <c r="AH793" s="230" t="e">
        <f>T793-HLOOKUP(V793,Minimas!$C$3:$CD$12,8,FALSE)</f>
        <v>#N/A</v>
      </c>
      <c r="AI793" s="230" t="e">
        <f>T793-HLOOKUP(V793,Minimas!$C$3:$CD$12,9,FALSE)</f>
        <v>#N/A</v>
      </c>
      <c r="AJ793" s="230" t="e">
        <f>T793-HLOOKUP(V793,Minimas!$C$3:$CD$12,10,FALSE)</f>
        <v>#N/A</v>
      </c>
      <c r="AK793" s="231" t="str">
        <f t="shared" si="114"/>
        <v xml:space="preserve"> </v>
      </c>
      <c r="AL793" s="232"/>
      <c r="AM793" s="232" t="str">
        <f t="shared" si="115"/>
        <v xml:space="preserve"> </v>
      </c>
      <c r="AN793" s="232" t="str">
        <f t="shared" si="116"/>
        <v xml:space="preserve"> </v>
      </c>
    </row>
    <row r="794" spans="28:40" x14ac:dyDescent="0.25">
      <c r="AB794" s="230" t="e">
        <f>T794-HLOOKUP(V794,Minimas!$C$3:$CD$12,2,FALSE)</f>
        <v>#N/A</v>
      </c>
      <c r="AC794" s="230" t="e">
        <f>T794-HLOOKUP(V794,Minimas!$C$3:$CD$12,3,FALSE)</f>
        <v>#N/A</v>
      </c>
      <c r="AD794" s="230" t="e">
        <f>T794-HLOOKUP(V794,Minimas!$C$3:$CD$12,4,FALSE)</f>
        <v>#N/A</v>
      </c>
      <c r="AE794" s="230" t="e">
        <f>T794-HLOOKUP(V794,Minimas!$C$3:$CD$12,5,FALSE)</f>
        <v>#N/A</v>
      </c>
      <c r="AF794" s="230" t="e">
        <f>T794-HLOOKUP(V794,Minimas!$C$3:$CD$12,6,FALSE)</f>
        <v>#N/A</v>
      </c>
      <c r="AG794" s="230" t="e">
        <f>T794-HLOOKUP(V794,Minimas!$C$3:$CD$12,7,FALSE)</f>
        <v>#N/A</v>
      </c>
      <c r="AH794" s="230" t="e">
        <f>T794-HLOOKUP(V794,Minimas!$C$3:$CD$12,8,FALSE)</f>
        <v>#N/A</v>
      </c>
      <c r="AI794" s="230" t="e">
        <f>T794-HLOOKUP(V794,Minimas!$C$3:$CD$12,9,FALSE)</f>
        <v>#N/A</v>
      </c>
      <c r="AJ794" s="230" t="e">
        <f>T794-HLOOKUP(V794,Minimas!$C$3:$CD$12,10,FALSE)</f>
        <v>#N/A</v>
      </c>
      <c r="AK794" s="231" t="str">
        <f t="shared" si="114"/>
        <v xml:space="preserve"> </v>
      </c>
      <c r="AL794" s="232"/>
      <c r="AM794" s="232" t="str">
        <f t="shared" si="115"/>
        <v xml:space="preserve"> </v>
      </c>
      <c r="AN794" s="232" t="str">
        <f t="shared" si="116"/>
        <v xml:space="preserve"> </v>
      </c>
    </row>
    <row r="795" spans="28:40" x14ac:dyDescent="0.25">
      <c r="AB795" s="230" t="e">
        <f>T795-HLOOKUP(V795,Minimas!$C$3:$CD$12,2,FALSE)</f>
        <v>#N/A</v>
      </c>
      <c r="AC795" s="230" t="e">
        <f>T795-HLOOKUP(V795,Minimas!$C$3:$CD$12,3,FALSE)</f>
        <v>#N/A</v>
      </c>
      <c r="AD795" s="230" t="e">
        <f>T795-HLOOKUP(V795,Minimas!$C$3:$CD$12,4,FALSE)</f>
        <v>#N/A</v>
      </c>
      <c r="AE795" s="230" t="e">
        <f>T795-HLOOKUP(V795,Minimas!$C$3:$CD$12,5,FALSE)</f>
        <v>#N/A</v>
      </c>
      <c r="AF795" s="230" t="e">
        <f>T795-HLOOKUP(V795,Minimas!$C$3:$CD$12,6,FALSE)</f>
        <v>#N/A</v>
      </c>
      <c r="AG795" s="230" t="e">
        <f>T795-HLOOKUP(V795,Minimas!$C$3:$CD$12,7,FALSE)</f>
        <v>#N/A</v>
      </c>
      <c r="AH795" s="230" t="e">
        <f>T795-HLOOKUP(V795,Minimas!$C$3:$CD$12,8,FALSE)</f>
        <v>#N/A</v>
      </c>
      <c r="AI795" s="230" t="e">
        <f>T795-HLOOKUP(V795,Minimas!$C$3:$CD$12,9,FALSE)</f>
        <v>#N/A</v>
      </c>
      <c r="AJ795" s="230" t="e">
        <f>T795-HLOOKUP(V795,Minimas!$C$3:$CD$12,10,FALSE)</f>
        <v>#N/A</v>
      </c>
      <c r="AK795" s="231" t="str">
        <f t="shared" si="114"/>
        <v xml:space="preserve"> </v>
      </c>
      <c r="AL795" s="232"/>
      <c r="AM795" s="232" t="str">
        <f t="shared" si="115"/>
        <v xml:space="preserve"> </v>
      </c>
      <c r="AN795" s="232" t="str">
        <f t="shared" si="116"/>
        <v xml:space="preserve"> </v>
      </c>
    </row>
    <row r="796" spans="28:40" x14ac:dyDescent="0.25">
      <c r="AB796" s="230" t="e">
        <f>T796-HLOOKUP(V796,Minimas!$C$3:$CD$12,2,FALSE)</f>
        <v>#N/A</v>
      </c>
      <c r="AC796" s="230" t="e">
        <f>T796-HLOOKUP(V796,Minimas!$C$3:$CD$12,3,FALSE)</f>
        <v>#N/A</v>
      </c>
      <c r="AD796" s="230" t="e">
        <f>T796-HLOOKUP(V796,Minimas!$C$3:$CD$12,4,FALSE)</f>
        <v>#N/A</v>
      </c>
      <c r="AE796" s="230" t="e">
        <f>T796-HLOOKUP(V796,Minimas!$C$3:$CD$12,5,FALSE)</f>
        <v>#N/A</v>
      </c>
      <c r="AF796" s="230" t="e">
        <f>T796-HLOOKUP(V796,Minimas!$C$3:$CD$12,6,FALSE)</f>
        <v>#N/A</v>
      </c>
      <c r="AG796" s="230" t="e">
        <f>T796-HLOOKUP(V796,Minimas!$C$3:$CD$12,7,FALSE)</f>
        <v>#N/A</v>
      </c>
      <c r="AH796" s="230" t="e">
        <f>T796-HLOOKUP(V796,Minimas!$C$3:$CD$12,8,FALSE)</f>
        <v>#N/A</v>
      </c>
      <c r="AI796" s="230" t="e">
        <f>T796-HLOOKUP(V796,Minimas!$C$3:$CD$12,9,FALSE)</f>
        <v>#N/A</v>
      </c>
      <c r="AJ796" s="230" t="e">
        <f>T796-HLOOKUP(V796,Minimas!$C$3:$CD$12,10,FALSE)</f>
        <v>#N/A</v>
      </c>
      <c r="AK796" s="231" t="str">
        <f t="shared" si="114"/>
        <v xml:space="preserve"> </v>
      </c>
      <c r="AL796" s="232"/>
      <c r="AM796" s="232" t="str">
        <f t="shared" si="115"/>
        <v xml:space="preserve"> </v>
      </c>
      <c r="AN796" s="232" t="str">
        <f t="shared" si="116"/>
        <v xml:space="preserve"> </v>
      </c>
    </row>
    <row r="797" spans="28:40" x14ac:dyDescent="0.25">
      <c r="AB797" s="230" t="e">
        <f>T797-HLOOKUP(V797,Minimas!$C$3:$CD$12,2,FALSE)</f>
        <v>#N/A</v>
      </c>
      <c r="AC797" s="230" t="e">
        <f>T797-HLOOKUP(V797,Minimas!$C$3:$CD$12,3,FALSE)</f>
        <v>#N/A</v>
      </c>
      <c r="AD797" s="230" t="e">
        <f>T797-HLOOKUP(V797,Minimas!$C$3:$CD$12,4,FALSE)</f>
        <v>#N/A</v>
      </c>
      <c r="AE797" s="230" t="e">
        <f>T797-HLOOKUP(V797,Minimas!$C$3:$CD$12,5,FALSE)</f>
        <v>#N/A</v>
      </c>
      <c r="AF797" s="230" t="e">
        <f>T797-HLOOKUP(V797,Minimas!$C$3:$CD$12,6,FALSE)</f>
        <v>#N/A</v>
      </c>
      <c r="AG797" s="230" t="e">
        <f>T797-HLOOKUP(V797,Minimas!$C$3:$CD$12,7,FALSE)</f>
        <v>#N/A</v>
      </c>
      <c r="AH797" s="230" t="e">
        <f>T797-HLOOKUP(V797,Minimas!$C$3:$CD$12,8,FALSE)</f>
        <v>#N/A</v>
      </c>
      <c r="AI797" s="230" t="e">
        <f>T797-HLOOKUP(V797,Minimas!$C$3:$CD$12,9,FALSE)</f>
        <v>#N/A</v>
      </c>
      <c r="AJ797" s="230" t="e">
        <f>T797-HLOOKUP(V797,Minimas!$C$3:$CD$12,10,FALSE)</f>
        <v>#N/A</v>
      </c>
      <c r="AK797" s="231" t="str">
        <f t="shared" si="114"/>
        <v xml:space="preserve"> </v>
      </c>
      <c r="AL797" s="232"/>
      <c r="AM797" s="232" t="str">
        <f t="shared" si="115"/>
        <v xml:space="preserve"> </v>
      </c>
      <c r="AN797" s="232" t="str">
        <f t="shared" si="116"/>
        <v xml:space="preserve"> </v>
      </c>
    </row>
    <row r="798" spans="28:40" x14ac:dyDescent="0.25">
      <c r="AB798" s="230" t="e">
        <f>T798-HLOOKUP(V798,Minimas!$C$3:$CD$12,2,FALSE)</f>
        <v>#N/A</v>
      </c>
      <c r="AC798" s="230" t="e">
        <f>T798-HLOOKUP(V798,Minimas!$C$3:$CD$12,3,FALSE)</f>
        <v>#N/A</v>
      </c>
      <c r="AD798" s="230" t="e">
        <f>T798-HLOOKUP(V798,Minimas!$C$3:$CD$12,4,FALSE)</f>
        <v>#N/A</v>
      </c>
      <c r="AE798" s="230" t="e">
        <f>T798-HLOOKUP(V798,Minimas!$C$3:$CD$12,5,FALSE)</f>
        <v>#N/A</v>
      </c>
      <c r="AF798" s="230" t="e">
        <f>T798-HLOOKUP(V798,Minimas!$C$3:$CD$12,6,FALSE)</f>
        <v>#N/A</v>
      </c>
      <c r="AG798" s="230" t="e">
        <f>T798-HLOOKUP(V798,Minimas!$C$3:$CD$12,7,FALSE)</f>
        <v>#N/A</v>
      </c>
      <c r="AH798" s="230" t="e">
        <f>T798-HLOOKUP(V798,Minimas!$C$3:$CD$12,8,FALSE)</f>
        <v>#N/A</v>
      </c>
      <c r="AI798" s="230" t="e">
        <f>T798-HLOOKUP(V798,Minimas!$C$3:$CD$12,9,FALSE)</f>
        <v>#N/A</v>
      </c>
      <c r="AJ798" s="230" t="e">
        <f>T798-HLOOKUP(V798,Minimas!$C$3:$CD$12,10,FALSE)</f>
        <v>#N/A</v>
      </c>
      <c r="AK798" s="231" t="str">
        <f t="shared" si="114"/>
        <v xml:space="preserve"> </v>
      </c>
      <c r="AL798" s="232"/>
      <c r="AM798" s="232" t="str">
        <f t="shared" si="115"/>
        <v xml:space="preserve"> </v>
      </c>
      <c r="AN798" s="232" t="str">
        <f t="shared" si="116"/>
        <v xml:space="preserve"> </v>
      </c>
    </row>
    <row r="799" spans="28:40" x14ac:dyDescent="0.25">
      <c r="AB799" s="230" t="e">
        <f>T799-HLOOKUP(V799,Minimas!$C$3:$CD$12,2,FALSE)</f>
        <v>#N/A</v>
      </c>
      <c r="AC799" s="230" t="e">
        <f>T799-HLOOKUP(V799,Minimas!$C$3:$CD$12,3,FALSE)</f>
        <v>#N/A</v>
      </c>
      <c r="AD799" s="230" t="e">
        <f>T799-HLOOKUP(V799,Minimas!$C$3:$CD$12,4,FALSE)</f>
        <v>#N/A</v>
      </c>
      <c r="AE799" s="230" t="e">
        <f>T799-HLOOKUP(V799,Minimas!$C$3:$CD$12,5,FALSE)</f>
        <v>#N/A</v>
      </c>
      <c r="AF799" s="230" t="e">
        <f>T799-HLOOKUP(V799,Minimas!$C$3:$CD$12,6,FALSE)</f>
        <v>#N/A</v>
      </c>
      <c r="AG799" s="230" t="e">
        <f>T799-HLOOKUP(V799,Minimas!$C$3:$CD$12,7,FALSE)</f>
        <v>#N/A</v>
      </c>
      <c r="AH799" s="230" t="e">
        <f>T799-HLOOKUP(V799,Minimas!$C$3:$CD$12,8,FALSE)</f>
        <v>#N/A</v>
      </c>
      <c r="AI799" s="230" t="e">
        <f>T799-HLOOKUP(V799,Minimas!$C$3:$CD$12,9,FALSE)</f>
        <v>#N/A</v>
      </c>
      <c r="AJ799" s="230" t="e">
        <f>T799-HLOOKUP(V799,Minimas!$C$3:$CD$12,10,FALSE)</f>
        <v>#N/A</v>
      </c>
      <c r="AK799" s="231" t="str">
        <f t="shared" si="114"/>
        <v xml:space="preserve"> </v>
      </c>
      <c r="AL799" s="232"/>
      <c r="AM799" s="232" t="str">
        <f t="shared" si="115"/>
        <v xml:space="preserve"> </v>
      </c>
      <c r="AN799" s="232" t="str">
        <f t="shared" si="116"/>
        <v xml:space="preserve"> </v>
      </c>
    </row>
    <row r="800" spans="28:40" x14ac:dyDescent="0.25">
      <c r="AB800" s="230" t="e">
        <f>T800-HLOOKUP(V800,Minimas!$C$3:$CD$12,2,FALSE)</f>
        <v>#N/A</v>
      </c>
      <c r="AC800" s="230" t="e">
        <f>T800-HLOOKUP(V800,Minimas!$C$3:$CD$12,3,FALSE)</f>
        <v>#N/A</v>
      </c>
      <c r="AD800" s="230" t="e">
        <f>T800-HLOOKUP(V800,Minimas!$C$3:$CD$12,4,FALSE)</f>
        <v>#N/A</v>
      </c>
      <c r="AE800" s="230" t="e">
        <f>T800-HLOOKUP(V800,Minimas!$C$3:$CD$12,5,FALSE)</f>
        <v>#N/A</v>
      </c>
      <c r="AF800" s="230" t="e">
        <f>T800-HLOOKUP(V800,Minimas!$C$3:$CD$12,6,FALSE)</f>
        <v>#N/A</v>
      </c>
      <c r="AG800" s="230" t="e">
        <f>T800-HLOOKUP(V800,Minimas!$C$3:$CD$12,7,FALSE)</f>
        <v>#N/A</v>
      </c>
      <c r="AH800" s="230" t="e">
        <f>T800-HLOOKUP(V800,Minimas!$C$3:$CD$12,8,FALSE)</f>
        <v>#N/A</v>
      </c>
      <c r="AI800" s="230" t="e">
        <f>T800-HLOOKUP(V800,Minimas!$C$3:$CD$12,9,FALSE)</f>
        <v>#N/A</v>
      </c>
      <c r="AJ800" s="230" t="e">
        <f>T800-HLOOKUP(V800,Minimas!$C$3:$CD$12,10,FALSE)</f>
        <v>#N/A</v>
      </c>
      <c r="AK800" s="231" t="str">
        <f t="shared" si="114"/>
        <v xml:space="preserve"> </v>
      </c>
      <c r="AL800" s="232"/>
      <c r="AM800" s="232" t="str">
        <f t="shared" si="115"/>
        <v xml:space="preserve"> </v>
      </c>
      <c r="AN800" s="232" t="str">
        <f t="shared" si="116"/>
        <v xml:space="preserve"> </v>
      </c>
    </row>
    <row r="801" spans="28:40" x14ac:dyDescent="0.25">
      <c r="AB801" s="230" t="e">
        <f>T801-HLOOKUP(V801,Minimas!$C$3:$CD$12,2,FALSE)</f>
        <v>#N/A</v>
      </c>
      <c r="AC801" s="230" t="e">
        <f>T801-HLOOKUP(V801,Minimas!$C$3:$CD$12,3,FALSE)</f>
        <v>#N/A</v>
      </c>
      <c r="AD801" s="230" t="e">
        <f>T801-HLOOKUP(V801,Minimas!$C$3:$CD$12,4,FALSE)</f>
        <v>#N/A</v>
      </c>
      <c r="AE801" s="230" t="e">
        <f>T801-HLOOKUP(V801,Minimas!$C$3:$CD$12,5,FALSE)</f>
        <v>#N/A</v>
      </c>
      <c r="AF801" s="230" t="e">
        <f>T801-HLOOKUP(V801,Minimas!$C$3:$CD$12,6,FALSE)</f>
        <v>#N/A</v>
      </c>
      <c r="AG801" s="230" t="e">
        <f>T801-HLOOKUP(V801,Minimas!$C$3:$CD$12,7,FALSE)</f>
        <v>#N/A</v>
      </c>
      <c r="AH801" s="230" t="e">
        <f>T801-HLOOKUP(V801,Minimas!$C$3:$CD$12,8,FALSE)</f>
        <v>#N/A</v>
      </c>
      <c r="AI801" s="230" t="e">
        <f>T801-HLOOKUP(V801,Minimas!$C$3:$CD$12,9,FALSE)</f>
        <v>#N/A</v>
      </c>
      <c r="AJ801" s="230" t="e">
        <f>T801-HLOOKUP(V801,Minimas!$C$3:$CD$12,10,FALSE)</f>
        <v>#N/A</v>
      </c>
      <c r="AK801" s="231" t="str">
        <f t="shared" si="114"/>
        <v xml:space="preserve"> </v>
      </c>
      <c r="AL801" s="232"/>
      <c r="AM801" s="232" t="str">
        <f t="shared" si="115"/>
        <v xml:space="preserve"> </v>
      </c>
      <c r="AN801" s="232" t="str">
        <f t="shared" si="116"/>
        <v xml:space="preserve"> </v>
      </c>
    </row>
    <row r="802" spans="28:40" x14ac:dyDescent="0.25">
      <c r="AB802" s="230" t="e">
        <f>T802-HLOOKUP(V802,Minimas!$C$3:$CD$12,2,FALSE)</f>
        <v>#N/A</v>
      </c>
      <c r="AC802" s="230" t="e">
        <f>T802-HLOOKUP(V802,Minimas!$C$3:$CD$12,3,FALSE)</f>
        <v>#N/A</v>
      </c>
      <c r="AD802" s="230" t="e">
        <f>T802-HLOOKUP(V802,Minimas!$C$3:$CD$12,4,FALSE)</f>
        <v>#N/A</v>
      </c>
      <c r="AE802" s="230" t="e">
        <f>T802-HLOOKUP(V802,Minimas!$C$3:$CD$12,5,FALSE)</f>
        <v>#N/A</v>
      </c>
      <c r="AF802" s="230" t="e">
        <f>T802-HLOOKUP(V802,Minimas!$C$3:$CD$12,6,FALSE)</f>
        <v>#N/A</v>
      </c>
      <c r="AG802" s="230" t="e">
        <f>T802-HLOOKUP(V802,Minimas!$C$3:$CD$12,7,FALSE)</f>
        <v>#N/A</v>
      </c>
      <c r="AH802" s="230" t="e">
        <f>T802-HLOOKUP(V802,Minimas!$C$3:$CD$12,8,FALSE)</f>
        <v>#N/A</v>
      </c>
      <c r="AI802" s="230" t="e">
        <f>T802-HLOOKUP(V802,Minimas!$C$3:$CD$12,9,FALSE)</f>
        <v>#N/A</v>
      </c>
      <c r="AJ802" s="230" t="e">
        <f>T802-HLOOKUP(V802,Minimas!$C$3:$CD$12,10,FALSE)</f>
        <v>#N/A</v>
      </c>
      <c r="AK802" s="231" t="str">
        <f t="shared" si="114"/>
        <v xml:space="preserve"> </v>
      </c>
      <c r="AL802" s="232"/>
      <c r="AM802" s="232" t="str">
        <f t="shared" si="115"/>
        <v xml:space="preserve"> </v>
      </c>
      <c r="AN802" s="232" t="str">
        <f t="shared" si="116"/>
        <v xml:space="preserve"> </v>
      </c>
    </row>
    <row r="803" spans="28:40" x14ac:dyDescent="0.25">
      <c r="AB803" s="230" t="e">
        <f>T803-HLOOKUP(V803,Minimas!$C$3:$CD$12,2,FALSE)</f>
        <v>#N/A</v>
      </c>
      <c r="AC803" s="230" t="e">
        <f>T803-HLOOKUP(V803,Minimas!$C$3:$CD$12,3,FALSE)</f>
        <v>#N/A</v>
      </c>
      <c r="AD803" s="230" t="e">
        <f>T803-HLOOKUP(V803,Minimas!$C$3:$CD$12,4,FALSE)</f>
        <v>#N/A</v>
      </c>
      <c r="AE803" s="230" t="e">
        <f>T803-HLOOKUP(V803,Minimas!$C$3:$CD$12,5,FALSE)</f>
        <v>#N/A</v>
      </c>
      <c r="AF803" s="230" t="e">
        <f>T803-HLOOKUP(V803,Minimas!$C$3:$CD$12,6,FALSE)</f>
        <v>#N/A</v>
      </c>
      <c r="AG803" s="230" t="e">
        <f>T803-HLOOKUP(V803,Minimas!$C$3:$CD$12,7,FALSE)</f>
        <v>#N/A</v>
      </c>
      <c r="AH803" s="230" t="e">
        <f>T803-HLOOKUP(V803,Minimas!$C$3:$CD$12,8,FALSE)</f>
        <v>#N/A</v>
      </c>
      <c r="AI803" s="230" t="e">
        <f>T803-HLOOKUP(V803,Minimas!$C$3:$CD$12,9,FALSE)</f>
        <v>#N/A</v>
      </c>
      <c r="AJ803" s="230" t="e">
        <f>T803-HLOOKUP(V803,Minimas!$C$3:$CD$12,10,FALSE)</f>
        <v>#N/A</v>
      </c>
      <c r="AK803" s="231" t="str">
        <f t="shared" si="114"/>
        <v xml:space="preserve"> </v>
      </c>
      <c r="AL803" s="232"/>
      <c r="AM803" s="232" t="str">
        <f t="shared" si="115"/>
        <v xml:space="preserve"> </v>
      </c>
      <c r="AN803" s="232" t="str">
        <f t="shared" si="116"/>
        <v xml:space="preserve"> </v>
      </c>
    </row>
    <row r="804" spans="28:40" x14ac:dyDescent="0.25">
      <c r="AB804" s="230" t="e">
        <f>T804-HLOOKUP(V804,Minimas!$C$3:$CD$12,2,FALSE)</f>
        <v>#N/A</v>
      </c>
      <c r="AC804" s="230" t="e">
        <f>T804-HLOOKUP(V804,Minimas!$C$3:$CD$12,3,FALSE)</f>
        <v>#N/A</v>
      </c>
      <c r="AD804" s="230" t="e">
        <f>T804-HLOOKUP(V804,Minimas!$C$3:$CD$12,4,FALSE)</f>
        <v>#N/A</v>
      </c>
      <c r="AE804" s="230" t="e">
        <f>T804-HLOOKUP(V804,Minimas!$C$3:$CD$12,5,FALSE)</f>
        <v>#N/A</v>
      </c>
      <c r="AF804" s="230" t="e">
        <f>T804-HLOOKUP(V804,Minimas!$C$3:$CD$12,6,FALSE)</f>
        <v>#N/A</v>
      </c>
      <c r="AG804" s="230" t="e">
        <f>T804-HLOOKUP(V804,Minimas!$C$3:$CD$12,7,FALSE)</f>
        <v>#N/A</v>
      </c>
      <c r="AH804" s="230" t="e">
        <f>T804-HLOOKUP(V804,Minimas!$C$3:$CD$12,8,FALSE)</f>
        <v>#N/A</v>
      </c>
      <c r="AI804" s="230" t="e">
        <f>T804-HLOOKUP(V804,Minimas!$C$3:$CD$12,9,FALSE)</f>
        <v>#N/A</v>
      </c>
      <c r="AJ804" s="230" t="e">
        <f>T804-HLOOKUP(V804,Minimas!$C$3:$CD$12,10,FALSE)</f>
        <v>#N/A</v>
      </c>
      <c r="AK804" s="231" t="str">
        <f t="shared" si="114"/>
        <v xml:space="preserve"> </v>
      </c>
      <c r="AL804" s="232"/>
      <c r="AM804" s="232" t="str">
        <f t="shared" si="115"/>
        <v xml:space="preserve"> </v>
      </c>
      <c r="AN804" s="232" t="str">
        <f t="shared" si="116"/>
        <v xml:space="preserve"> </v>
      </c>
    </row>
    <row r="805" spans="28:40" x14ac:dyDescent="0.25">
      <c r="AB805" s="230" t="e">
        <f>T805-HLOOKUP(V805,Minimas!$C$3:$CD$12,2,FALSE)</f>
        <v>#N/A</v>
      </c>
      <c r="AC805" s="230" t="e">
        <f>T805-HLOOKUP(V805,Minimas!$C$3:$CD$12,3,FALSE)</f>
        <v>#N/A</v>
      </c>
      <c r="AD805" s="230" t="e">
        <f>T805-HLOOKUP(V805,Minimas!$C$3:$CD$12,4,FALSE)</f>
        <v>#N/A</v>
      </c>
      <c r="AE805" s="230" t="e">
        <f>T805-HLOOKUP(V805,Minimas!$C$3:$CD$12,5,FALSE)</f>
        <v>#N/A</v>
      </c>
      <c r="AF805" s="230" t="e">
        <f>T805-HLOOKUP(V805,Minimas!$C$3:$CD$12,6,FALSE)</f>
        <v>#N/A</v>
      </c>
      <c r="AG805" s="230" t="e">
        <f>T805-HLOOKUP(V805,Minimas!$C$3:$CD$12,7,FALSE)</f>
        <v>#N/A</v>
      </c>
      <c r="AH805" s="230" t="e">
        <f>T805-HLOOKUP(V805,Minimas!$C$3:$CD$12,8,FALSE)</f>
        <v>#N/A</v>
      </c>
      <c r="AI805" s="230" t="e">
        <f>T805-HLOOKUP(V805,Minimas!$C$3:$CD$12,9,FALSE)</f>
        <v>#N/A</v>
      </c>
      <c r="AJ805" s="230" t="e">
        <f>T805-HLOOKUP(V805,Minimas!$C$3:$CD$12,10,FALSE)</f>
        <v>#N/A</v>
      </c>
      <c r="AK805" s="231" t="str">
        <f t="shared" si="114"/>
        <v xml:space="preserve"> </v>
      </c>
      <c r="AL805" s="232"/>
      <c r="AM805" s="232" t="str">
        <f t="shared" si="115"/>
        <v xml:space="preserve"> </v>
      </c>
      <c r="AN805" s="232" t="str">
        <f t="shared" si="116"/>
        <v xml:space="preserve"> </v>
      </c>
    </row>
    <row r="806" spans="28:40" x14ac:dyDescent="0.25">
      <c r="AB806" s="230" t="e">
        <f>T806-HLOOKUP(V806,Minimas!$C$3:$CD$12,2,FALSE)</f>
        <v>#N/A</v>
      </c>
      <c r="AC806" s="230" t="e">
        <f>T806-HLOOKUP(V806,Minimas!$C$3:$CD$12,3,FALSE)</f>
        <v>#N/A</v>
      </c>
      <c r="AD806" s="230" t="e">
        <f>T806-HLOOKUP(V806,Minimas!$C$3:$CD$12,4,FALSE)</f>
        <v>#N/A</v>
      </c>
      <c r="AE806" s="230" t="e">
        <f>T806-HLOOKUP(V806,Minimas!$C$3:$CD$12,5,FALSE)</f>
        <v>#N/A</v>
      </c>
      <c r="AF806" s="230" t="e">
        <f>T806-HLOOKUP(V806,Minimas!$C$3:$CD$12,6,FALSE)</f>
        <v>#N/A</v>
      </c>
      <c r="AG806" s="230" t="e">
        <f>T806-HLOOKUP(V806,Minimas!$C$3:$CD$12,7,FALSE)</f>
        <v>#N/A</v>
      </c>
      <c r="AH806" s="230" t="e">
        <f>T806-HLOOKUP(V806,Minimas!$C$3:$CD$12,8,FALSE)</f>
        <v>#N/A</v>
      </c>
      <c r="AI806" s="230" t="e">
        <f>T806-HLOOKUP(V806,Minimas!$C$3:$CD$12,9,FALSE)</f>
        <v>#N/A</v>
      </c>
      <c r="AJ806" s="230" t="e">
        <f>T806-HLOOKUP(V806,Minimas!$C$3:$CD$12,10,FALSE)</f>
        <v>#N/A</v>
      </c>
      <c r="AK806" s="231" t="str">
        <f t="shared" si="114"/>
        <v xml:space="preserve"> </v>
      </c>
      <c r="AL806" s="232"/>
      <c r="AM806" s="232" t="str">
        <f t="shared" si="115"/>
        <v xml:space="preserve"> </v>
      </c>
      <c r="AN806" s="232" t="str">
        <f t="shared" si="116"/>
        <v xml:space="preserve"> </v>
      </c>
    </row>
    <row r="807" spans="28:40" x14ac:dyDescent="0.25">
      <c r="AB807" s="230" t="e">
        <f>T807-HLOOKUP(V807,Minimas!$C$3:$CD$12,2,FALSE)</f>
        <v>#N/A</v>
      </c>
      <c r="AC807" s="230" t="e">
        <f>T807-HLOOKUP(V807,Minimas!$C$3:$CD$12,3,FALSE)</f>
        <v>#N/A</v>
      </c>
      <c r="AD807" s="230" t="e">
        <f>T807-HLOOKUP(V807,Minimas!$C$3:$CD$12,4,FALSE)</f>
        <v>#N/A</v>
      </c>
      <c r="AE807" s="230" t="e">
        <f>T807-HLOOKUP(V807,Minimas!$C$3:$CD$12,5,FALSE)</f>
        <v>#N/A</v>
      </c>
      <c r="AF807" s="230" t="e">
        <f>T807-HLOOKUP(V807,Minimas!$C$3:$CD$12,6,FALSE)</f>
        <v>#N/A</v>
      </c>
      <c r="AG807" s="230" t="e">
        <f>T807-HLOOKUP(V807,Minimas!$C$3:$CD$12,7,FALSE)</f>
        <v>#N/A</v>
      </c>
      <c r="AH807" s="230" t="e">
        <f>T807-HLOOKUP(V807,Minimas!$C$3:$CD$12,8,FALSE)</f>
        <v>#N/A</v>
      </c>
      <c r="AI807" s="230" t="e">
        <f>T807-HLOOKUP(V807,Minimas!$C$3:$CD$12,9,FALSE)</f>
        <v>#N/A</v>
      </c>
      <c r="AJ807" s="230" t="e">
        <f>T807-HLOOKUP(V807,Minimas!$C$3:$CD$12,10,FALSE)</f>
        <v>#N/A</v>
      </c>
      <c r="AK807" s="231" t="str">
        <f t="shared" si="114"/>
        <v xml:space="preserve"> </v>
      </c>
      <c r="AL807" s="232"/>
      <c r="AM807" s="232" t="str">
        <f t="shared" si="115"/>
        <v xml:space="preserve"> </v>
      </c>
      <c r="AN807" s="232" t="str">
        <f t="shared" si="116"/>
        <v xml:space="preserve"> </v>
      </c>
    </row>
    <row r="808" spans="28:40" x14ac:dyDescent="0.25">
      <c r="AB808" s="230" t="e">
        <f>T808-HLOOKUP(V808,Minimas!$C$3:$CD$12,2,FALSE)</f>
        <v>#N/A</v>
      </c>
      <c r="AC808" s="230" t="e">
        <f>T808-HLOOKUP(V808,Minimas!$C$3:$CD$12,3,FALSE)</f>
        <v>#N/A</v>
      </c>
      <c r="AD808" s="230" t="e">
        <f>T808-HLOOKUP(V808,Minimas!$C$3:$CD$12,4,FALSE)</f>
        <v>#N/A</v>
      </c>
      <c r="AE808" s="230" t="e">
        <f>T808-HLOOKUP(V808,Minimas!$C$3:$CD$12,5,FALSE)</f>
        <v>#N/A</v>
      </c>
      <c r="AF808" s="230" t="e">
        <f>T808-HLOOKUP(V808,Minimas!$C$3:$CD$12,6,FALSE)</f>
        <v>#N/A</v>
      </c>
      <c r="AG808" s="230" t="e">
        <f>T808-HLOOKUP(V808,Minimas!$C$3:$CD$12,7,FALSE)</f>
        <v>#N/A</v>
      </c>
      <c r="AH808" s="230" t="e">
        <f>T808-HLOOKUP(V808,Minimas!$C$3:$CD$12,8,FALSE)</f>
        <v>#N/A</v>
      </c>
      <c r="AI808" s="230" t="e">
        <f>T808-HLOOKUP(V808,Minimas!$C$3:$CD$12,9,FALSE)</f>
        <v>#N/A</v>
      </c>
      <c r="AJ808" s="230" t="e">
        <f>T808-HLOOKUP(V808,Minimas!$C$3:$CD$12,10,FALSE)</f>
        <v>#N/A</v>
      </c>
      <c r="AK808" s="231" t="str">
        <f t="shared" si="114"/>
        <v xml:space="preserve"> </v>
      </c>
      <c r="AL808" s="232"/>
      <c r="AM808" s="232" t="str">
        <f t="shared" si="115"/>
        <v xml:space="preserve"> </v>
      </c>
      <c r="AN808" s="232" t="str">
        <f t="shared" si="116"/>
        <v xml:space="preserve"> </v>
      </c>
    </row>
    <row r="809" spans="28:40" x14ac:dyDescent="0.25">
      <c r="AB809" s="230" t="e">
        <f>T809-HLOOKUP(V809,Minimas!$C$3:$CD$12,2,FALSE)</f>
        <v>#N/A</v>
      </c>
      <c r="AC809" s="230" t="e">
        <f>T809-HLOOKUP(V809,Minimas!$C$3:$CD$12,3,FALSE)</f>
        <v>#N/A</v>
      </c>
      <c r="AD809" s="230" t="e">
        <f>T809-HLOOKUP(V809,Minimas!$C$3:$CD$12,4,FALSE)</f>
        <v>#N/A</v>
      </c>
      <c r="AE809" s="230" t="e">
        <f>T809-HLOOKUP(V809,Minimas!$C$3:$CD$12,5,FALSE)</f>
        <v>#N/A</v>
      </c>
      <c r="AF809" s="230" t="e">
        <f>T809-HLOOKUP(V809,Minimas!$C$3:$CD$12,6,FALSE)</f>
        <v>#N/A</v>
      </c>
      <c r="AG809" s="230" t="e">
        <f>T809-HLOOKUP(V809,Minimas!$C$3:$CD$12,7,FALSE)</f>
        <v>#N/A</v>
      </c>
      <c r="AH809" s="230" t="e">
        <f>T809-HLOOKUP(V809,Minimas!$C$3:$CD$12,8,FALSE)</f>
        <v>#N/A</v>
      </c>
      <c r="AI809" s="230" t="e">
        <f>T809-HLOOKUP(V809,Minimas!$C$3:$CD$12,9,FALSE)</f>
        <v>#N/A</v>
      </c>
      <c r="AJ809" s="230" t="e">
        <f>T809-HLOOKUP(V809,Minimas!$C$3:$CD$12,10,FALSE)</f>
        <v>#N/A</v>
      </c>
      <c r="AK809" s="231" t="str">
        <f t="shared" si="114"/>
        <v xml:space="preserve"> </v>
      </c>
      <c r="AL809" s="232"/>
      <c r="AM809" s="232" t="str">
        <f t="shared" si="115"/>
        <v xml:space="preserve"> </v>
      </c>
      <c r="AN809" s="232" t="str">
        <f t="shared" si="116"/>
        <v xml:space="preserve"> </v>
      </c>
    </row>
    <row r="810" spans="28:40" x14ac:dyDescent="0.25">
      <c r="AB810" s="230" t="e">
        <f>T810-HLOOKUP(V810,Minimas!$C$3:$CD$12,2,FALSE)</f>
        <v>#N/A</v>
      </c>
      <c r="AC810" s="230" t="e">
        <f>T810-HLOOKUP(V810,Minimas!$C$3:$CD$12,3,FALSE)</f>
        <v>#N/A</v>
      </c>
      <c r="AD810" s="230" t="e">
        <f>T810-HLOOKUP(V810,Minimas!$C$3:$CD$12,4,FALSE)</f>
        <v>#N/A</v>
      </c>
      <c r="AE810" s="230" t="e">
        <f>T810-HLOOKUP(V810,Minimas!$C$3:$CD$12,5,FALSE)</f>
        <v>#N/A</v>
      </c>
      <c r="AF810" s="230" t="e">
        <f>T810-HLOOKUP(V810,Minimas!$C$3:$CD$12,6,FALSE)</f>
        <v>#N/A</v>
      </c>
      <c r="AG810" s="230" t="e">
        <f>T810-HLOOKUP(V810,Minimas!$C$3:$CD$12,7,FALSE)</f>
        <v>#N/A</v>
      </c>
      <c r="AH810" s="230" t="e">
        <f>T810-HLOOKUP(V810,Minimas!$C$3:$CD$12,8,FALSE)</f>
        <v>#N/A</v>
      </c>
      <c r="AI810" s="230" t="e">
        <f>T810-HLOOKUP(V810,Minimas!$C$3:$CD$12,9,FALSE)</f>
        <v>#N/A</v>
      </c>
      <c r="AJ810" s="230" t="e">
        <f>T810-HLOOKUP(V810,Minimas!$C$3:$CD$12,10,FALSE)</f>
        <v>#N/A</v>
      </c>
      <c r="AK810" s="231" t="str">
        <f t="shared" si="114"/>
        <v xml:space="preserve"> </v>
      </c>
      <c r="AL810" s="232"/>
      <c r="AM810" s="232" t="str">
        <f t="shared" si="115"/>
        <v xml:space="preserve"> </v>
      </c>
      <c r="AN810" s="232" t="str">
        <f t="shared" si="116"/>
        <v xml:space="preserve"> </v>
      </c>
    </row>
    <row r="811" spans="28:40" x14ac:dyDescent="0.25">
      <c r="AB811" s="230" t="e">
        <f>T811-HLOOKUP(V811,Minimas!$C$3:$CD$12,2,FALSE)</f>
        <v>#N/A</v>
      </c>
      <c r="AC811" s="230" t="e">
        <f>T811-HLOOKUP(V811,Minimas!$C$3:$CD$12,3,FALSE)</f>
        <v>#N/A</v>
      </c>
      <c r="AD811" s="230" t="e">
        <f>T811-HLOOKUP(V811,Minimas!$C$3:$CD$12,4,FALSE)</f>
        <v>#N/A</v>
      </c>
      <c r="AE811" s="230" t="e">
        <f>T811-HLOOKUP(V811,Minimas!$C$3:$CD$12,5,FALSE)</f>
        <v>#N/A</v>
      </c>
      <c r="AF811" s="230" t="e">
        <f>T811-HLOOKUP(V811,Minimas!$C$3:$CD$12,6,FALSE)</f>
        <v>#N/A</v>
      </c>
      <c r="AG811" s="230" t="e">
        <f>T811-HLOOKUP(V811,Minimas!$C$3:$CD$12,7,FALSE)</f>
        <v>#N/A</v>
      </c>
      <c r="AH811" s="230" t="e">
        <f>T811-HLOOKUP(V811,Minimas!$C$3:$CD$12,8,FALSE)</f>
        <v>#N/A</v>
      </c>
      <c r="AI811" s="230" t="e">
        <f>T811-HLOOKUP(V811,Minimas!$C$3:$CD$12,9,FALSE)</f>
        <v>#N/A</v>
      </c>
      <c r="AJ811" s="230" t="e">
        <f>T811-HLOOKUP(V811,Minimas!$C$3:$CD$12,10,FALSE)</f>
        <v>#N/A</v>
      </c>
      <c r="AK811" s="231" t="str">
        <f t="shared" si="114"/>
        <v xml:space="preserve"> </v>
      </c>
      <c r="AL811" s="232"/>
      <c r="AM811" s="232" t="str">
        <f t="shared" si="115"/>
        <v xml:space="preserve"> </v>
      </c>
      <c r="AN811" s="232" t="str">
        <f t="shared" si="116"/>
        <v xml:space="preserve"> </v>
      </c>
    </row>
    <row r="812" spans="28:40" x14ac:dyDescent="0.25">
      <c r="AB812" s="230" t="e">
        <f>T812-HLOOKUP(V812,Minimas!$C$3:$CD$12,2,FALSE)</f>
        <v>#N/A</v>
      </c>
      <c r="AC812" s="230" t="e">
        <f>T812-HLOOKUP(V812,Minimas!$C$3:$CD$12,3,FALSE)</f>
        <v>#N/A</v>
      </c>
      <c r="AD812" s="230" t="e">
        <f>T812-HLOOKUP(V812,Minimas!$C$3:$CD$12,4,FALSE)</f>
        <v>#N/A</v>
      </c>
      <c r="AE812" s="230" t="e">
        <f>T812-HLOOKUP(V812,Minimas!$C$3:$CD$12,5,FALSE)</f>
        <v>#N/A</v>
      </c>
      <c r="AF812" s="230" t="e">
        <f>T812-HLOOKUP(V812,Minimas!$C$3:$CD$12,6,FALSE)</f>
        <v>#N/A</v>
      </c>
      <c r="AG812" s="230" t="e">
        <f>T812-HLOOKUP(V812,Minimas!$C$3:$CD$12,7,FALSE)</f>
        <v>#N/A</v>
      </c>
      <c r="AH812" s="230" t="e">
        <f>T812-HLOOKUP(V812,Minimas!$C$3:$CD$12,8,FALSE)</f>
        <v>#N/A</v>
      </c>
      <c r="AI812" s="230" t="e">
        <f>T812-HLOOKUP(V812,Minimas!$C$3:$CD$12,9,FALSE)</f>
        <v>#N/A</v>
      </c>
      <c r="AJ812" s="230" t="e">
        <f>T812-HLOOKUP(V812,Minimas!$C$3:$CD$12,10,FALSE)</f>
        <v>#N/A</v>
      </c>
      <c r="AK812" s="231" t="str">
        <f t="shared" si="114"/>
        <v xml:space="preserve"> </v>
      </c>
      <c r="AL812" s="232"/>
      <c r="AM812" s="232" t="str">
        <f t="shared" si="115"/>
        <v xml:space="preserve"> </v>
      </c>
      <c r="AN812" s="232" t="str">
        <f t="shared" si="116"/>
        <v xml:space="preserve"> </v>
      </c>
    </row>
    <row r="813" spans="28:40" x14ac:dyDescent="0.25">
      <c r="AB813" s="230" t="e">
        <f>T813-HLOOKUP(V813,Minimas!$C$3:$CD$12,2,FALSE)</f>
        <v>#N/A</v>
      </c>
      <c r="AC813" s="230" t="e">
        <f>T813-HLOOKUP(V813,Minimas!$C$3:$CD$12,3,FALSE)</f>
        <v>#N/A</v>
      </c>
      <c r="AD813" s="230" t="e">
        <f>T813-HLOOKUP(V813,Minimas!$C$3:$CD$12,4,FALSE)</f>
        <v>#N/A</v>
      </c>
      <c r="AE813" s="230" t="e">
        <f>T813-HLOOKUP(V813,Minimas!$C$3:$CD$12,5,FALSE)</f>
        <v>#N/A</v>
      </c>
      <c r="AF813" s="230" t="e">
        <f>T813-HLOOKUP(V813,Minimas!$C$3:$CD$12,6,FALSE)</f>
        <v>#N/A</v>
      </c>
      <c r="AG813" s="230" t="e">
        <f>T813-HLOOKUP(V813,Minimas!$C$3:$CD$12,7,FALSE)</f>
        <v>#N/A</v>
      </c>
      <c r="AH813" s="230" t="e">
        <f>T813-HLOOKUP(V813,Minimas!$C$3:$CD$12,8,FALSE)</f>
        <v>#N/A</v>
      </c>
      <c r="AI813" s="230" t="e">
        <f>T813-HLOOKUP(V813,Minimas!$C$3:$CD$12,9,FALSE)</f>
        <v>#N/A</v>
      </c>
      <c r="AJ813" s="230" t="e">
        <f>T813-HLOOKUP(V813,Minimas!$C$3:$CD$12,10,FALSE)</f>
        <v>#N/A</v>
      </c>
      <c r="AK813" s="231" t="str">
        <f t="shared" si="114"/>
        <v xml:space="preserve"> </v>
      </c>
      <c r="AL813" s="232"/>
      <c r="AM813" s="232" t="str">
        <f t="shared" si="115"/>
        <v xml:space="preserve"> </v>
      </c>
      <c r="AN813" s="232" t="str">
        <f t="shared" si="116"/>
        <v xml:space="preserve"> </v>
      </c>
    </row>
    <row r="814" spans="28:40" x14ac:dyDescent="0.25">
      <c r="AB814" s="230" t="e">
        <f>T814-HLOOKUP(V814,Minimas!$C$3:$CD$12,2,FALSE)</f>
        <v>#N/A</v>
      </c>
      <c r="AC814" s="230" t="e">
        <f>T814-HLOOKUP(V814,Minimas!$C$3:$CD$12,3,FALSE)</f>
        <v>#N/A</v>
      </c>
      <c r="AD814" s="230" t="e">
        <f>T814-HLOOKUP(V814,Minimas!$C$3:$CD$12,4,FALSE)</f>
        <v>#N/A</v>
      </c>
      <c r="AE814" s="230" t="e">
        <f>T814-HLOOKUP(V814,Minimas!$C$3:$CD$12,5,FALSE)</f>
        <v>#N/A</v>
      </c>
      <c r="AF814" s="230" t="e">
        <f>T814-HLOOKUP(V814,Minimas!$C$3:$CD$12,6,FALSE)</f>
        <v>#N/A</v>
      </c>
      <c r="AG814" s="230" t="e">
        <f>T814-HLOOKUP(V814,Minimas!$C$3:$CD$12,7,FALSE)</f>
        <v>#N/A</v>
      </c>
      <c r="AH814" s="230" t="e">
        <f>T814-HLOOKUP(V814,Minimas!$C$3:$CD$12,8,FALSE)</f>
        <v>#N/A</v>
      </c>
      <c r="AI814" s="230" t="e">
        <f>T814-HLOOKUP(V814,Minimas!$C$3:$CD$12,9,FALSE)</f>
        <v>#N/A</v>
      </c>
      <c r="AJ814" s="230" t="e">
        <f>T814-HLOOKUP(V814,Minimas!$C$3:$CD$12,10,FALSE)</f>
        <v>#N/A</v>
      </c>
      <c r="AK814" s="231" t="str">
        <f t="shared" si="114"/>
        <v xml:space="preserve"> </v>
      </c>
      <c r="AL814" s="232"/>
      <c r="AM814" s="232" t="str">
        <f t="shared" si="115"/>
        <v xml:space="preserve"> </v>
      </c>
      <c r="AN814" s="232" t="str">
        <f t="shared" si="116"/>
        <v xml:space="preserve"> </v>
      </c>
    </row>
    <row r="815" spans="28:40" x14ac:dyDescent="0.25">
      <c r="AB815" s="230" t="e">
        <f>T815-HLOOKUP(V815,Minimas!$C$3:$CD$12,2,FALSE)</f>
        <v>#N/A</v>
      </c>
      <c r="AC815" s="230" t="e">
        <f>T815-HLOOKUP(V815,Minimas!$C$3:$CD$12,3,FALSE)</f>
        <v>#N/A</v>
      </c>
      <c r="AD815" s="230" t="e">
        <f>T815-HLOOKUP(V815,Minimas!$C$3:$CD$12,4,FALSE)</f>
        <v>#N/A</v>
      </c>
      <c r="AE815" s="230" t="e">
        <f>T815-HLOOKUP(V815,Minimas!$C$3:$CD$12,5,FALSE)</f>
        <v>#N/A</v>
      </c>
      <c r="AF815" s="230" t="e">
        <f>T815-HLOOKUP(V815,Minimas!$C$3:$CD$12,6,FALSE)</f>
        <v>#N/A</v>
      </c>
      <c r="AG815" s="230" t="e">
        <f>T815-HLOOKUP(V815,Minimas!$C$3:$CD$12,7,FALSE)</f>
        <v>#N/A</v>
      </c>
      <c r="AH815" s="230" t="e">
        <f>T815-HLOOKUP(V815,Minimas!$C$3:$CD$12,8,FALSE)</f>
        <v>#N/A</v>
      </c>
      <c r="AI815" s="230" t="e">
        <f>T815-HLOOKUP(V815,Minimas!$C$3:$CD$12,9,FALSE)</f>
        <v>#N/A</v>
      </c>
      <c r="AJ815" s="230" t="e">
        <f>T815-HLOOKUP(V815,Minimas!$C$3:$CD$12,10,FALSE)</f>
        <v>#N/A</v>
      </c>
      <c r="AK815" s="231" t="str">
        <f t="shared" si="114"/>
        <v xml:space="preserve"> </v>
      </c>
      <c r="AL815" s="232"/>
      <c r="AM815" s="232" t="str">
        <f t="shared" si="115"/>
        <v xml:space="preserve"> </v>
      </c>
      <c r="AN815" s="232" t="str">
        <f t="shared" si="116"/>
        <v xml:space="preserve"> </v>
      </c>
    </row>
    <row r="816" spans="28:40" x14ac:dyDescent="0.25">
      <c r="AB816" s="230" t="e">
        <f>T816-HLOOKUP(V816,Minimas!$C$3:$CD$12,2,FALSE)</f>
        <v>#N/A</v>
      </c>
      <c r="AC816" s="230" t="e">
        <f>T816-HLOOKUP(V816,Minimas!$C$3:$CD$12,3,FALSE)</f>
        <v>#N/A</v>
      </c>
      <c r="AD816" s="230" t="e">
        <f>T816-HLOOKUP(V816,Minimas!$C$3:$CD$12,4,FALSE)</f>
        <v>#N/A</v>
      </c>
      <c r="AE816" s="230" t="e">
        <f>T816-HLOOKUP(V816,Minimas!$C$3:$CD$12,5,FALSE)</f>
        <v>#N/A</v>
      </c>
      <c r="AF816" s="230" t="e">
        <f>T816-HLOOKUP(V816,Minimas!$C$3:$CD$12,6,FALSE)</f>
        <v>#N/A</v>
      </c>
      <c r="AG816" s="230" t="e">
        <f>T816-HLOOKUP(V816,Minimas!$C$3:$CD$12,7,FALSE)</f>
        <v>#N/A</v>
      </c>
      <c r="AH816" s="230" t="e">
        <f>T816-HLOOKUP(V816,Minimas!$C$3:$CD$12,8,FALSE)</f>
        <v>#N/A</v>
      </c>
      <c r="AI816" s="230" t="e">
        <f>T816-HLOOKUP(V816,Minimas!$C$3:$CD$12,9,FALSE)</f>
        <v>#N/A</v>
      </c>
      <c r="AJ816" s="230" t="e">
        <f>T816-HLOOKUP(V816,Minimas!$C$3:$CD$12,10,FALSE)</f>
        <v>#N/A</v>
      </c>
      <c r="AK816" s="231" t="str">
        <f t="shared" si="114"/>
        <v xml:space="preserve"> </v>
      </c>
      <c r="AL816" s="232"/>
      <c r="AM816" s="232" t="str">
        <f t="shared" si="115"/>
        <v xml:space="preserve"> </v>
      </c>
      <c r="AN816" s="232" t="str">
        <f t="shared" si="116"/>
        <v xml:space="preserve"> </v>
      </c>
    </row>
    <row r="817" spans="28:40" x14ac:dyDescent="0.25">
      <c r="AB817" s="230" t="e">
        <f>T817-HLOOKUP(V817,Minimas!$C$3:$CD$12,2,FALSE)</f>
        <v>#N/A</v>
      </c>
      <c r="AC817" s="230" t="e">
        <f>T817-HLOOKUP(V817,Minimas!$C$3:$CD$12,3,FALSE)</f>
        <v>#N/A</v>
      </c>
      <c r="AD817" s="230" t="e">
        <f>T817-HLOOKUP(V817,Minimas!$C$3:$CD$12,4,FALSE)</f>
        <v>#N/A</v>
      </c>
      <c r="AE817" s="230" t="e">
        <f>T817-HLOOKUP(V817,Minimas!$C$3:$CD$12,5,FALSE)</f>
        <v>#N/A</v>
      </c>
      <c r="AF817" s="230" t="e">
        <f>T817-HLOOKUP(V817,Minimas!$C$3:$CD$12,6,FALSE)</f>
        <v>#N/A</v>
      </c>
      <c r="AG817" s="230" t="e">
        <f>T817-HLOOKUP(V817,Minimas!$C$3:$CD$12,7,FALSE)</f>
        <v>#N/A</v>
      </c>
      <c r="AH817" s="230" t="e">
        <f>T817-HLOOKUP(V817,Minimas!$C$3:$CD$12,8,FALSE)</f>
        <v>#N/A</v>
      </c>
      <c r="AI817" s="230" t="e">
        <f>T817-HLOOKUP(V817,Minimas!$C$3:$CD$12,9,FALSE)</f>
        <v>#N/A</v>
      </c>
      <c r="AJ817" s="230" t="e">
        <f>T817-HLOOKUP(V817,Minimas!$C$3:$CD$12,10,FALSE)</f>
        <v>#N/A</v>
      </c>
      <c r="AK817" s="231" t="str">
        <f t="shared" si="114"/>
        <v xml:space="preserve"> </v>
      </c>
      <c r="AL817" s="232"/>
      <c r="AM817" s="232" t="str">
        <f t="shared" si="115"/>
        <v xml:space="preserve"> </v>
      </c>
      <c r="AN817" s="232" t="str">
        <f t="shared" si="116"/>
        <v xml:space="preserve"> </v>
      </c>
    </row>
    <row r="818" spans="28:40" x14ac:dyDescent="0.25">
      <c r="AB818" s="230" t="e">
        <f>T818-HLOOKUP(V818,Minimas!$C$3:$CD$12,2,FALSE)</f>
        <v>#N/A</v>
      </c>
      <c r="AC818" s="230" t="e">
        <f>T818-HLOOKUP(V818,Minimas!$C$3:$CD$12,3,FALSE)</f>
        <v>#N/A</v>
      </c>
      <c r="AD818" s="230" t="e">
        <f>T818-HLOOKUP(V818,Minimas!$C$3:$CD$12,4,FALSE)</f>
        <v>#N/A</v>
      </c>
      <c r="AE818" s="230" t="e">
        <f>T818-HLOOKUP(V818,Minimas!$C$3:$CD$12,5,FALSE)</f>
        <v>#N/A</v>
      </c>
      <c r="AF818" s="230" t="e">
        <f>T818-HLOOKUP(V818,Minimas!$C$3:$CD$12,6,FALSE)</f>
        <v>#N/A</v>
      </c>
      <c r="AG818" s="230" t="e">
        <f>T818-HLOOKUP(V818,Minimas!$C$3:$CD$12,7,FALSE)</f>
        <v>#N/A</v>
      </c>
      <c r="AH818" s="230" t="e">
        <f>T818-HLOOKUP(V818,Minimas!$C$3:$CD$12,8,FALSE)</f>
        <v>#N/A</v>
      </c>
      <c r="AI818" s="230" t="e">
        <f>T818-HLOOKUP(V818,Minimas!$C$3:$CD$12,9,FALSE)</f>
        <v>#N/A</v>
      </c>
      <c r="AJ818" s="230" t="e">
        <f>T818-HLOOKUP(V818,Minimas!$C$3:$CD$12,10,FALSE)</f>
        <v>#N/A</v>
      </c>
      <c r="AK818" s="231" t="str">
        <f t="shared" si="114"/>
        <v xml:space="preserve"> </v>
      </c>
      <c r="AL818" s="232"/>
      <c r="AM818" s="232" t="str">
        <f t="shared" si="115"/>
        <v xml:space="preserve"> </v>
      </c>
      <c r="AN818" s="232" t="str">
        <f t="shared" si="116"/>
        <v xml:space="preserve"> </v>
      </c>
    </row>
    <row r="819" spans="28:40" x14ac:dyDescent="0.25">
      <c r="AB819" s="230" t="e">
        <f>T819-HLOOKUP(V819,Minimas!$C$3:$CD$12,2,FALSE)</f>
        <v>#N/A</v>
      </c>
      <c r="AC819" s="230" t="e">
        <f>T819-HLOOKUP(V819,Minimas!$C$3:$CD$12,3,FALSE)</f>
        <v>#N/A</v>
      </c>
      <c r="AD819" s="230" t="e">
        <f>T819-HLOOKUP(V819,Minimas!$C$3:$CD$12,4,FALSE)</f>
        <v>#N/A</v>
      </c>
      <c r="AE819" s="230" t="e">
        <f>T819-HLOOKUP(V819,Minimas!$C$3:$CD$12,5,FALSE)</f>
        <v>#N/A</v>
      </c>
      <c r="AF819" s="230" t="e">
        <f>T819-HLOOKUP(V819,Minimas!$C$3:$CD$12,6,FALSE)</f>
        <v>#N/A</v>
      </c>
      <c r="AG819" s="230" t="e">
        <f>T819-HLOOKUP(V819,Minimas!$C$3:$CD$12,7,FALSE)</f>
        <v>#N/A</v>
      </c>
      <c r="AH819" s="230" t="e">
        <f>T819-HLOOKUP(V819,Minimas!$C$3:$CD$12,8,FALSE)</f>
        <v>#N/A</v>
      </c>
      <c r="AI819" s="230" t="e">
        <f>T819-HLOOKUP(V819,Minimas!$C$3:$CD$12,9,FALSE)</f>
        <v>#N/A</v>
      </c>
      <c r="AJ819" s="230" t="e">
        <f>T819-HLOOKUP(V819,Minimas!$C$3:$CD$12,10,FALSE)</f>
        <v>#N/A</v>
      </c>
      <c r="AK819" s="231" t="str">
        <f t="shared" si="114"/>
        <v xml:space="preserve"> </v>
      </c>
      <c r="AL819" s="232"/>
      <c r="AM819" s="232" t="str">
        <f t="shared" si="115"/>
        <v xml:space="preserve"> </v>
      </c>
      <c r="AN819" s="232" t="str">
        <f t="shared" si="116"/>
        <v xml:space="preserve"> </v>
      </c>
    </row>
    <row r="820" spans="28:40" x14ac:dyDescent="0.25">
      <c r="AB820" s="230" t="e">
        <f>T820-HLOOKUP(V820,Minimas!$C$3:$CD$12,2,FALSE)</f>
        <v>#N/A</v>
      </c>
      <c r="AC820" s="230" t="e">
        <f>T820-HLOOKUP(V820,Minimas!$C$3:$CD$12,3,FALSE)</f>
        <v>#N/A</v>
      </c>
      <c r="AD820" s="230" t="e">
        <f>T820-HLOOKUP(V820,Minimas!$C$3:$CD$12,4,FALSE)</f>
        <v>#N/A</v>
      </c>
      <c r="AE820" s="230" t="e">
        <f>T820-HLOOKUP(V820,Minimas!$C$3:$CD$12,5,FALSE)</f>
        <v>#N/A</v>
      </c>
      <c r="AF820" s="230" t="e">
        <f>T820-HLOOKUP(V820,Minimas!$C$3:$CD$12,6,FALSE)</f>
        <v>#N/A</v>
      </c>
      <c r="AG820" s="230" t="e">
        <f>T820-HLOOKUP(V820,Minimas!$C$3:$CD$12,7,FALSE)</f>
        <v>#N/A</v>
      </c>
      <c r="AH820" s="230" t="e">
        <f>T820-HLOOKUP(V820,Minimas!$C$3:$CD$12,8,FALSE)</f>
        <v>#N/A</v>
      </c>
      <c r="AI820" s="230" t="e">
        <f>T820-HLOOKUP(V820,Minimas!$C$3:$CD$12,9,FALSE)</f>
        <v>#N/A</v>
      </c>
      <c r="AJ820" s="230" t="e">
        <f>T820-HLOOKUP(V820,Minimas!$C$3:$CD$12,10,FALSE)</f>
        <v>#N/A</v>
      </c>
      <c r="AK820" s="231" t="str">
        <f t="shared" si="114"/>
        <v xml:space="preserve"> </v>
      </c>
      <c r="AL820" s="232"/>
      <c r="AM820" s="232" t="str">
        <f t="shared" si="115"/>
        <v xml:space="preserve"> </v>
      </c>
      <c r="AN820" s="232" t="str">
        <f t="shared" si="116"/>
        <v xml:space="preserve"> </v>
      </c>
    </row>
    <row r="821" spans="28:40" x14ac:dyDescent="0.25">
      <c r="AB821" s="230" t="e">
        <f>T821-HLOOKUP(V821,Minimas!$C$3:$CD$12,2,FALSE)</f>
        <v>#N/A</v>
      </c>
      <c r="AC821" s="230" t="e">
        <f>T821-HLOOKUP(V821,Minimas!$C$3:$CD$12,3,FALSE)</f>
        <v>#N/A</v>
      </c>
      <c r="AD821" s="230" t="e">
        <f>T821-HLOOKUP(V821,Minimas!$C$3:$CD$12,4,FALSE)</f>
        <v>#N/A</v>
      </c>
      <c r="AE821" s="230" t="e">
        <f>T821-HLOOKUP(V821,Minimas!$C$3:$CD$12,5,FALSE)</f>
        <v>#N/A</v>
      </c>
      <c r="AF821" s="230" t="e">
        <f>T821-HLOOKUP(V821,Minimas!$C$3:$CD$12,6,FALSE)</f>
        <v>#N/A</v>
      </c>
      <c r="AG821" s="230" t="e">
        <f>T821-HLOOKUP(V821,Minimas!$C$3:$CD$12,7,FALSE)</f>
        <v>#N/A</v>
      </c>
      <c r="AH821" s="230" t="e">
        <f>T821-HLOOKUP(V821,Minimas!$C$3:$CD$12,8,FALSE)</f>
        <v>#N/A</v>
      </c>
      <c r="AI821" s="230" t="e">
        <f>T821-HLOOKUP(V821,Minimas!$C$3:$CD$12,9,FALSE)</f>
        <v>#N/A</v>
      </c>
      <c r="AJ821" s="230" t="e">
        <f>T821-HLOOKUP(V821,Minimas!$C$3:$CD$12,10,FALSE)</f>
        <v>#N/A</v>
      </c>
      <c r="AK821" s="231" t="str">
        <f t="shared" si="114"/>
        <v xml:space="preserve"> </v>
      </c>
      <c r="AL821" s="232"/>
      <c r="AM821" s="232" t="str">
        <f t="shared" si="115"/>
        <v xml:space="preserve"> </v>
      </c>
      <c r="AN821" s="232" t="str">
        <f t="shared" si="116"/>
        <v xml:space="preserve"> </v>
      </c>
    </row>
    <row r="822" spans="28:40" x14ac:dyDescent="0.25">
      <c r="AB822" s="230" t="e">
        <f>T822-HLOOKUP(V822,Minimas!$C$3:$CD$12,2,FALSE)</f>
        <v>#N/A</v>
      </c>
      <c r="AC822" s="230" t="e">
        <f>T822-HLOOKUP(V822,Minimas!$C$3:$CD$12,3,FALSE)</f>
        <v>#N/A</v>
      </c>
      <c r="AD822" s="230" t="e">
        <f>T822-HLOOKUP(V822,Minimas!$C$3:$CD$12,4,FALSE)</f>
        <v>#N/A</v>
      </c>
      <c r="AE822" s="230" t="e">
        <f>T822-HLOOKUP(V822,Minimas!$C$3:$CD$12,5,FALSE)</f>
        <v>#N/A</v>
      </c>
      <c r="AF822" s="230" t="e">
        <f>T822-HLOOKUP(V822,Minimas!$C$3:$CD$12,6,FALSE)</f>
        <v>#N/A</v>
      </c>
      <c r="AG822" s="230" t="e">
        <f>T822-HLOOKUP(V822,Minimas!$C$3:$CD$12,7,FALSE)</f>
        <v>#N/A</v>
      </c>
      <c r="AH822" s="230" t="e">
        <f>T822-HLOOKUP(V822,Minimas!$C$3:$CD$12,8,FALSE)</f>
        <v>#N/A</v>
      </c>
      <c r="AI822" s="230" t="e">
        <f>T822-HLOOKUP(V822,Minimas!$C$3:$CD$12,9,FALSE)</f>
        <v>#N/A</v>
      </c>
      <c r="AJ822" s="230" t="e">
        <f>T822-HLOOKUP(V822,Minimas!$C$3:$CD$12,10,FALSE)</f>
        <v>#N/A</v>
      </c>
      <c r="AK822" s="231" t="str">
        <f t="shared" si="114"/>
        <v xml:space="preserve"> </v>
      </c>
      <c r="AL822" s="232"/>
      <c r="AM822" s="232" t="str">
        <f t="shared" si="115"/>
        <v xml:space="preserve"> </v>
      </c>
      <c r="AN822" s="232" t="str">
        <f t="shared" si="116"/>
        <v xml:space="preserve"> </v>
      </c>
    </row>
    <row r="823" spans="28:40" x14ac:dyDescent="0.25">
      <c r="AB823" s="230" t="e">
        <f>T823-HLOOKUP(V823,Minimas!$C$3:$CD$12,2,FALSE)</f>
        <v>#N/A</v>
      </c>
      <c r="AC823" s="230" t="e">
        <f>T823-HLOOKUP(V823,Minimas!$C$3:$CD$12,3,FALSE)</f>
        <v>#N/A</v>
      </c>
      <c r="AD823" s="230" t="e">
        <f>T823-HLOOKUP(V823,Minimas!$C$3:$CD$12,4,FALSE)</f>
        <v>#N/A</v>
      </c>
      <c r="AE823" s="230" t="e">
        <f>T823-HLOOKUP(V823,Minimas!$C$3:$CD$12,5,FALSE)</f>
        <v>#N/A</v>
      </c>
      <c r="AF823" s="230" t="e">
        <f>T823-HLOOKUP(V823,Minimas!$C$3:$CD$12,6,FALSE)</f>
        <v>#N/A</v>
      </c>
      <c r="AG823" s="230" t="e">
        <f>T823-HLOOKUP(V823,Minimas!$C$3:$CD$12,7,FALSE)</f>
        <v>#N/A</v>
      </c>
      <c r="AH823" s="230" t="e">
        <f>T823-HLOOKUP(V823,Minimas!$C$3:$CD$12,8,FALSE)</f>
        <v>#N/A</v>
      </c>
      <c r="AI823" s="230" t="e">
        <f>T823-HLOOKUP(V823,Minimas!$C$3:$CD$12,9,FALSE)</f>
        <v>#N/A</v>
      </c>
      <c r="AJ823" s="230" t="e">
        <f>T823-HLOOKUP(V823,Minimas!$C$3:$CD$12,10,FALSE)</f>
        <v>#N/A</v>
      </c>
      <c r="AK823" s="231" t="str">
        <f t="shared" si="114"/>
        <v xml:space="preserve"> </v>
      </c>
      <c r="AL823" s="232"/>
      <c r="AM823" s="232" t="str">
        <f t="shared" si="115"/>
        <v xml:space="preserve"> </v>
      </c>
      <c r="AN823" s="232" t="str">
        <f t="shared" si="116"/>
        <v xml:space="preserve"> </v>
      </c>
    </row>
    <row r="824" spans="28:40" x14ac:dyDescent="0.25">
      <c r="AB824" s="230" t="e">
        <f>T824-HLOOKUP(V824,Minimas!$C$3:$CD$12,2,FALSE)</f>
        <v>#N/A</v>
      </c>
      <c r="AC824" s="230" t="e">
        <f>T824-HLOOKUP(V824,Minimas!$C$3:$CD$12,3,FALSE)</f>
        <v>#N/A</v>
      </c>
      <c r="AD824" s="230" t="e">
        <f>T824-HLOOKUP(V824,Minimas!$C$3:$CD$12,4,FALSE)</f>
        <v>#N/A</v>
      </c>
      <c r="AE824" s="230" t="e">
        <f>T824-HLOOKUP(V824,Minimas!$C$3:$CD$12,5,FALSE)</f>
        <v>#N/A</v>
      </c>
      <c r="AF824" s="230" t="e">
        <f>T824-HLOOKUP(V824,Minimas!$C$3:$CD$12,6,FALSE)</f>
        <v>#N/A</v>
      </c>
      <c r="AG824" s="230" t="e">
        <f>T824-HLOOKUP(V824,Minimas!$C$3:$CD$12,7,FALSE)</f>
        <v>#N/A</v>
      </c>
      <c r="AH824" s="230" t="e">
        <f>T824-HLOOKUP(V824,Minimas!$C$3:$CD$12,8,FALSE)</f>
        <v>#N/A</v>
      </c>
      <c r="AI824" s="230" t="e">
        <f>T824-HLOOKUP(V824,Minimas!$C$3:$CD$12,9,FALSE)</f>
        <v>#N/A</v>
      </c>
      <c r="AJ824" s="230" t="e">
        <f>T824-HLOOKUP(V824,Minimas!$C$3:$CD$12,10,FALSE)</f>
        <v>#N/A</v>
      </c>
      <c r="AK824" s="231" t="str">
        <f t="shared" si="114"/>
        <v xml:space="preserve"> </v>
      </c>
      <c r="AL824" s="232"/>
      <c r="AM824" s="232" t="str">
        <f t="shared" si="115"/>
        <v xml:space="preserve"> </v>
      </c>
      <c r="AN824" s="232" t="str">
        <f t="shared" si="116"/>
        <v xml:space="preserve"> </v>
      </c>
    </row>
    <row r="825" spans="28:40" x14ac:dyDescent="0.25">
      <c r="AB825" s="230" t="e">
        <f>T825-HLOOKUP(V825,Minimas!$C$3:$CD$12,2,FALSE)</f>
        <v>#N/A</v>
      </c>
      <c r="AC825" s="230" t="e">
        <f>T825-HLOOKUP(V825,Minimas!$C$3:$CD$12,3,FALSE)</f>
        <v>#N/A</v>
      </c>
      <c r="AD825" s="230" t="e">
        <f>T825-HLOOKUP(V825,Minimas!$C$3:$CD$12,4,FALSE)</f>
        <v>#N/A</v>
      </c>
      <c r="AE825" s="230" t="e">
        <f>T825-HLOOKUP(V825,Minimas!$C$3:$CD$12,5,FALSE)</f>
        <v>#N/A</v>
      </c>
      <c r="AF825" s="230" t="e">
        <f>T825-HLOOKUP(V825,Minimas!$C$3:$CD$12,6,FALSE)</f>
        <v>#N/A</v>
      </c>
      <c r="AG825" s="230" t="e">
        <f>T825-HLOOKUP(V825,Minimas!$C$3:$CD$12,7,FALSE)</f>
        <v>#N/A</v>
      </c>
      <c r="AH825" s="230" t="e">
        <f>T825-HLOOKUP(V825,Minimas!$C$3:$CD$12,8,FALSE)</f>
        <v>#N/A</v>
      </c>
      <c r="AI825" s="230" t="e">
        <f>T825-HLOOKUP(V825,Minimas!$C$3:$CD$12,9,FALSE)</f>
        <v>#N/A</v>
      </c>
      <c r="AJ825" s="230" t="e">
        <f>T825-HLOOKUP(V825,Minimas!$C$3:$CD$12,10,FALSE)</f>
        <v>#N/A</v>
      </c>
      <c r="AK825" s="231" t="str">
        <f t="shared" si="114"/>
        <v xml:space="preserve"> </v>
      </c>
      <c r="AL825" s="232"/>
      <c r="AM825" s="232" t="str">
        <f t="shared" si="115"/>
        <v xml:space="preserve"> </v>
      </c>
      <c r="AN825" s="232" t="str">
        <f t="shared" si="116"/>
        <v xml:space="preserve"> </v>
      </c>
    </row>
    <row r="826" spans="28:40" x14ac:dyDescent="0.25">
      <c r="AB826" s="230" t="e">
        <f>T826-HLOOKUP(V826,Minimas!$C$3:$CD$12,2,FALSE)</f>
        <v>#N/A</v>
      </c>
      <c r="AC826" s="230" t="e">
        <f>T826-HLOOKUP(V826,Minimas!$C$3:$CD$12,3,FALSE)</f>
        <v>#N/A</v>
      </c>
      <c r="AD826" s="230" t="e">
        <f>T826-HLOOKUP(V826,Minimas!$C$3:$CD$12,4,FALSE)</f>
        <v>#N/A</v>
      </c>
      <c r="AE826" s="230" t="e">
        <f>T826-HLOOKUP(V826,Minimas!$C$3:$CD$12,5,FALSE)</f>
        <v>#N/A</v>
      </c>
      <c r="AF826" s="230" t="e">
        <f>T826-HLOOKUP(V826,Minimas!$C$3:$CD$12,6,FALSE)</f>
        <v>#N/A</v>
      </c>
      <c r="AG826" s="230" t="e">
        <f>T826-HLOOKUP(V826,Minimas!$C$3:$CD$12,7,FALSE)</f>
        <v>#N/A</v>
      </c>
      <c r="AH826" s="230" t="e">
        <f>T826-HLOOKUP(V826,Minimas!$C$3:$CD$12,8,FALSE)</f>
        <v>#N/A</v>
      </c>
      <c r="AI826" s="230" t="e">
        <f>T826-HLOOKUP(V826,Minimas!$C$3:$CD$12,9,FALSE)</f>
        <v>#N/A</v>
      </c>
      <c r="AJ826" s="230" t="e">
        <f>T826-HLOOKUP(V826,Minimas!$C$3:$CD$12,10,FALSE)</f>
        <v>#N/A</v>
      </c>
      <c r="AK826" s="231" t="str">
        <f t="shared" si="114"/>
        <v xml:space="preserve"> </v>
      </c>
      <c r="AL826" s="232"/>
      <c r="AM826" s="232" t="str">
        <f t="shared" si="115"/>
        <v xml:space="preserve"> </v>
      </c>
      <c r="AN826" s="232" t="str">
        <f t="shared" si="116"/>
        <v xml:space="preserve"> </v>
      </c>
    </row>
    <row r="827" spans="28:40" x14ac:dyDescent="0.25">
      <c r="AB827" s="230" t="e">
        <f>T827-HLOOKUP(V827,Minimas!$C$3:$CD$12,2,FALSE)</f>
        <v>#N/A</v>
      </c>
      <c r="AC827" s="230" t="e">
        <f>T827-HLOOKUP(V827,Minimas!$C$3:$CD$12,3,FALSE)</f>
        <v>#N/A</v>
      </c>
      <c r="AD827" s="230" t="e">
        <f>T827-HLOOKUP(V827,Minimas!$C$3:$CD$12,4,FALSE)</f>
        <v>#N/A</v>
      </c>
      <c r="AE827" s="230" t="e">
        <f>T827-HLOOKUP(V827,Minimas!$C$3:$CD$12,5,FALSE)</f>
        <v>#N/A</v>
      </c>
      <c r="AF827" s="230" t="e">
        <f>T827-HLOOKUP(V827,Minimas!$C$3:$CD$12,6,FALSE)</f>
        <v>#N/A</v>
      </c>
      <c r="AG827" s="230" t="e">
        <f>T827-HLOOKUP(V827,Minimas!$C$3:$CD$12,7,FALSE)</f>
        <v>#N/A</v>
      </c>
      <c r="AH827" s="230" t="e">
        <f>T827-HLOOKUP(V827,Minimas!$C$3:$CD$12,8,FALSE)</f>
        <v>#N/A</v>
      </c>
      <c r="AI827" s="230" t="e">
        <f>T827-HLOOKUP(V827,Minimas!$C$3:$CD$12,9,FALSE)</f>
        <v>#N/A</v>
      </c>
      <c r="AJ827" s="230" t="e">
        <f>T827-HLOOKUP(V827,Minimas!$C$3:$CD$12,10,FALSE)</f>
        <v>#N/A</v>
      </c>
      <c r="AK827" s="231" t="str">
        <f t="shared" si="114"/>
        <v xml:space="preserve"> </v>
      </c>
      <c r="AL827" s="232"/>
      <c r="AM827" s="232" t="str">
        <f t="shared" si="115"/>
        <v xml:space="preserve"> </v>
      </c>
      <c r="AN827" s="232" t="str">
        <f t="shared" si="116"/>
        <v xml:space="preserve"> </v>
      </c>
    </row>
    <row r="828" spans="28:40" x14ac:dyDescent="0.25">
      <c r="AB828" s="230" t="e">
        <f>T828-HLOOKUP(V828,Minimas!$C$3:$CD$12,2,FALSE)</f>
        <v>#N/A</v>
      </c>
      <c r="AC828" s="230" t="e">
        <f>T828-HLOOKUP(V828,Minimas!$C$3:$CD$12,3,FALSE)</f>
        <v>#N/A</v>
      </c>
      <c r="AD828" s="230" t="e">
        <f>T828-HLOOKUP(V828,Minimas!$C$3:$CD$12,4,FALSE)</f>
        <v>#N/A</v>
      </c>
      <c r="AE828" s="230" t="e">
        <f>T828-HLOOKUP(V828,Minimas!$C$3:$CD$12,5,FALSE)</f>
        <v>#N/A</v>
      </c>
      <c r="AF828" s="230" t="e">
        <f>T828-HLOOKUP(V828,Minimas!$C$3:$CD$12,6,FALSE)</f>
        <v>#N/A</v>
      </c>
      <c r="AG828" s="230" t="e">
        <f>T828-HLOOKUP(V828,Minimas!$C$3:$CD$12,7,FALSE)</f>
        <v>#N/A</v>
      </c>
      <c r="AH828" s="230" t="e">
        <f>T828-HLOOKUP(V828,Minimas!$C$3:$CD$12,8,FALSE)</f>
        <v>#N/A</v>
      </c>
      <c r="AI828" s="230" t="e">
        <f>T828-HLOOKUP(V828,Minimas!$C$3:$CD$12,9,FALSE)</f>
        <v>#N/A</v>
      </c>
      <c r="AJ828" s="230" t="e">
        <f>T828-HLOOKUP(V828,Minimas!$C$3:$CD$12,10,FALSE)</f>
        <v>#N/A</v>
      </c>
      <c r="AK828" s="231" t="str">
        <f t="shared" si="114"/>
        <v xml:space="preserve"> </v>
      </c>
      <c r="AL828" s="232"/>
      <c r="AM828" s="232" t="str">
        <f t="shared" si="115"/>
        <v xml:space="preserve"> </v>
      </c>
      <c r="AN828" s="232" t="str">
        <f t="shared" si="116"/>
        <v xml:space="preserve"> </v>
      </c>
    </row>
    <row r="829" spans="28:40" x14ac:dyDescent="0.25">
      <c r="AB829" s="230" t="e">
        <f>T829-HLOOKUP(V829,Minimas!$C$3:$CD$12,2,FALSE)</f>
        <v>#N/A</v>
      </c>
      <c r="AC829" s="230" t="e">
        <f>T829-HLOOKUP(V829,Minimas!$C$3:$CD$12,3,FALSE)</f>
        <v>#N/A</v>
      </c>
      <c r="AD829" s="230" t="e">
        <f>T829-HLOOKUP(V829,Minimas!$C$3:$CD$12,4,FALSE)</f>
        <v>#N/A</v>
      </c>
      <c r="AE829" s="230" t="e">
        <f>T829-HLOOKUP(V829,Minimas!$C$3:$CD$12,5,FALSE)</f>
        <v>#N/A</v>
      </c>
      <c r="AF829" s="230" t="e">
        <f>T829-HLOOKUP(V829,Minimas!$C$3:$CD$12,6,FALSE)</f>
        <v>#N/A</v>
      </c>
      <c r="AG829" s="230" t="e">
        <f>T829-HLOOKUP(V829,Minimas!$C$3:$CD$12,7,FALSE)</f>
        <v>#N/A</v>
      </c>
      <c r="AH829" s="230" t="e">
        <f>T829-HLOOKUP(V829,Minimas!$C$3:$CD$12,8,FALSE)</f>
        <v>#N/A</v>
      </c>
      <c r="AI829" s="230" t="e">
        <f>T829-HLOOKUP(V829,Minimas!$C$3:$CD$12,9,FALSE)</f>
        <v>#N/A</v>
      </c>
      <c r="AJ829" s="230" t="e">
        <f>T829-HLOOKUP(V829,Minimas!$C$3:$CD$12,10,FALSE)</f>
        <v>#N/A</v>
      </c>
      <c r="AK829" s="231" t="str">
        <f t="shared" si="114"/>
        <v xml:space="preserve"> </v>
      </c>
      <c r="AL829" s="232"/>
      <c r="AM829" s="232" t="str">
        <f t="shared" si="115"/>
        <v xml:space="preserve"> </v>
      </c>
      <c r="AN829" s="232" t="str">
        <f t="shared" si="116"/>
        <v xml:space="preserve"> </v>
      </c>
    </row>
    <row r="830" spans="28:40" x14ac:dyDescent="0.25">
      <c r="AB830" s="230" t="e">
        <f>T830-HLOOKUP(V830,Minimas!$C$3:$CD$12,2,FALSE)</f>
        <v>#N/A</v>
      </c>
      <c r="AC830" s="230" t="e">
        <f>T830-HLOOKUP(V830,Minimas!$C$3:$CD$12,3,FALSE)</f>
        <v>#N/A</v>
      </c>
      <c r="AD830" s="230" t="e">
        <f>T830-HLOOKUP(V830,Minimas!$C$3:$CD$12,4,FALSE)</f>
        <v>#N/A</v>
      </c>
      <c r="AE830" s="230" t="e">
        <f>T830-HLOOKUP(V830,Minimas!$C$3:$CD$12,5,FALSE)</f>
        <v>#N/A</v>
      </c>
      <c r="AF830" s="230" t="e">
        <f>T830-HLOOKUP(V830,Minimas!$C$3:$CD$12,6,FALSE)</f>
        <v>#N/A</v>
      </c>
      <c r="AG830" s="230" t="e">
        <f>T830-HLOOKUP(V830,Minimas!$C$3:$CD$12,7,FALSE)</f>
        <v>#N/A</v>
      </c>
      <c r="AH830" s="230" t="e">
        <f>T830-HLOOKUP(V830,Minimas!$C$3:$CD$12,8,FALSE)</f>
        <v>#N/A</v>
      </c>
      <c r="AI830" s="230" t="e">
        <f>T830-HLOOKUP(V830,Minimas!$C$3:$CD$12,9,FALSE)</f>
        <v>#N/A</v>
      </c>
      <c r="AJ830" s="230" t="e">
        <f>T830-HLOOKUP(V830,Minimas!$C$3:$CD$12,10,FALSE)</f>
        <v>#N/A</v>
      </c>
      <c r="AK830" s="231" t="str">
        <f t="shared" si="114"/>
        <v xml:space="preserve"> </v>
      </c>
      <c r="AL830" s="232"/>
      <c r="AM830" s="232" t="str">
        <f t="shared" si="115"/>
        <v xml:space="preserve"> </v>
      </c>
      <c r="AN830" s="232" t="str">
        <f t="shared" si="116"/>
        <v xml:space="preserve"> </v>
      </c>
    </row>
    <row r="831" spans="28:40" x14ac:dyDescent="0.25">
      <c r="AB831" s="230" t="e">
        <f>T831-HLOOKUP(V831,Minimas!$C$3:$CD$12,2,FALSE)</f>
        <v>#N/A</v>
      </c>
      <c r="AC831" s="230" t="e">
        <f>T831-HLOOKUP(V831,Minimas!$C$3:$CD$12,3,FALSE)</f>
        <v>#N/A</v>
      </c>
      <c r="AD831" s="230" t="e">
        <f>T831-HLOOKUP(V831,Minimas!$C$3:$CD$12,4,FALSE)</f>
        <v>#N/A</v>
      </c>
      <c r="AE831" s="230" t="e">
        <f>T831-HLOOKUP(V831,Minimas!$C$3:$CD$12,5,FALSE)</f>
        <v>#N/A</v>
      </c>
      <c r="AF831" s="230" t="e">
        <f>T831-HLOOKUP(V831,Minimas!$C$3:$CD$12,6,FALSE)</f>
        <v>#N/A</v>
      </c>
      <c r="AG831" s="230" t="e">
        <f>T831-HLOOKUP(V831,Minimas!$C$3:$CD$12,7,FALSE)</f>
        <v>#N/A</v>
      </c>
      <c r="AH831" s="230" t="e">
        <f>T831-HLOOKUP(V831,Minimas!$C$3:$CD$12,8,FALSE)</f>
        <v>#N/A</v>
      </c>
      <c r="AI831" s="230" t="e">
        <f>T831-HLOOKUP(V831,Minimas!$C$3:$CD$12,9,FALSE)</f>
        <v>#N/A</v>
      </c>
      <c r="AJ831" s="230" t="e">
        <f>T831-HLOOKUP(V831,Minimas!$C$3:$CD$12,10,FALSE)</f>
        <v>#N/A</v>
      </c>
      <c r="AK831" s="231" t="str">
        <f t="shared" si="114"/>
        <v xml:space="preserve"> </v>
      </c>
      <c r="AL831" s="232"/>
      <c r="AM831" s="232" t="str">
        <f t="shared" si="115"/>
        <v xml:space="preserve"> </v>
      </c>
      <c r="AN831" s="232" t="str">
        <f t="shared" si="116"/>
        <v xml:space="preserve"> </v>
      </c>
    </row>
    <row r="832" spans="28:40" x14ac:dyDescent="0.25">
      <c r="AB832" s="230" t="e">
        <f>T832-HLOOKUP(V832,Minimas!$C$3:$CD$12,2,FALSE)</f>
        <v>#N/A</v>
      </c>
      <c r="AC832" s="230" t="e">
        <f>T832-HLOOKUP(V832,Minimas!$C$3:$CD$12,3,FALSE)</f>
        <v>#N/A</v>
      </c>
      <c r="AD832" s="230" t="e">
        <f>T832-HLOOKUP(V832,Minimas!$C$3:$CD$12,4,FALSE)</f>
        <v>#N/A</v>
      </c>
      <c r="AE832" s="230" t="e">
        <f>T832-HLOOKUP(V832,Minimas!$C$3:$CD$12,5,FALSE)</f>
        <v>#N/A</v>
      </c>
      <c r="AF832" s="230" t="e">
        <f>T832-HLOOKUP(V832,Minimas!$C$3:$CD$12,6,FALSE)</f>
        <v>#N/A</v>
      </c>
      <c r="AG832" s="230" t="e">
        <f>T832-HLOOKUP(V832,Minimas!$C$3:$CD$12,7,FALSE)</f>
        <v>#N/A</v>
      </c>
      <c r="AH832" s="230" t="e">
        <f>T832-HLOOKUP(V832,Minimas!$C$3:$CD$12,8,FALSE)</f>
        <v>#N/A</v>
      </c>
      <c r="AI832" s="230" t="e">
        <f>T832-HLOOKUP(V832,Minimas!$C$3:$CD$12,9,FALSE)</f>
        <v>#N/A</v>
      </c>
      <c r="AJ832" s="230" t="e">
        <f>T832-HLOOKUP(V832,Minimas!$C$3:$CD$12,10,FALSE)</f>
        <v>#N/A</v>
      </c>
      <c r="AK832" s="231" t="str">
        <f t="shared" si="114"/>
        <v xml:space="preserve"> </v>
      </c>
      <c r="AL832" s="232"/>
      <c r="AM832" s="232" t="str">
        <f t="shared" si="115"/>
        <v xml:space="preserve"> </v>
      </c>
      <c r="AN832" s="232" t="str">
        <f t="shared" si="116"/>
        <v xml:space="preserve"> </v>
      </c>
    </row>
    <row r="833" spans="28:40" x14ac:dyDescent="0.25">
      <c r="AB833" s="230" t="e">
        <f>T833-HLOOKUP(V833,Minimas!$C$3:$CD$12,2,FALSE)</f>
        <v>#N/A</v>
      </c>
      <c r="AC833" s="230" t="e">
        <f>T833-HLOOKUP(V833,Minimas!$C$3:$CD$12,3,FALSE)</f>
        <v>#N/A</v>
      </c>
      <c r="AD833" s="230" t="e">
        <f>T833-HLOOKUP(V833,Minimas!$C$3:$CD$12,4,FALSE)</f>
        <v>#N/A</v>
      </c>
      <c r="AE833" s="230" t="e">
        <f>T833-HLOOKUP(V833,Minimas!$C$3:$CD$12,5,FALSE)</f>
        <v>#N/A</v>
      </c>
      <c r="AF833" s="230" t="e">
        <f>T833-HLOOKUP(V833,Minimas!$C$3:$CD$12,6,FALSE)</f>
        <v>#N/A</v>
      </c>
      <c r="AG833" s="230" t="e">
        <f>T833-HLOOKUP(V833,Minimas!$C$3:$CD$12,7,FALSE)</f>
        <v>#N/A</v>
      </c>
      <c r="AH833" s="230" t="e">
        <f>T833-HLOOKUP(V833,Minimas!$C$3:$CD$12,8,FALSE)</f>
        <v>#N/A</v>
      </c>
      <c r="AI833" s="230" t="e">
        <f>T833-HLOOKUP(V833,Minimas!$C$3:$CD$12,9,FALSE)</f>
        <v>#N/A</v>
      </c>
      <c r="AJ833" s="230" t="e">
        <f>T833-HLOOKUP(V833,Minimas!$C$3:$CD$12,10,FALSE)</f>
        <v>#N/A</v>
      </c>
      <c r="AK833" s="231" t="str">
        <f t="shared" si="114"/>
        <v xml:space="preserve"> </v>
      </c>
      <c r="AL833" s="232"/>
      <c r="AM833" s="232" t="str">
        <f t="shared" si="115"/>
        <v xml:space="preserve"> </v>
      </c>
      <c r="AN833" s="232" t="str">
        <f t="shared" si="116"/>
        <v xml:space="preserve"> </v>
      </c>
    </row>
    <row r="834" spans="28:40" x14ac:dyDescent="0.25">
      <c r="AB834" s="230" t="e">
        <f>T834-HLOOKUP(V834,Minimas!$C$3:$CD$12,2,FALSE)</f>
        <v>#N/A</v>
      </c>
      <c r="AC834" s="230" t="e">
        <f>T834-HLOOKUP(V834,Minimas!$C$3:$CD$12,3,FALSE)</f>
        <v>#N/A</v>
      </c>
      <c r="AD834" s="230" t="e">
        <f>T834-HLOOKUP(V834,Minimas!$C$3:$CD$12,4,FALSE)</f>
        <v>#N/A</v>
      </c>
      <c r="AE834" s="230" t="e">
        <f>T834-HLOOKUP(V834,Minimas!$C$3:$CD$12,5,FALSE)</f>
        <v>#N/A</v>
      </c>
      <c r="AF834" s="230" t="e">
        <f>T834-HLOOKUP(V834,Minimas!$C$3:$CD$12,6,FALSE)</f>
        <v>#N/A</v>
      </c>
      <c r="AG834" s="230" t="e">
        <f>T834-HLOOKUP(V834,Minimas!$C$3:$CD$12,7,FALSE)</f>
        <v>#N/A</v>
      </c>
      <c r="AH834" s="230" t="e">
        <f>T834-HLOOKUP(V834,Minimas!$C$3:$CD$12,8,FALSE)</f>
        <v>#N/A</v>
      </c>
      <c r="AI834" s="230" t="e">
        <f>T834-HLOOKUP(V834,Minimas!$C$3:$CD$12,9,FALSE)</f>
        <v>#N/A</v>
      </c>
      <c r="AJ834" s="230" t="e">
        <f>T834-HLOOKUP(V834,Minimas!$C$3:$CD$12,10,FALSE)</f>
        <v>#N/A</v>
      </c>
      <c r="AK834" s="231" t="str">
        <f t="shared" si="114"/>
        <v xml:space="preserve"> </v>
      </c>
      <c r="AL834" s="232"/>
      <c r="AM834" s="232" t="str">
        <f t="shared" si="115"/>
        <v xml:space="preserve"> </v>
      </c>
      <c r="AN834" s="232" t="str">
        <f t="shared" si="116"/>
        <v xml:space="preserve"> </v>
      </c>
    </row>
    <row r="835" spans="28:40" x14ac:dyDescent="0.25">
      <c r="AB835" s="230" t="e">
        <f>T835-HLOOKUP(V835,Minimas!$C$3:$CD$12,2,FALSE)</f>
        <v>#N/A</v>
      </c>
      <c r="AC835" s="230" t="e">
        <f>T835-HLOOKUP(V835,Minimas!$C$3:$CD$12,3,FALSE)</f>
        <v>#N/A</v>
      </c>
      <c r="AD835" s="230" t="e">
        <f>T835-HLOOKUP(V835,Minimas!$C$3:$CD$12,4,FALSE)</f>
        <v>#N/A</v>
      </c>
      <c r="AE835" s="230" t="e">
        <f>T835-HLOOKUP(V835,Minimas!$C$3:$CD$12,5,FALSE)</f>
        <v>#N/A</v>
      </c>
      <c r="AF835" s="230" t="e">
        <f>T835-HLOOKUP(V835,Minimas!$C$3:$CD$12,6,FALSE)</f>
        <v>#N/A</v>
      </c>
      <c r="AG835" s="230" t="e">
        <f>T835-HLOOKUP(V835,Minimas!$C$3:$CD$12,7,FALSE)</f>
        <v>#N/A</v>
      </c>
      <c r="AH835" s="230" t="e">
        <f>T835-HLOOKUP(V835,Minimas!$C$3:$CD$12,8,FALSE)</f>
        <v>#N/A</v>
      </c>
      <c r="AI835" s="230" t="e">
        <f>T835-HLOOKUP(V835,Minimas!$C$3:$CD$12,9,FALSE)</f>
        <v>#N/A</v>
      </c>
      <c r="AJ835" s="230" t="e">
        <f>T835-HLOOKUP(V835,Minimas!$C$3:$CD$12,10,FALSE)</f>
        <v>#N/A</v>
      </c>
      <c r="AK835" s="231" t="str">
        <f t="shared" si="114"/>
        <v xml:space="preserve"> </v>
      </c>
      <c r="AL835" s="232"/>
      <c r="AM835" s="232" t="str">
        <f t="shared" si="115"/>
        <v xml:space="preserve"> </v>
      </c>
      <c r="AN835" s="232" t="str">
        <f t="shared" si="116"/>
        <v xml:space="preserve"> </v>
      </c>
    </row>
    <row r="836" spans="28:40" x14ac:dyDescent="0.25">
      <c r="AB836" s="230" t="e">
        <f>T836-HLOOKUP(V836,Minimas!$C$3:$CD$12,2,FALSE)</f>
        <v>#N/A</v>
      </c>
      <c r="AC836" s="230" t="e">
        <f>T836-HLOOKUP(V836,Minimas!$C$3:$CD$12,3,FALSE)</f>
        <v>#N/A</v>
      </c>
      <c r="AD836" s="230" t="e">
        <f>T836-HLOOKUP(V836,Minimas!$C$3:$CD$12,4,FALSE)</f>
        <v>#N/A</v>
      </c>
      <c r="AE836" s="230" t="e">
        <f>T836-HLOOKUP(V836,Minimas!$C$3:$CD$12,5,FALSE)</f>
        <v>#N/A</v>
      </c>
      <c r="AF836" s="230" t="e">
        <f>T836-HLOOKUP(V836,Minimas!$C$3:$CD$12,6,FALSE)</f>
        <v>#N/A</v>
      </c>
      <c r="AG836" s="230" t="e">
        <f>T836-HLOOKUP(V836,Minimas!$C$3:$CD$12,7,FALSE)</f>
        <v>#N/A</v>
      </c>
      <c r="AH836" s="230" t="e">
        <f>T836-HLOOKUP(V836,Minimas!$C$3:$CD$12,8,FALSE)</f>
        <v>#N/A</v>
      </c>
      <c r="AI836" s="230" t="e">
        <f>T836-HLOOKUP(V836,Minimas!$C$3:$CD$12,9,FALSE)</f>
        <v>#N/A</v>
      </c>
      <c r="AJ836" s="230" t="e">
        <f>T836-HLOOKUP(V836,Minimas!$C$3:$CD$12,10,FALSE)</f>
        <v>#N/A</v>
      </c>
      <c r="AK836" s="231" t="str">
        <f t="shared" ref="AK836:AK899" si="117">IF(E836=0," ",IF(AJ836&gt;=0,$AJ$5,IF(AI836&gt;=0,$AI$5,IF(AH836&gt;=0,$AH$5,IF(AG836&gt;=0,$AG$5,IF(AF836&gt;=0,$AF$5,IF(AE836&gt;=0,$AE$5,IF(AD836&gt;=0,$AD$5,IF(AC836&gt;=0,$AC$5,$AB$5)))))))))</f>
        <v xml:space="preserve"> </v>
      </c>
      <c r="AL836" s="232"/>
      <c r="AM836" s="232" t="str">
        <f t="shared" ref="AM836:AM899" si="118">IF(AK836="","",AK836)</f>
        <v xml:space="preserve"> </v>
      </c>
      <c r="AN836" s="232" t="str">
        <f t="shared" ref="AN836:AN899" si="119">IF(E836=0," ",IF(AJ836&gt;=0,AJ836,IF(AI836&gt;=0,AI836,IF(AH836&gt;=0,AH836,IF(AG836&gt;=0,AG836,IF(AF836&gt;=0,AF836,IF(AE836&gt;=0,AE836,IF(AD836&gt;=0,AD836,IF(AC836&gt;=0,AC836,AB836)))))))))</f>
        <v xml:space="preserve"> </v>
      </c>
    </row>
    <row r="837" spans="28:40" x14ac:dyDescent="0.25">
      <c r="AB837" s="230" t="e">
        <f>T837-HLOOKUP(V837,Minimas!$C$3:$CD$12,2,FALSE)</f>
        <v>#N/A</v>
      </c>
      <c r="AC837" s="230" t="e">
        <f>T837-HLOOKUP(V837,Minimas!$C$3:$CD$12,3,FALSE)</f>
        <v>#N/A</v>
      </c>
      <c r="AD837" s="230" t="e">
        <f>T837-HLOOKUP(V837,Minimas!$C$3:$CD$12,4,FALSE)</f>
        <v>#N/A</v>
      </c>
      <c r="AE837" s="230" t="e">
        <f>T837-HLOOKUP(V837,Minimas!$C$3:$CD$12,5,FALSE)</f>
        <v>#N/A</v>
      </c>
      <c r="AF837" s="230" t="e">
        <f>T837-HLOOKUP(V837,Minimas!$C$3:$CD$12,6,FALSE)</f>
        <v>#N/A</v>
      </c>
      <c r="AG837" s="230" t="e">
        <f>T837-HLOOKUP(V837,Minimas!$C$3:$CD$12,7,FALSE)</f>
        <v>#N/A</v>
      </c>
      <c r="AH837" s="230" t="e">
        <f>T837-HLOOKUP(V837,Minimas!$C$3:$CD$12,8,FALSE)</f>
        <v>#N/A</v>
      </c>
      <c r="AI837" s="230" t="e">
        <f>T837-HLOOKUP(V837,Minimas!$C$3:$CD$12,9,FALSE)</f>
        <v>#N/A</v>
      </c>
      <c r="AJ837" s="230" t="e">
        <f>T837-HLOOKUP(V837,Minimas!$C$3:$CD$12,10,FALSE)</f>
        <v>#N/A</v>
      </c>
      <c r="AK837" s="231" t="str">
        <f t="shared" si="117"/>
        <v xml:space="preserve"> </v>
      </c>
      <c r="AL837" s="232"/>
      <c r="AM837" s="232" t="str">
        <f t="shared" si="118"/>
        <v xml:space="preserve"> </v>
      </c>
      <c r="AN837" s="232" t="str">
        <f t="shared" si="119"/>
        <v xml:space="preserve"> </v>
      </c>
    </row>
    <row r="838" spans="28:40" x14ac:dyDescent="0.25">
      <c r="AB838" s="230" t="e">
        <f>T838-HLOOKUP(V838,Minimas!$C$3:$CD$12,2,FALSE)</f>
        <v>#N/A</v>
      </c>
      <c r="AC838" s="230" t="e">
        <f>T838-HLOOKUP(V838,Minimas!$C$3:$CD$12,3,FALSE)</f>
        <v>#N/A</v>
      </c>
      <c r="AD838" s="230" t="e">
        <f>T838-HLOOKUP(V838,Minimas!$C$3:$CD$12,4,FALSE)</f>
        <v>#N/A</v>
      </c>
      <c r="AE838" s="230" t="e">
        <f>T838-HLOOKUP(V838,Minimas!$C$3:$CD$12,5,FALSE)</f>
        <v>#N/A</v>
      </c>
      <c r="AF838" s="230" t="e">
        <f>T838-HLOOKUP(V838,Minimas!$C$3:$CD$12,6,FALSE)</f>
        <v>#N/A</v>
      </c>
      <c r="AG838" s="230" t="e">
        <f>T838-HLOOKUP(V838,Minimas!$C$3:$CD$12,7,FALSE)</f>
        <v>#N/A</v>
      </c>
      <c r="AH838" s="230" t="e">
        <f>T838-HLOOKUP(V838,Minimas!$C$3:$CD$12,8,FALSE)</f>
        <v>#N/A</v>
      </c>
      <c r="AI838" s="230" t="e">
        <f>T838-HLOOKUP(V838,Minimas!$C$3:$CD$12,9,FALSE)</f>
        <v>#N/A</v>
      </c>
      <c r="AJ838" s="230" t="e">
        <f>T838-HLOOKUP(V838,Minimas!$C$3:$CD$12,10,FALSE)</f>
        <v>#N/A</v>
      </c>
      <c r="AK838" s="231" t="str">
        <f t="shared" si="117"/>
        <v xml:space="preserve"> </v>
      </c>
      <c r="AL838" s="232"/>
      <c r="AM838" s="232" t="str">
        <f t="shared" si="118"/>
        <v xml:space="preserve"> </v>
      </c>
      <c r="AN838" s="232" t="str">
        <f t="shared" si="119"/>
        <v xml:space="preserve"> </v>
      </c>
    </row>
    <row r="839" spans="28:40" x14ac:dyDescent="0.25">
      <c r="AB839" s="230" t="e">
        <f>T839-HLOOKUP(V839,Minimas!$C$3:$CD$12,2,FALSE)</f>
        <v>#N/A</v>
      </c>
      <c r="AC839" s="230" t="e">
        <f>T839-HLOOKUP(V839,Minimas!$C$3:$CD$12,3,FALSE)</f>
        <v>#N/A</v>
      </c>
      <c r="AD839" s="230" t="e">
        <f>T839-HLOOKUP(V839,Minimas!$C$3:$CD$12,4,FALSE)</f>
        <v>#N/A</v>
      </c>
      <c r="AE839" s="230" t="e">
        <f>T839-HLOOKUP(V839,Minimas!$C$3:$CD$12,5,FALSE)</f>
        <v>#N/A</v>
      </c>
      <c r="AF839" s="230" t="e">
        <f>T839-HLOOKUP(V839,Minimas!$C$3:$CD$12,6,FALSE)</f>
        <v>#N/A</v>
      </c>
      <c r="AG839" s="230" t="e">
        <f>T839-HLOOKUP(V839,Minimas!$C$3:$CD$12,7,FALSE)</f>
        <v>#N/A</v>
      </c>
      <c r="AH839" s="230" t="e">
        <f>T839-HLOOKUP(V839,Minimas!$C$3:$CD$12,8,FALSE)</f>
        <v>#N/A</v>
      </c>
      <c r="AI839" s="230" t="e">
        <f>T839-HLOOKUP(V839,Minimas!$C$3:$CD$12,9,FALSE)</f>
        <v>#N/A</v>
      </c>
      <c r="AJ839" s="230" t="e">
        <f>T839-HLOOKUP(V839,Minimas!$C$3:$CD$12,10,FALSE)</f>
        <v>#N/A</v>
      </c>
      <c r="AK839" s="231" t="str">
        <f t="shared" si="117"/>
        <v xml:space="preserve"> </v>
      </c>
      <c r="AL839" s="232"/>
      <c r="AM839" s="232" t="str">
        <f t="shared" si="118"/>
        <v xml:space="preserve"> </v>
      </c>
      <c r="AN839" s="232" t="str">
        <f t="shared" si="119"/>
        <v xml:space="preserve"> </v>
      </c>
    </row>
    <row r="840" spans="28:40" x14ac:dyDescent="0.25">
      <c r="AB840" s="230" t="e">
        <f>T840-HLOOKUP(V840,Minimas!$C$3:$CD$12,2,FALSE)</f>
        <v>#N/A</v>
      </c>
      <c r="AC840" s="230" t="e">
        <f>T840-HLOOKUP(V840,Minimas!$C$3:$CD$12,3,FALSE)</f>
        <v>#N/A</v>
      </c>
      <c r="AD840" s="230" t="e">
        <f>T840-HLOOKUP(V840,Minimas!$C$3:$CD$12,4,FALSE)</f>
        <v>#N/A</v>
      </c>
      <c r="AE840" s="230" t="e">
        <f>T840-HLOOKUP(V840,Minimas!$C$3:$CD$12,5,FALSE)</f>
        <v>#N/A</v>
      </c>
      <c r="AF840" s="230" t="e">
        <f>T840-HLOOKUP(V840,Minimas!$C$3:$CD$12,6,FALSE)</f>
        <v>#N/A</v>
      </c>
      <c r="AG840" s="230" t="e">
        <f>T840-HLOOKUP(V840,Minimas!$C$3:$CD$12,7,FALSE)</f>
        <v>#N/A</v>
      </c>
      <c r="AH840" s="230" t="e">
        <f>T840-HLOOKUP(V840,Minimas!$C$3:$CD$12,8,FALSE)</f>
        <v>#N/A</v>
      </c>
      <c r="AI840" s="230" t="e">
        <f>T840-HLOOKUP(V840,Minimas!$C$3:$CD$12,9,FALSE)</f>
        <v>#N/A</v>
      </c>
      <c r="AJ840" s="230" t="e">
        <f>T840-HLOOKUP(V840,Minimas!$C$3:$CD$12,10,FALSE)</f>
        <v>#N/A</v>
      </c>
      <c r="AK840" s="231" t="str">
        <f t="shared" si="117"/>
        <v xml:space="preserve"> </v>
      </c>
      <c r="AL840" s="232"/>
      <c r="AM840" s="232" t="str">
        <f t="shared" si="118"/>
        <v xml:space="preserve"> </v>
      </c>
      <c r="AN840" s="232" t="str">
        <f t="shared" si="119"/>
        <v xml:space="preserve"> </v>
      </c>
    </row>
    <row r="841" spans="28:40" x14ac:dyDescent="0.25">
      <c r="AB841" s="230" t="e">
        <f>T841-HLOOKUP(V841,Minimas!$C$3:$CD$12,2,FALSE)</f>
        <v>#N/A</v>
      </c>
      <c r="AC841" s="230" t="e">
        <f>T841-HLOOKUP(V841,Minimas!$C$3:$CD$12,3,FALSE)</f>
        <v>#N/A</v>
      </c>
      <c r="AD841" s="230" t="e">
        <f>T841-HLOOKUP(V841,Minimas!$C$3:$CD$12,4,FALSE)</f>
        <v>#N/A</v>
      </c>
      <c r="AE841" s="230" t="e">
        <f>T841-HLOOKUP(V841,Minimas!$C$3:$CD$12,5,FALSE)</f>
        <v>#N/A</v>
      </c>
      <c r="AF841" s="230" t="e">
        <f>T841-HLOOKUP(V841,Minimas!$C$3:$CD$12,6,FALSE)</f>
        <v>#N/A</v>
      </c>
      <c r="AG841" s="230" t="e">
        <f>T841-HLOOKUP(V841,Minimas!$C$3:$CD$12,7,FALSE)</f>
        <v>#N/A</v>
      </c>
      <c r="AH841" s="230" t="e">
        <f>T841-HLOOKUP(V841,Minimas!$C$3:$CD$12,8,FALSE)</f>
        <v>#N/A</v>
      </c>
      <c r="AI841" s="230" t="e">
        <f>T841-HLOOKUP(V841,Minimas!$C$3:$CD$12,9,FALSE)</f>
        <v>#N/A</v>
      </c>
      <c r="AJ841" s="230" t="e">
        <f>T841-HLOOKUP(V841,Minimas!$C$3:$CD$12,10,FALSE)</f>
        <v>#N/A</v>
      </c>
      <c r="AK841" s="231" t="str">
        <f t="shared" si="117"/>
        <v xml:space="preserve"> </v>
      </c>
      <c r="AL841" s="232"/>
      <c r="AM841" s="232" t="str">
        <f t="shared" si="118"/>
        <v xml:space="preserve"> </v>
      </c>
      <c r="AN841" s="232" t="str">
        <f t="shared" si="119"/>
        <v xml:space="preserve"> </v>
      </c>
    </row>
    <row r="842" spans="28:40" x14ac:dyDescent="0.25">
      <c r="AB842" s="230" t="e">
        <f>T842-HLOOKUP(V842,Minimas!$C$3:$CD$12,2,FALSE)</f>
        <v>#N/A</v>
      </c>
      <c r="AC842" s="230" t="e">
        <f>T842-HLOOKUP(V842,Minimas!$C$3:$CD$12,3,FALSE)</f>
        <v>#N/A</v>
      </c>
      <c r="AD842" s="230" t="e">
        <f>T842-HLOOKUP(V842,Minimas!$C$3:$CD$12,4,FALSE)</f>
        <v>#N/A</v>
      </c>
      <c r="AE842" s="230" t="e">
        <f>T842-HLOOKUP(V842,Minimas!$C$3:$CD$12,5,FALSE)</f>
        <v>#N/A</v>
      </c>
      <c r="AF842" s="230" t="e">
        <f>T842-HLOOKUP(V842,Minimas!$C$3:$CD$12,6,FALSE)</f>
        <v>#N/A</v>
      </c>
      <c r="AG842" s="230" t="e">
        <f>T842-HLOOKUP(V842,Minimas!$C$3:$CD$12,7,FALSE)</f>
        <v>#N/A</v>
      </c>
      <c r="AH842" s="230" t="e">
        <f>T842-HLOOKUP(V842,Minimas!$C$3:$CD$12,8,FALSE)</f>
        <v>#N/A</v>
      </c>
      <c r="AI842" s="230" t="e">
        <f>T842-HLOOKUP(V842,Minimas!$C$3:$CD$12,9,FALSE)</f>
        <v>#N/A</v>
      </c>
      <c r="AJ842" s="230" t="e">
        <f>T842-HLOOKUP(V842,Minimas!$C$3:$CD$12,10,FALSE)</f>
        <v>#N/A</v>
      </c>
      <c r="AK842" s="231" t="str">
        <f t="shared" si="117"/>
        <v xml:space="preserve"> </v>
      </c>
      <c r="AL842" s="232"/>
      <c r="AM842" s="232" t="str">
        <f t="shared" si="118"/>
        <v xml:space="preserve"> </v>
      </c>
      <c r="AN842" s="232" t="str">
        <f t="shared" si="119"/>
        <v xml:space="preserve"> </v>
      </c>
    </row>
    <row r="843" spans="28:40" x14ac:dyDescent="0.25">
      <c r="AB843" s="230" t="e">
        <f>T843-HLOOKUP(V843,Minimas!$C$3:$CD$12,2,FALSE)</f>
        <v>#N/A</v>
      </c>
      <c r="AC843" s="230" t="e">
        <f>T843-HLOOKUP(V843,Minimas!$C$3:$CD$12,3,FALSE)</f>
        <v>#N/A</v>
      </c>
      <c r="AD843" s="230" t="e">
        <f>T843-HLOOKUP(V843,Minimas!$C$3:$CD$12,4,FALSE)</f>
        <v>#N/A</v>
      </c>
      <c r="AE843" s="230" t="e">
        <f>T843-HLOOKUP(V843,Minimas!$C$3:$CD$12,5,FALSE)</f>
        <v>#N/A</v>
      </c>
      <c r="AF843" s="230" t="e">
        <f>T843-HLOOKUP(V843,Minimas!$C$3:$CD$12,6,FALSE)</f>
        <v>#N/A</v>
      </c>
      <c r="AG843" s="230" t="e">
        <f>T843-HLOOKUP(V843,Minimas!$C$3:$CD$12,7,FALSE)</f>
        <v>#N/A</v>
      </c>
      <c r="AH843" s="230" t="e">
        <f>T843-HLOOKUP(V843,Minimas!$C$3:$CD$12,8,FALSE)</f>
        <v>#N/A</v>
      </c>
      <c r="AI843" s="230" t="e">
        <f>T843-HLOOKUP(V843,Minimas!$C$3:$CD$12,9,FALSE)</f>
        <v>#N/A</v>
      </c>
      <c r="AJ843" s="230" t="e">
        <f>T843-HLOOKUP(V843,Minimas!$C$3:$CD$12,10,FALSE)</f>
        <v>#N/A</v>
      </c>
      <c r="AK843" s="231" t="str">
        <f t="shared" si="117"/>
        <v xml:space="preserve"> </v>
      </c>
      <c r="AL843" s="232"/>
      <c r="AM843" s="232" t="str">
        <f t="shared" si="118"/>
        <v xml:space="preserve"> </v>
      </c>
      <c r="AN843" s="232" t="str">
        <f t="shared" si="119"/>
        <v xml:space="preserve"> </v>
      </c>
    </row>
    <row r="844" spans="28:40" x14ac:dyDescent="0.25">
      <c r="AB844" s="230" t="e">
        <f>T844-HLOOKUP(V844,Minimas!$C$3:$CD$12,2,FALSE)</f>
        <v>#N/A</v>
      </c>
      <c r="AC844" s="230" t="e">
        <f>T844-HLOOKUP(V844,Minimas!$C$3:$CD$12,3,FALSE)</f>
        <v>#N/A</v>
      </c>
      <c r="AD844" s="230" t="e">
        <f>T844-HLOOKUP(V844,Minimas!$C$3:$CD$12,4,FALSE)</f>
        <v>#N/A</v>
      </c>
      <c r="AE844" s="230" t="e">
        <f>T844-HLOOKUP(V844,Minimas!$C$3:$CD$12,5,FALSE)</f>
        <v>#N/A</v>
      </c>
      <c r="AF844" s="230" t="e">
        <f>T844-HLOOKUP(V844,Minimas!$C$3:$CD$12,6,FALSE)</f>
        <v>#N/A</v>
      </c>
      <c r="AG844" s="230" t="e">
        <f>T844-HLOOKUP(V844,Minimas!$C$3:$CD$12,7,FALSE)</f>
        <v>#N/A</v>
      </c>
      <c r="AH844" s="230" t="e">
        <f>T844-HLOOKUP(V844,Minimas!$C$3:$CD$12,8,FALSE)</f>
        <v>#N/A</v>
      </c>
      <c r="AI844" s="230" t="e">
        <f>T844-HLOOKUP(V844,Minimas!$C$3:$CD$12,9,FALSE)</f>
        <v>#N/A</v>
      </c>
      <c r="AJ844" s="230" t="e">
        <f>T844-HLOOKUP(V844,Minimas!$C$3:$CD$12,10,FALSE)</f>
        <v>#N/A</v>
      </c>
      <c r="AK844" s="231" t="str">
        <f t="shared" si="117"/>
        <v xml:space="preserve"> </v>
      </c>
      <c r="AL844" s="232"/>
      <c r="AM844" s="232" t="str">
        <f t="shared" si="118"/>
        <v xml:space="preserve"> </v>
      </c>
      <c r="AN844" s="232" t="str">
        <f t="shared" si="119"/>
        <v xml:space="preserve"> </v>
      </c>
    </row>
    <row r="845" spans="28:40" x14ac:dyDescent="0.25">
      <c r="AB845" s="230" t="e">
        <f>T845-HLOOKUP(V845,Minimas!$C$3:$CD$12,2,FALSE)</f>
        <v>#N/A</v>
      </c>
      <c r="AC845" s="230" t="e">
        <f>T845-HLOOKUP(V845,Minimas!$C$3:$CD$12,3,FALSE)</f>
        <v>#N/A</v>
      </c>
      <c r="AD845" s="230" t="e">
        <f>T845-HLOOKUP(V845,Minimas!$C$3:$CD$12,4,FALSE)</f>
        <v>#N/A</v>
      </c>
      <c r="AE845" s="230" t="e">
        <f>T845-HLOOKUP(V845,Minimas!$C$3:$CD$12,5,FALSE)</f>
        <v>#N/A</v>
      </c>
      <c r="AF845" s="230" t="e">
        <f>T845-HLOOKUP(V845,Minimas!$C$3:$CD$12,6,FALSE)</f>
        <v>#N/A</v>
      </c>
      <c r="AG845" s="230" t="e">
        <f>T845-HLOOKUP(V845,Minimas!$C$3:$CD$12,7,FALSE)</f>
        <v>#N/A</v>
      </c>
      <c r="AH845" s="230" t="e">
        <f>T845-HLOOKUP(V845,Minimas!$C$3:$CD$12,8,FALSE)</f>
        <v>#N/A</v>
      </c>
      <c r="AI845" s="230" t="e">
        <f>T845-HLOOKUP(V845,Minimas!$C$3:$CD$12,9,FALSE)</f>
        <v>#N/A</v>
      </c>
      <c r="AJ845" s="230" t="e">
        <f>T845-HLOOKUP(V845,Minimas!$C$3:$CD$12,10,FALSE)</f>
        <v>#N/A</v>
      </c>
      <c r="AK845" s="231" t="str">
        <f t="shared" si="117"/>
        <v xml:space="preserve"> </v>
      </c>
      <c r="AL845" s="232"/>
      <c r="AM845" s="232" t="str">
        <f t="shared" si="118"/>
        <v xml:space="preserve"> </v>
      </c>
      <c r="AN845" s="232" t="str">
        <f t="shared" si="119"/>
        <v xml:space="preserve"> </v>
      </c>
    </row>
    <row r="846" spans="28:40" x14ac:dyDescent="0.25">
      <c r="AB846" s="230" t="e">
        <f>T846-HLOOKUP(V846,Minimas!$C$3:$CD$12,2,FALSE)</f>
        <v>#N/A</v>
      </c>
      <c r="AC846" s="230" t="e">
        <f>T846-HLOOKUP(V846,Minimas!$C$3:$CD$12,3,FALSE)</f>
        <v>#N/A</v>
      </c>
      <c r="AD846" s="230" t="e">
        <f>T846-HLOOKUP(V846,Minimas!$C$3:$CD$12,4,FALSE)</f>
        <v>#N/A</v>
      </c>
      <c r="AE846" s="230" t="e">
        <f>T846-HLOOKUP(V846,Minimas!$C$3:$CD$12,5,FALSE)</f>
        <v>#N/A</v>
      </c>
      <c r="AF846" s="230" t="e">
        <f>T846-HLOOKUP(V846,Minimas!$C$3:$CD$12,6,FALSE)</f>
        <v>#N/A</v>
      </c>
      <c r="AG846" s="230" t="e">
        <f>T846-HLOOKUP(V846,Minimas!$C$3:$CD$12,7,FALSE)</f>
        <v>#N/A</v>
      </c>
      <c r="AH846" s="230" t="e">
        <f>T846-HLOOKUP(V846,Minimas!$C$3:$CD$12,8,FALSE)</f>
        <v>#N/A</v>
      </c>
      <c r="AI846" s="230" t="e">
        <f>T846-HLOOKUP(V846,Minimas!$C$3:$CD$12,9,FALSE)</f>
        <v>#N/A</v>
      </c>
      <c r="AJ846" s="230" t="e">
        <f>T846-HLOOKUP(V846,Minimas!$C$3:$CD$12,10,FALSE)</f>
        <v>#N/A</v>
      </c>
      <c r="AK846" s="231" t="str">
        <f t="shared" si="117"/>
        <v xml:space="preserve"> </v>
      </c>
      <c r="AL846" s="232"/>
      <c r="AM846" s="232" t="str">
        <f t="shared" si="118"/>
        <v xml:space="preserve"> </v>
      </c>
      <c r="AN846" s="232" t="str">
        <f t="shared" si="119"/>
        <v xml:space="preserve"> </v>
      </c>
    </row>
    <row r="847" spans="28:40" x14ac:dyDescent="0.25">
      <c r="AB847" s="230" t="e">
        <f>T847-HLOOKUP(V847,Minimas!$C$3:$CD$12,2,FALSE)</f>
        <v>#N/A</v>
      </c>
      <c r="AC847" s="230" t="e">
        <f>T847-HLOOKUP(V847,Minimas!$C$3:$CD$12,3,FALSE)</f>
        <v>#N/A</v>
      </c>
      <c r="AD847" s="230" t="e">
        <f>T847-HLOOKUP(V847,Minimas!$C$3:$CD$12,4,FALSE)</f>
        <v>#N/A</v>
      </c>
      <c r="AE847" s="230" t="e">
        <f>T847-HLOOKUP(V847,Minimas!$C$3:$CD$12,5,FALSE)</f>
        <v>#N/A</v>
      </c>
      <c r="AF847" s="230" t="e">
        <f>T847-HLOOKUP(V847,Minimas!$C$3:$CD$12,6,FALSE)</f>
        <v>#N/A</v>
      </c>
      <c r="AG847" s="230" t="e">
        <f>T847-HLOOKUP(V847,Minimas!$C$3:$CD$12,7,FALSE)</f>
        <v>#N/A</v>
      </c>
      <c r="AH847" s="230" t="e">
        <f>T847-HLOOKUP(V847,Minimas!$C$3:$CD$12,8,FALSE)</f>
        <v>#N/A</v>
      </c>
      <c r="AI847" s="230" t="e">
        <f>T847-HLOOKUP(V847,Minimas!$C$3:$CD$12,9,FALSE)</f>
        <v>#N/A</v>
      </c>
      <c r="AJ847" s="230" t="e">
        <f>T847-HLOOKUP(V847,Minimas!$C$3:$CD$12,10,FALSE)</f>
        <v>#N/A</v>
      </c>
      <c r="AK847" s="231" t="str">
        <f t="shared" si="117"/>
        <v xml:space="preserve"> </v>
      </c>
      <c r="AL847" s="232"/>
      <c r="AM847" s="232" t="str">
        <f t="shared" si="118"/>
        <v xml:space="preserve"> </v>
      </c>
      <c r="AN847" s="232" t="str">
        <f t="shared" si="119"/>
        <v xml:space="preserve"> </v>
      </c>
    </row>
    <row r="848" spans="28:40" x14ac:dyDescent="0.25">
      <c r="AB848" s="230" t="e">
        <f>T848-HLOOKUP(V848,Minimas!$C$3:$CD$12,2,FALSE)</f>
        <v>#N/A</v>
      </c>
      <c r="AC848" s="230" t="e">
        <f>T848-HLOOKUP(V848,Minimas!$C$3:$CD$12,3,FALSE)</f>
        <v>#N/A</v>
      </c>
      <c r="AD848" s="230" t="e">
        <f>T848-HLOOKUP(V848,Minimas!$C$3:$CD$12,4,FALSE)</f>
        <v>#N/A</v>
      </c>
      <c r="AE848" s="230" t="e">
        <f>T848-HLOOKUP(V848,Minimas!$C$3:$CD$12,5,FALSE)</f>
        <v>#N/A</v>
      </c>
      <c r="AF848" s="230" t="e">
        <f>T848-HLOOKUP(V848,Minimas!$C$3:$CD$12,6,FALSE)</f>
        <v>#N/A</v>
      </c>
      <c r="AG848" s="230" t="e">
        <f>T848-HLOOKUP(V848,Minimas!$C$3:$CD$12,7,FALSE)</f>
        <v>#N/A</v>
      </c>
      <c r="AH848" s="230" t="e">
        <f>T848-HLOOKUP(V848,Minimas!$C$3:$CD$12,8,FALSE)</f>
        <v>#N/A</v>
      </c>
      <c r="AI848" s="230" t="e">
        <f>T848-HLOOKUP(V848,Minimas!$C$3:$CD$12,9,FALSE)</f>
        <v>#N/A</v>
      </c>
      <c r="AJ848" s="230" t="e">
        <f>T848-HLOOKUP(V848,Minimas!$C$3:$CD$12,10,FALSE)</f>
        <v>#N/A</v>
      </c>
      <c r="AK848" s="231" t="str">
        <f t="shared" si="117"/>
        <v xml:space="preserve"> </v>
      </c>
      <c r="AL848" s="232"/>
      <c r="AM848" s="232" t="str">
        <f t="shared" si="118"/>
        <v xml:space="preserve"> </v>
      </c>
      <c r="AN848" s="232" t="str">
        <f t="shared" si="119"/>
        <v xml:space="preserve"> </v>
      </c>
    </row>
    <row r="849" spans="28:40" x14ac:dyDescent="0.25">
      <c r="AB849" s="230" t="e">
        <f>T849-HLOOKUP(V849,Minimas!$C$3:$CD$12,2,FALSE)</f>
        <v>#N/A</v>
      </c>
      <c r="AC849" s="230" t="e">
        <f>T849-HLOOKUP(V849,Minimas!$C$3:$CD$12,3,FALSE)</f>
        <v>#N/A</v>
      </c>
      <c r="AD849" s="230" t="e">
        <f>T849-HLOOKUP(V849,Minimas!$C$3:$CD$12,4,FALSE)</f>
        <v>#N/A</v>
      </c>
      <c r="AE849" s="230" t="e">
        <f>T849-HLOOKUP(V849,Minimas!$C$3:$CD$12,5,FALSE)</f>
        <v>#N/A</v>
      </c>
      <c r="AF849" s="230" t="e">
        <f>T849-HLOOKUP(V849,Minimas!$C$3:$CD$12,6,FALSE)</f>
        <v>#N/A</v>
      </c>
      <c r="AG849" s="230" t="e">
        <f>T849-HLOOKUP(V849,Minimas!$C$3:$CD$12,7,FALSE)</f>
        <v>#N/A</v>
      </c>
      <c r="AH849" s="230" t="e">
        <f>T849-HLOOKUP(V849,Minimas!$C$3:$CD$12,8,FALSE)</f>
        <v>#N/A</v>
      </c>
      <c r="AI849" s="230" t="e">
        <f>T849-HLOOKUP(V849,Minimas!$C$3:$CD$12,9,FALSE)</f>
        <v>#N/A</v>
      </c>
      <c r="AJ849" s="230" t="e">
        <f>T849-HLOOKUP(V849,Minimas!$C$3:$CD$12,10,FALSE)</f>
        <v>#N/A</v>
      </c>
      <c r="AK849" s="231" t="str">
        <f t="shared" si="117"/>
        <v xml:space="preserve"> </v>
      </c>
      <c r="AL849" s="232"/>
      <c r="AM849" s="232" t="str">
        <f t="shared" si="118"/>
        <v xml:space="preserve"> </v>
      </c>
      <c r="AN849" s="232" t="str">
        <f t="shared" si="119"/>
        <v xml:space="preserve"> </v>
      </c>
    </row>
    <row r="850" spans="28:40" x14ac:dyDescent="0.25">
      <c r="AB850" s="230" t="e">
        <f>T850-HLOOKUP(V850,Minimas!$C$3:$CD$12,2,FALSE)</f>
        <v>#N/A</v>
      </c>
      <c r="AC850" s="230" t="e">
        <f>T850-HLOOKUP(V850,Minimas!$C$3:$CD$12,3,FALSE)</f>
        <v>#N/A</v>
      </c>
      <c r="AD850" s="230" t="e">
        <f>T850-HLOOKUP(V850,Minimas!$C$3:$CD$12,4,FALSE)</f>
        <v>#N/A</v>
      </c>
      <c r="AE850" s="230" t="e">
        <f>T850-HLOOKUP(V850,Minimas!$C$3:$CD$12,5,FALSE)</f>
        <v>#N/A</v>
      </c>
      <c r="AF850" s="230" t="e">
        <f>T850-HLOOKUP(V850,Minimas!$C$3:$CD$12,6,FALSE)</f>
        <v>#N/A</v>
      </c>
      <c r="AG850" s="230" t="e">
        <f>T850-HLOOKUP(V850,Minimas!$C$3:$CD$12,7,FALSE)</f>
        <v>#N/A</v>
      </c>
      <c r="AH850" s="230" t="e">
        <f>T850-HLOOKUP(V850,Minimas!$C$3:$CD$12,8,FALSE)</f>
        <v>#N/A</v>
      </c>
      <c r="AI850" s="230" t="e">
        <f>T850-HLOOKUP(V850,Minimas!$C$3:$CD$12,9,FALSE)</f>
        <v>#N/A</v>
      </c>
      <c r="AJ850" s="230" t="e">
        <f>T850-HLOOKUP(V850,Minimas!$C$3:$CD$12,10,FALSE)</f>
        <v>#N/A</v>
      </c>
      <c r="AK850" s="231" t="str">
        <f t="shared" si="117"/>
        <v xml:space="preserve"> </v>
      </c>
      <c r="AL850" s="232"/>
      <c r="AM850" s="232" t="str">
        <f t="shared" si="118"/>
        <v xml:space="preserve"> </v>
      </c>
      <c r="AN850" s="232" t="str">
        <f t="shared" si="119"/>
        <v xml:space="preserve"> </v>
      </c>
    </row>
    <row r="851" spans="28:40" x14ac:dyDescent="0.25">
      <c r="AB851" s="230" t="e">
        <f>T851-HLOOKUP(V851,Minimas!$C$3:$CD$12,2,FALSE)</f>
        <v>#N/A</v>
      </c>
      <c r="AC851" s="230" t="e">
        <f>T851-HLOOKUP(V851,Minimas!$C$3:$CD$12,3,FALSE)</f>
        <v>#N/A</v>
      </c>
      <c r="AD851" s="230" t="e">
        <f>T851-HLOOKUP(V851,Minimas!$C$3:$CD$12,4,FALSE)</f>
        <v>#N/A</v>
      </c>
      <c r="AE851" s="230" t="e">
        <f>T851-HLOOKUP(V851,Minimas!$C$3:$CD$12,5,FALSE)</f>
        <v>#N/A</v>
      </c>
      <c r="AF851" s="230" t="e">
        <f>T851-HLOOKUP(V851,Minimas!$C$3:$CD$12,6,FALSE)</f>
        <v>#N/A</v>
      </c>
      <c r="AG851" s="230" t="e">
        <f>T851-HLOOKUP(V851,Minimas!$C$3:$CD$12,7,FALSE)</f>
        <v>#N/A</v>
      </c>
      <c r="AH851" s="230" t="e">
        <f>T851-HLOOKUP(V851,Minimas!$C$3:$CD$12,8,FALSE)</f>
        <v>#N/A</v>
      </c>
      <c r="AI851" s="230" t="e">
        <f>T851-HLOOKUP(V851,Minimas!$C$3:$CD$12,9,FALSE)</f>
        <v>#N/A</v>
      </c>
      <c r="AJ851" s="230" t="e">
        <f>T851-HLOOKUP(V851,Minimas!$C$3:$CD$12,10,FALSE)</f>
        <v>#N/A</v>
      </c>
      <c r="AK851" s="231" t="str">
        <f t="shared" si="117"/>
        <v xml:space="preserve"> </v>
      </c>
      <c r="AL851" s="232"/>
      <c r="AM851" s="232" t="str">
        <f t="shared" si="118"/>
        <v xml:space="preserve"> </v>
      </c>
      <c r="AN851" s="232" t="str">
        <f t="shared" si="119"/>
        <v xml:space="preserve"> </v>
      </c>
    </row>
    <row r="852" spans="28:40" x14ac:dyDescent="0.25">
      <c r="AB852" s="230" t="e">
        <f>T852-HLOOKUP(V852,Minimas!$C$3:$CD$12,2,FALSE)</f>
        <v>#N/A</v>
      </c>
      <c r="AC852" s="230" t="e">
        <f>T852-HLOOKUP(V852,Minimas!$C$3:$CD$12,3,FALSE)</f>
        <v>#N/A</v>
      </c>
      <c r="AD852" s="230" t="e">
        <f>T852-HLOOKUP(V852,Minimas!$C$3:$CD$12,4,FALSE)</f>
        <v>#N/A</v>
      </c>
      <c r="AE852" s="230" t="e">
        <f>T852-HLOOKUP(V852,Minimas!$C$3:$CD$12,5,FALSE)</f>
        <v>#N/A</v>
      </c>
      <c r="AF852" s="230" t="e">
        <f>T852-HLOOKUP(V852,Minimas!$C$3:$CD$12,6,FALSE)</f>
        <v>#N/A</v>
      </c>
      <c r="AG852" s="230" t="e">
        <f>T852-HLOOKUP(V852,Minimas!$C$3:$CD$12,7,FALSE)</f>
        <v>#N/A</v>
      </c>
      <c r="AH852" s="230" t="e">
        <f>T852-HLOOKUP(V852,Minimas!$C$3:$CD$12,8,FALSE)</f>
        <v>#N/A</v>
      </c>
      <c r="AI852" s="230" t="e">
        <f>T852-HLOOKUP(V852,Minimas!$C$3:$CD$12,9,FALSE)</f>
        <v>#N/A</v>
      </c>
      <c r="AJ852" s="230" t="e">
        <f>T852-HLOOKUP(V852,Minimas!$C$3:$CD$12,10,FALSE)</f>
        <v>#N/A</v>
      </c>
      <c r="AK852" s="231" t="str">
        <f t="shared" si="117"/>
        <v xml:space="preserve"> </v>
      </c>
      <c r="AL852" s="232"/>
      <c r="AM852" s="232" t="str">
        <f t="shared" si="118"/>
        <v xml:space="preserve"> </v>
      </c>
      <c r="AN852" s="232" t="str">
        <f t="shared" si="119"/>
        <v xml:space="preserve"> </v>
      </c>
    </row>
    <row r="853" spans="28:40" x14ac:dyDescent="0.25">
      <c r="AB853" s="230" t="e">
        <f>T853-HLOOKUP(V853,Minimas!$C$3:$CD$12,2,FALSE)</f>
        <v>#N/A</v>
      </c>
      <c r="AC853" s="230" t="e">
        <f>T853-HLOOKUP(V853,Minimas!$C$3:$CD$12,3,FALSE)</f>
        <v>#N/A</v>
      </c>
      <c r="AD853" s="230" t="e">
        <f>T853-HLOOKUP(V853,Minimas!$C$3:$CD$12,4,FALSE)</f>
        <v>#N/A</v>
      </c>
      <c r="AE853" s="230" t="e">
        <f>T853-HLOOKUP(V853,Minimas!$C$3:$CD$12,5,FALSE)</f>
        <v>#N/A</v>
      </c>
      <c r="AF853" s="230" t="e">
        <f>T853-HLOOKUP(V853,Minimas!$C$3:$CD$12,6,FALSE)</f>
        <v>#N/A</v>
      </c>
      <c r="AG853" s="230" t="e">
        <f>T853-HLOOKUP(V853,Minimas!$C$3:$CD$12,7,FALSE)</f>
        <v>#N/A</v>
      </c>
      <c r="AH853" s="230" t="e">
        <f>T853-HLOOKUP(V853,Minimas!$C$3:$CD$12,8,FALSE)</f>
        <v>#N/A</v>
      </c>
      <c r="AI853" s="230" t="e">
        <f>T853-HLOOKUP(V853,Minimas!$C$3:$CD$12,9,FALSE)</f>
        <v>#N/A</v>
      </c>
      <c r="AJ853" s="230" t="e">
        <f>T853-HLOOKUP(V853,Minimas!$C$3:$CD$12,10,FALSE)</f>
        <v>#N/A</v>
      </c>
      <c r="AK853" s="231" t="str">
        <f t="shared" si="117"/>
        <v xml:space="preserve"> </v>
      </c>
      <c r="AL853" s="232"/>
      <c r="AM853" s="232" t="str">
        <f t="shared" si="118"/>
        <v xml:space="preserve"> </v>
      </c>
      <c r="AN853" s="232" t="str">
        <f t="shared" si="119"/>
        <v xml:space="preserve"> </v>
      </c>
    </row>
    <row r="854" spans="28:40" x14ac:dyDescent="0.25">
      <c r="AB854" s="230" t="e">
        <f>T854-HLOOKUP(V854,Minimas!$C$3:$CD$12,2,FALSE)</f>
        <v>#N/A</v>
      </c>
      <c r="AC854" s="230" t="e">
        <f>T854-HLOOKUP(V854,Minimas!$C$3:$CD$12,3,FALSE)</f>
        <v>#N/A</v>
      </c>
      <c r="AD854" s="230" t="e">
        <f>T854-HLOOKUP(V854,Minimas!$C$3:$CD$12,4,FALSE)</f>
        <v>#N/A</v>
      </c>
      <c r="AE854" s="230" t="e">
        <f>T854-HLOOKUP(V854,Minimas!$C$3:$CD$12,5,FALSE)</f>
        <v>#N/A</v>
      </c>
      <c r="AF854" s="230" t="e">
        <f>T854-HLOOKUP(V854,Minimas!$C$3:$CD$12,6,FALSE)</f>
        <v>#N/A</v>
      </c>
      <c r="AG854" s="230" t="e">
        <f>T854-HLOOKUP(V854,Minimas!$C$3:$CD$12,7,FALSE)</f>
        <v>#N/A</v>
      </c>
      <c r="AH854" s="230" t="e">
        <f>T854-HLOOKUP(V854,Minimas!$C$3:$CD$12,8,FALSE)</f>
        <v>#N/A</v>
      </c>
      <c r="AI854" s="230" t="e">
        <f>T854-HLOOKUP(V854,Minimas!$C$3:$CD$12,9,FALSE)</f>
        <v>#N/A</v>
      </c>
      <c r="AJ854" s="230" t="e">
        <f>T854-HLOOKUP(V854,Minimas!$C$3:$CD$12,10,FALSE)</f>
        <v>#N/A</v>
      </c>
      <c r="AK854" s="231" t="str">
        <f t="shared" si="117"/>
        <v xml:space="preserve"> </v>
      </c>
      <c r="AL854" s="232"/>
      <c r="AM854" s="232" t="str">
        <f t="shared" si="118"/>
        <v xml:space="preserve"> </v>
      </c>
      <c r="AN854" s="232" t="str">
        <f t="shared" si="119"/>
        <v xml:space="preserve"> </v>
      </c>
    </row>
    <row r="855" spans="28:40" x14ac:dyDescent="0.25">
      <c r="AB855" s="230" t="e">
        <f>T855-HLOOKUP(V855,Minimas!$C$3:$CD$12,2,FALSE)</f>
        <v>#N/A</v>
      </c>
      <c r="AC855" s="230" t="e">
        <f>T855-HLOOKUP(V855,Minimas!$C$3:$CD$12,3,FALSE)</f>
        <v>#N/A</v>
      </c>
      <c r="AD855" s="230" t="e">
        <f>T855-HLOOKUP(V855,Minimas!$C$3:$CD$12,4,FALSE)</f>
        <v>#N/A</v>
      </c>
      <c r="AE855" s="230" t="e">
        <f>T855-HLOOKUP(V855,Minimas!$C$3:$CD$12,5,FALSE)</f>
        <v>#N/A</v>
      </c>
      <c r="AF855" s="230" t="e">
        <f>T855-HLOOKUP(V855,Minimas!$C$3:$CD$12,6,FALSE)</f>
        <v>#N/A</v>
      </c>
      <c r="AG855" s="230" t="e">
        <f>T855-HLOOKUP(V855,Minimas!$C$3:$CD$12,7,FALSE)</f>
        <v>#N/A</v>
      </c>
      <c r="AH855" s="230" t="e">
        <f>T855-HLOOKUP(V855,Minimas!$C$3:$CD$12,8,FALSE)</f>
        <v>#N/A</v>
      </c>
      <c r="AI855" s="230" t="e">
        <f>T855-HLOOKUP(V855,Minimas!$C$3:$CD$12,9,FALSE)</f>
        <v>#N/A</v>
      </c>
      <c r="AJ855" s="230" t="e">
        <f>T855-HLOOKUP(V855,Minimas!$C$3:$CD$12,10,FALSE)</f>
        <v>#N/A</v>
      </c>
      <c r="AK855" s="231" t="str">
        <f t="shared" si="117"/>
        <v xml:space="preserve"> </v>
      </c>
      <c r="AL855" s="232"/>
      <c r="AM855" s="232" t="str">
        <f t="shared" si="118"/>
        <v xml:space="preserve"> </v>
      </c>
      <c r="AN855" s="232" t="str">
        <f t="shared" si="119"/>
        <v xml:space="preserve"> </v>
      </c>
    </row>
    <row r="856" spans="28:40" x14ac:dyDescent="0.25">
      <c r="AB856" s="230" t="e">
        <f>T856-HLOOKUP(V856,Minimas!$C$3:$CD$12,2,FALSE)</f>
        <v>#N/A</v>
      </c>
      <c r="AC856" s="230" t="e">
        <f>T856-HLOOKUP(V856,Minimas!$C$3:$CD$12,3,FALSE)</f>
        <v>#N/A</v>
      </c>
      <c r="AD856" s="230" t="e">
        <f>T856-HLOOKUP(V856,Minimas!$C$3:$CD$12,4,FALSE)</f>
        <v>#N/A</v>
      </c>
      <c r="AE856" s="230" t="e">
        <f>T856-HLOOKUP(V856,Minimas!$C$3:$CD$12,5,FALSE)</f>
        <v>#N/A</v>
      </c>
      <c r="AF856" s="230" t="e">
        <f>T856-HLOOKUP(V856,Minimas!$C$3:$CD$12,6,FALSE)</f>
        <v>#N/A</v>
      </c>
      <c r="AG856" s="230" t="e">
        <f>T856-HLOOKUP(V856,Minimas!$C$3:$CD$12,7,FALSE)</f>
        <v>#N/A</v>
      </c>
      <c r="AH856" s="230" t="e">
        <f>T856-HLOOKUP(V856,Minimas!$C$3:$CD$12,8,FALSE)</f>
        <v>#N/A</v>
      </c>
      <c r="AI856" s="230" t="e">
        <f>T856-HLOOKUP(V856,Minimas!$C$3:$CD$12,9,FALSE)</f>
        <v>#N/A</v>
      </c>
      <c r="AJ856" s="230" t="e">
        <f>T856-HLOOKUP(V856,Minimas!$C$3:$CD$12,10,FALSE)</f>
        <v>#N/A</v>
      </c>
      <c r="AK856" s="231" t="str">
        <f t="shared" si="117"/>
        <v xml:space="preserve"> </v>
      </c>
      <c r="AL856" s="232"/>
      <c r="AM856" s="232" t="str">
        <f t="shared" si="118"/>
        <v xml:space="preserve"> </v>
      </c>
      <c r="AN856" s="232" t="str">
        <f t="shared" si="119"/>
        <v xml:space="preserve"> </v>
      </c>
    </row>
    <row r="857" spans="28:40" x14ac:dyDescent="0.25">
      <c r="AB857" s="230" t="e">
        <f>T857-HLOOKUP(V857,Minimas!$C$3:$CD$12,2,FALSE)</f>
        <v>#N/A</v>
      </c>
      <c r="AC857" s="230" t="e">
        <f>T857-HLOOKUP(V857,Minimas!$C$3:$CD$12,3,FALSE)</f>
        <v>#N/A</v>
      </c>
      <c r="AD857" s="230" t="e">
        <f>T857-HLOOKUP(V857,Minimas!$C$3:$CD$12,4,FALSE)</f>
        <v>#N/A</v>
      </c>
      <c r="AE857" s="230" t="e">
        <f>T857-HLOOKUP(V857,Minimas!$C$3:$CD$12,5,FALSE)</f>
        <v>#N/A</v>
      </c>
      <c r="AF857" s="230" t="e">
        <f>T857-HLOOKUP(V857,Minimas!$C$3:$CD$12,6,FALSE)</f>
        <v>#N/A</v>
      </c>
      <c r="AG857" s="230" t="e">
        <f>T857-HLOOKUP(V857,Minimas!$C$3:$CD$12,7,FALSE)</f>
        <v>#N/A</v>
      </c>
      <c r="AH857" s="230" t="e">
        <f>T857-HLOOKUP(V857,Minimas!$C$3:$CD$12,8,FALSE)</f>
        <v>#N/A</v>
      </c>
      <c r="AI857" s="230" t="e">
        <f>T857-HLOOKUP(V857,Minimas!$C$3:$CD$12,9,FALSE)</f>
        <v>#N/A</v>
      </c>
      <c r="AJ857" s="230" t="e">
        <f>T857-HLOOKUP(V857,Minimas!$C$3:$CD$12,10,FALSE)</f>
        <v>#N/A</v>
      </c>
      <c r="AK857" s="231" t="str">
        <f t="shared" si="117"/>
        <v xml:space="preserve"> </v>
      </c>
      <c r="AL857" s="232"/>
      <c r="AM857" s="232" t="str">
        <f t="shared" si="118"/>
        <v xml:space="preserve"> </v>
      </c>
      <c r="AN857" s="232" t="str">
        <f t="shared" si="119"/>
        <v xml:space="preserve"> </v>
      </c>
    </row>
    <row r="858" spans="28:40" x14ac:dyDescent="0.25">
      <c r="AB858" s="230" t="e">
        <f>T858-HLOOKUP(V858,Minimas!$C$3:$CD$12,2,FALSE)</f>
        <v>#N/A</v>
      </c>
      <c r="AC858" s="230" t="e">
        <f>T858-HLOOKUP(V858,Minimas!$C$3:$CD$12,3,FALSE)</f>
        <v>#N/A</v>
      </c>
      <c r="AD858" s="230" t="e">
        <f>T858-HLOOKUP(V858,Minimas!$C$3:$CD$12,4,FALSE)</f>
        <v>#N/A</v>
      </c>
      <c r="AE858" s="230" t="e">
        <f>T858-HLOOKUP(V858,Minimas!$C$3:$CD$12,5,FALSE)</f>
        <v>#N/A</v>
      </c>
      <c r="AF858" s="230" t="e">
        <f>T858-HLOOKUP(V858,Minimas!$C$3:$CD$12,6,FALSE)</f>
        <v>#N/A</v>
      </c>
      <c r="AG858" s="230" t="e">
        <f>T858-HLOOKUP(V858,Minimas!$C$3:$CD$12,7,FALSE)</f>
        <v>#N/A</v>
      </c>
      <c r="AH858" s="230" t="e">
        <f>T858-HLOOKUP(V858,Minimas!$C$3:$CD$12,8,FALSE)</f>
        <v>#N/A</v>
      </c>
      <c r="AI858" s="230" t="e">
        <f>T858-HLOOKUP(V858,Minimas!$C$3:$CD$12,9,FALSE)</f>
        <v>#N/A</v>
      </c>
      <c r="AJ858" s="230" t="e">
        <f>T858-HLOOKUP(V858,Minimas!$C$3:$CD$12,10,FALSE)</f>
        <v>#N/A</v>
      </c>
      <c r="AK858" s="231" t="str">
        <f t="shared" si="117"/>
        <v xml:space="preserve"> </v>
      </c>
      <c r="AL858" s="232"/>
      <c r="AM858" s="232" t="str">
        <f t="shared" si="118"/>
        <v xml:space="preserve"> </v>
      </c>
      <c r="AN858" s="232" t="str">
        <f t="shared" si="119"/>
        <v xml:space="preserve"> </v>
      </c>
    </row>
    <row r="859" spans="28:40" x14ac:dyDescent="0.25">
      <c r="AB859" s="230" t="e">
        <f>T859-HLOOKUP(V859,Minimas!$C$3:$CD$12,2,FALSE)</f>
        <v>#N/A</v>
      </c>
      <c r="AC859" s="230" t="e">
        <f>T859-HLOOKUP(V859,Minimas!$C$3:$CD$12,3,FALSE)</f>
        <v>#N/A</v>
      </c>
      <c r="AD859" s="230" t="e">
        <f>T859-HLOOKUP(V859,Minimas!$C$3:$CD$12,4,FALSE)</f>
        <v>#N/A</v>
      </c>
      <c r="AE859" s="230" t="e">
        <f>T859-HLOOKUP(V859,Minimas!$C$3:$CD$12,5,FALSE)</f>
        <v>#N/A</v>
      </c>
      <c r="AF859" s="230" t="e">
        <f>T859-HLOOKUP(V859,Minimas!$C$3:$CD$12,6,FALSE)</f>
        <v>#N/A</v>
      </c>
      <c r="AG859" s="230" t="e">
        <f>T859-HLOOKUP(V859,Minimas!$C$3:$CD$12,7,FALSE)</f>
        <v>#N/A</v>
      </c>
      <c r="AH859" s="230" t="e">
        <f>T859-HLOOKUP(V859,Minimas!$C$3:$CD$12,8,FALSE)</f>
        <v>#N/A</v>
      </c>
      <c r="AI859" s="230" t="e">
        <f>T859-HLOOKUP(V859,Minimas!$C$3:$CD$12,9,FALSE)</f>
        <v>#N/A</v>
      </c>
      <c r="AJ859" s="230" t="e">
        <f>T859-HLOOKUP(V859,Minimas!$C$3:$CD$12,10,FALSE)</f>
        <v>#N/A</v>
      </c>
      <c r="AK859" s="231" t="str">
        <f t="shared" si="117"/>
        <v xml:space="preserve"> </v>
      </c>
      <c r="AL859" s="232"/>
      <c r="AM859" s="232" t="str">
        <f t="shared" si="118"/>
        <v xml:space="preserve"> </v>
      </c>
      <c r="AN859" s="232" t="str">
        <f t="shared" si="119"/>
        <v xml:space="preserve"> </v>
      </c>
    </row>
    <row r="860" spans="28:40" x14ac:dyDescent="0.25">
      <c r="AB860" s="230" t="e">
        <f>T860-HLOOKUP(V860,Minimas!$C$3:$CD$12,2,FALSE)</f>
        <v>#N/A</v>
      </c>
      <c r="AC860" s="230" t="e">
        <f>T860-HLOOKUP(V860,Minimas!$C$3:$CD$12,3,FALSE)</f>
        <v>#N/A</v>
      </c>
      <c r="AD860" s="230" t="e">
        <f>T860-HLOOKUP(V860,Minimas!$C$3:$CD$12,4,FALSE)</f>
        <v>#N/A</v>
      </c>
      <c r="AE860" s="230" t="e">
        <f>T860-HLOOKUP(V860,Minimas!$C$3:$CD$12,5,FALSE)</f>
        <v>#N/A</v>
      </c>
      <c r="AF860" s="230" t="e">
        <f>T860-HLOOKUP(V860,Minimas!$C$3:$CD$12,6,FALSE)</f>
        <v>#N/A</v>
      </c>
      <c r="AG860" s="230" t="e">
        <f>T860-HLOOKUP(V860,Minimas!$C$3:$CD$12,7,FALSE)</f>
        <v>#N/A</v>
      </c>
      <c r="AH860" s="230" t="e">
        <f>T860-HLOOKUP(V860,Minimas!$C$3:$CD$12,8,FALSE)</f>
        <v>#N/A</v>
      </c>
      <c r="AI860" s="230" t="e">
        <f>T860-HLOOKUP(V860,Minimas!$C$3:$CD$12,9,FALSE)</f>
        <v>#N/A</v>
      </c>
      <c r="AJ860" s="230" t="e">
        <f>T860-HLOOKUP(V860,Minimas!$C$3:$CD$12,10,FALSE)</f>
        <v>#N/A</v>
      </c>
      <c r="AK860" s="231" t="str">
        <f t="shared" si="117"/>
        <v xml:space="preserve"> </v>
      </c>
      <c r="AL860" s="232"/>
      <c r="AM860" s="232" t="str">
        <f t="shared" si="118"/>
        <v xml:space="preserve"> </v>
      </c>
      <c r="AN860" s="232" t="str">
        <f t="shared" si="119"/>
        <v xml:space="preserve"> </v>
      </c>
    </row>
    <row r="861" spans="28:40" x14ac:dyDescent="0.25">
      <c r="AB861" s="230" t="e">
        <f>T861-HLOOKUP(V861,Minimas!$C$3:$CD$12,2,FALSE)</f>
        <v>#N/A</v>
      </c>
      <c r="AC861" s="230" t="e">
        <f>T861-HLOOKUP(V861,Minimas!$C$3:$CD$12,3,FALSE)</f>
        <v>#N/A</v>
      </c>
      <c r="AD861" s="230" t="e">
        <f>T861-HLOOKUP(V861,Minimas!$C$3:$CD$12,4,FALSE)</f>
        <v>#N/A</v>
      </c>
      <c r="AE861" s="230" t="e">
        <f>T861-HLOOKUP(V861,Minimas!$C$3:$CD$12,5,FALSE)</f>
        <v>#N/A</v>
      </c>
      <c r="AF861" s="230" t="e">
        <f>T861-HLOOKUP(V861,Minimas!$C$3:$CD$12,6,FALSE)</f>
        <v>#N/A</v>
      </c>
      <c r="AG861" s="230" t="e">
        <f>T861-HLOOKUP(V861,Minimas!$C$3:$CD$12,7,FALSE)</f>
        <v>#N/A</v>
      </c>
      <c r="AH861" s="230" t="e">
        <f>T861-HLOOKUP(V861,Minimas!$C$3:$CD$12,8,FALSE)</f>
        <v>#N/A</v>
      </c>
      <c r="AI861" s="230" t="e">
        <f>T861-HLOOKUP(V861,Minimas!$C$3:$CD$12,9,FALSE)</f>
        <v>#N/A</v>
      </c>
      <c r="AJ861" s="230" t="e">
        <f>T861-HLOOKUP(V861,Minimas!$C$3:$CD$12,10,FALSE)</f>
        <v>#N/A</v>
      </c>
      <c r="AK861" s="231" t="str">
        <f t="shared" si="117"/>
        <v xml:space="preserve"> </v>
      </c>
      <c r="AL861" s="232"/>
      <c r="AM861" s="232" t="str">
        <f t="shared" si="118"/>
        <v xml:space="preserve"> </v>
      </c>
      <c r="AN861" s="232" t="str">
        <f t="shared" si="119"/>
        <v xml:space="preserve"> </v>
      </c>
    </row>
    <row r="862" spans="28:40" x14ac:dyDescent="0.25">
      <c r="AB862" s="230" t="e">
        <f>T862-HLOOKUP(V862,Minimas!$C$3:$CD$12,2,FALSE)</f>
        <v>#N/A</v>
      </c>
      <c r="AC862" s="230" t="e">
        <f>T862-HLOOKUP(V862,Minimas!$C$3:$CD$12,3,FALSE)</f>
        <v>#N/A</v>
      </c>
      <c r="AD862" s="230" t="e">
        <f>T862-HLOOKUP(V862,Minimas!$C$3:$CD$12,4,FALSE)</f>
        <v>#N/A</v>
      </c>
      <c r="AE862" s="230" t="e">
        <f>T862-HLOOKUP(V862,Minimas!$C$3:$CD$12,5,FALSE)</f>
        <v>#N/A</v>
      </c>
      <c r="AF862" s="230" t="e">
        <f>T862-HLOOKUP(V862,Minimas!$C$3:$CD$12,6,FALSE)</f>
        <v>#N/A</v>
      </c>
      <c r="AG862" s="230" t="e">
        <f>T862-HLOOKUP(V862,Minimas!$C$3:$CD$12,7,FALSE)</f>
        <v>#N/A</v>
      </c>
      <c r="AH862" s="230" t="e">
        <f>T862-HLOOKUP(V862,Minimas!$C$3:$CD$12,8,FALSE)</f>
        <v>#N/A</v>
      </c>
      <c r="AI862" s="230" t="e">
        <f>T862-HLOOKUP(V862,Minimas!$C$3:$CD$12,9,FALSE)</f>
        <v>#N/A</v>
      </c>
      <c r="AJ862" s="230" t="e">
        <f>T862-HLOOKUP(V862,Minimas!$C$3:$CD$12,10,FALSE)</f>
        <v>#N/A</v>
      </c>
      <c r="AK862" s="231" t="str">
        <f t="shared" si="117"/>
        <v xml:space="preserve"> </v>
      </c>
      <c r="AL862" s="232"/>
      <c r="AM862" s="232" t="str">
        <f t="shared" si="118"/>
        <v xml:space="preserve"> </v>
      </c>
      <c r="AN862" s="232" t="str">
        <f t="shared" si="119"/>
        <v xml:space="preserve"> </v>
      </c>
    </row>
    <row r="863" spans="28:40" x14ac:dyDescent="0.25">
      <c r="AB863" s="230" t="e">
        <f>T863-HLOOKUP(V863,Minimas!$C$3:$CD$12,2,FALSE)</f>
        <v>#N/A</v>
      </c>
      <c r="AC863" s="230" t="e">
        <f>T863-HLOOKUP(V863,Minimas!$C$3:$CD$12,3,FALSE)</f>
        <v>#N/A</v>
      </c>
      <c r="AD863" s="230" t="e">
        <f>T863-HLOOKUP(V863,Minimas!$C$3:$CD$12,4,FALSE)</f>
        <v>#N/A</v>
      </c>
      <c r="AE863" s="230" t="e">
        <f>T863-HLOOKUP(V863,Minimas!$C$3:$CD$12,5,FALSE)</f>
        <v>#N/A</v>
      </c>
      <c r="AF863" s="230" t="e">
        <f>T863-HLOOKUP(V863,Minimas!$C$3:$CD$12,6,FALSE)</f>
        <v>#N/A</v>
      </c>
      <c r="AG863" s="230" t="e">
        <f>T863-HLOOKUP(V863,Minimas!$C$3:$CD$12,7,FALSE)</f>
        <v>#N/A</v>
      </c>
      <c r="AH863" s="230" t="e">
        <f>T863-HLOOKUP(V863,Minimas!$C$3:$CD$12,8,FALSE)</f>
        <v>#N/A</v>
      </c>
      <c r="AI863" s="230" t="e">
        <f>T863-HLOOKUP(V863,Minimas!$C$3:$CD$12,9,FALSE)</f>
        <v>#N/A</v>
      </c>
      <c r="AJ863" s="230" t="e">
        <f>T863-HLOOKUP(V863,Minimas!$C$3:$CD$12,10,FALSE)</f>
        <v>#N/A</v>
      </c>
      <c r="AK863" s="231" t="str">
        <f t="shared" si="117"/>
        <v xml:space="preserve"> </v>
      </c>
      <c r="AL863" s="232"/>
      <c r="AM863" s="232" t="str">
        <f t="shared" si="118"/>
        <v xml:space="preserve"> </v>
      </c>
      <c r="AN863" s="232" t="str">
        <f t="shared" si="119"/>
        <v xml:space="preserve"> </v>
      </c>
    </row>
    <row r="864" spans="28:40" x14ac:dyDescent="0.25">
      <c r="AB864" s="230" t="e">
        <f>T864-HLOOKUP(V864,Minimas!$C$3:$CD$12,2,FALSE)</f>
        <v>#N/A</v>
      </c>
      <c r="AC864" s="230" t="e">
        <f>T864-HLOOKUP(V864,Minimas!$C$3:$CD$12,3,FALSE)</f>
        <v>#N/A</v>
      </c>
      <c r="AD864" s="230" t="e">
        <f>T864-HLOOKUP(V864,Minimas!$C$3:$CD$12,4,FALSE)</f>
        <v>#N/A</v>
      </c>
      <c r="AE864" s="230" t="e">
        <f>T864-HLOOKUP(V864,Minimas!$C$3:$CD$12,5,FALSE)</f>
        <v>#N/A</v>
      </c>
      <c r="AF864" s="230" t="e">
        <f>T864-HLOOKUP(V864,Minimas!$C$3:$CD$12,6,FALSE)</f>
        <v>#N/A</v>
      </c>
      <c r="AG864" s="230" t="e">
        <f>T864-HLOOKUP(V864,Minimas!$C$3:$CD$12,7,FALSE)</f>
        <v>#N/A</v>
      </c>
      <c r="AH864" s="230" t="e">
        <f>T864-HLOOKUP(V864,Minimas!$C$3:$CD$12,8,FALSE)</f>
        <v>#N/A</v>
      </c>
      <c r="AI864" s="230" t="e">
        <f>T864-HLOOKUP(V864,Minimas!$C$3:$CD$12,9,FALSE)</f>
        <v>#N/A</v>
      </c>
      <c r="AJ864" s="230" t="e">
        <f>T864-HLOOKUP(V864,Minimas!$C$3:$CD$12,10,FALSE)</f>
        <v>#N/A</v>
      </c>
      <c r="AK864" s="231" t="str">
        <f t="shared" si="117"/>
        <v xml:space="preserve"> </v>
      </c>
      <c r="AL864" s="232"/>
      <c r="AM864" s="232" t="str">
        <f t="shared" si="118"/>
        <v xml:space="preserve"> </v>
      </c>
      <c r="AN864" s="232" t="str">
        <f t="shared" si="119"/>
        <v xml:space="preserve"> </v>
      </c>
    </row>
    <row r="865" spans="28:40" x14ac:dyDescent="0.25">
      <c r="AB865" s="230" t="e">
        <f>T865-HLOOKUP(V865,Minimas!$C$3:$CD$12,2,FALSE)</f>
        <v>#N/A</v>
      </c>
      <c r="AC865" s="230" t="e">
        <f>T865-HLOOKUP(V865,Minimas!$C$3:$CD$12,3,FALSE)</f>
        <v>#N/A</v>
      </c>
      <c r="AD865" s="230" t="e">
        <f>T865-HLOOKUP(V865,Minimas!$C$3:$CD$12,4,FALSE)</f>
        <v>#N/A</v>
      </c>
      <c r="AE865" s="230" t="e">
        <f>T865-HLOOKUP(V865,Minimas!$C$3:$CD$12,5,FALSE)</f>
        <v>#N/A</v>
      </c>
      <c r="AF865" s="230" t="e">
        <f>T865-HLOOKUP(V865,Minimas!$C$3:$CD$12,6,FALSE)</f>
        <v>#N/A</v>
      </c>
      <c r="AG865" s="230" t="e">
        <f>T865-HLOOKUP(V865,Minimas!$C$3:$CD$12,7,FALSE)</f>
        <v>#N/A</v>
      </c>
      <c r="AH865" s="230" t="e">
        <f>T865-HLOOKUP(V865,Minimas!$C$3:$CD$12,8,FALSE)</f>
        <v>#N/A</v>
      </c>
      <c r="AI865" s="230" t="e">
        <f>T865-HLOOKUP(V865,Minimas!$C$3:$CD$12,9,FALSE)</f>
        <v>#N/A</v>
      </c>
      <c r="AJ865" s="230" t="e">
        <f>T865-HLOOKUP(V865,Minimas!$C$3:$CD$12,10,FALSE)</f>
        <v>#N/A</v>
      </c>
      <c r="AK865" s="231" t="str">
        <f t="shared" si="117"/>
        <v xml:space="preserve"> </v>
      </c>
      <c r="AL865" s="232"/>
      <c r="AM865" s="232" t="str">
        <f t="shared" si="118"/>
        <v xml:space="preserve"> </v>
      </c>
      <c r="AN865" s="232" t="str">
        <f t="shared" si="119"/>
        <v xml:space="preserve"> </v>
      </c>
    </row>
    <row r="866" spans="28:40" x14ac:dyDescent="0.25">
      <c r="AB866" s="230" t="e">
        <f>T866-HLOOKUP(V866,Minimas!$C$3:$CD$12,2,FALSE)</f>
        <v>#N/A</v>
      </c>
      <c r="AC866" s="230" t="e">
        <f>T866-HLOOKUP(V866,Minimas!$C$3:$CD$12,3,FALSE)</f>
        <v>#N/A</v>
      </c>
      <c r="AD866" s="230" t="e">
        <f>T866-HLOOKUP(V866,Minimas!$C$3:$CD$12,4,FALSE)</f>
        <v>#N/A</v>
      </c>
      <c r="AE866" s="230" t="e">
        <f>T866-HLOOKUP(V866,Minimas!$C$3:$CD$12,5,FALSE)</f>
        <v>#N/A</v>
      </c>
      <c r="AF866" s="230" t="e">
        <f>T866-HLOOKUP(V866,Minimas!$C$3:$CD$12,6,FALSE)</f>
        <v>#N/A</v>
      </c>
      <c r="AG866" s="230" t="e">
        <f>T866-HLOOKUP(V866,Minimas!$C$3:$CD$12,7,FALSE)</f>
        <v>#N/A</v>
      </c>
      <c r="AH866" s="230" t="e">
        <f>T866-HLOOKUP(V866,Minimas!$C$3:$CD$12,8,FALSE)</f>
        <v>#N/A</v>
      </c>
      <c r="AI866" s="230" t="e">
        <f>T866-HLOOKUP(V866,Minimas!$C$3:$CD$12,9,FALSE)</f>
        <v>#N/A</v>
      </c>
      <c r="AJ866" s="230" t="e">
        <f>T866-HLOOKUP(V866,Minimas!$C$3:$CD$12,10,FALSE)</f>
        <v>#N/A</v>
      </c>
      <c r="AK866" s="231" t="str">
        <f t="shared" si="117"/>
        <v xml:space="preserve"> </v>
      </c>
      <c r="AL866" s="232"/>
      <c r="AM866" s="232" t="str">
        <f t="shared" si="118"/>
        <v xml:space="preserve"> </v>
      </c>
      <c r="AN866" s="232" t="str">
        <f t="shared" si="119"/>
        <v xml:space="preserve"> </v>
      </c>
    </row>
    <row r="867" spans="28:40" x14ac:dyDescent="0.25">
      <c r="AB867" s="230" t="e">
        <f>T867-HLOOKUP(V867,Minimas!$C$3:$CD$12,2,FALSE)</f>
        <v>#N/A</v>
      </c>
      <c r="AC867" s="230" t="e">
        <f>T867-HLOOKUP(V867,Minimas!$C$3:$CD$12,3,FALSE)</f>
        <v>#N/A</v>
      </c>
      <c r="AD867" s="230" t="e">
        <f>T867-HLOOKUP(V867,Minimas!$C$3:$CD$12,4,FALSE)</f>
        <v>#N/A</v>
      </c>
      <c r="AE867" s="230" t="e">
        <f>T867-HLOOKUP(V867,Minimas!$C$3:$CD$12,5,FALSE)</f>
        <v>#N/A</v>
      </c>
      <c r="AF867" s="230" t="e">
        <f>T867-HLOOKUP(V867,Minimas!$C$3:$CD$12,6,FALSE)</f>
        <v>#N/A</v>
      </c>
      <c r="AG867" s="230" t="e">
        <f>T867-HLOOKUP(V867,Minimas!$C$3:$CD$12,7,FALSE)</f>
        <v>#N/A</v>
      </c>
      <c r="AH867" s="230" t="e">
        <f>T867-HLOOKUP(V867,Minimas!$C$3:$CD$12,8,FALSE)</f>
        <v>#N/A</v>
      </c>
      <c r="AI867" s="230" t="e">
        <f>T867-HLOOKUP(V867,Minimas!$C$3:$CD$12,9,FALSE)</f>
        <v>#N/A</v>
      </c>
      <c r="AJ867" s="230" t="e">
        <f>T867-HLOOKUP(V867,Minimas!$C$3:$CD$12,10,FALSE)</f>
        <v>#N/A</v>
      </c>
      <c r="AK867" s="231" t="str">
        <f t="shared" si="117"/>
        <v xml:space="preserve"> </v>
      </c>
      <c r="AL867" s="232"/>
      <c r="AM867" s="232" t="str">
        <f t="shared" si="118"/>
        <v xml:space="preserve"> </v>
      </c>
      <c r="AN867" s="232" t="str">
        <f t="shared" si="119"/>
        <v xml:space="preserve"> </v>
      </c>
    </row>
    <row r="868" spans="28:40" x14ac:dyDescent="0.25">
      <c r="AB868" s="230" t="e">
        <f>T868-HLOOKUP(V868,Minimas!$C$3:$CD$12,2,FALSE)</f>
        <v>#N/A</v>
      </c>
      <c r="AC868" s="230" t="e">
        <f>T868-HLOOKUP(V868,Minimas!$C$3:$CD$12,3,FALSE)</f>
        <v>#N/A</v>
      </c>
      <c r="AD868" s="230" t="e">
        <f>T868-HLOOKUP(V868,Minimas!$C$3:$CD$12,4,FALSE)</f>
        <v>#N/A</v>
      </c>
      <c r="AE868" s="230" t="e">
        <f>T868-HLOOKUP(V868,Minimas!$C$3:$CD$12,5,FALSE)</f>
        <v>#N/A</v>
      </c>
      <c r="AF868" s="230" t="e">
        <f>T868-HLOOKUP(V868,Minimas!$C$3:$CD$12,6,FALSE)</f>
        <v>#N/A</v>
      </c>
      <c r="AG868" s="230" t="e">
        <f>T868-HLOOKUP(V868,Minimas!$C$3:$CD$12,7,FALSE)</f>
        <v>#N/A</v>
      </c>
      <c r="AH868" s="230" t="e">
        <f>T868-HLOOKUP(V868,Minimas!$C$3:$CD$12,8,FALSE)</f>
        <v>#N/A</v>
      </c>
      <c r="AI868" s="230" t="e">
        <f>T868-HLOOKUP(V868,Minimas!$C$3:$CD$12,9,FALSE)</f>
        <v>#N/A</v>
      </c>
      <c r="AJ868" s="230" t="e">
        <f>T868-HLOOKUP(V868,Minimas!$C$3:$CD$12,10,FALSE)</f>
        <v>#N/A</v>
      </c>
      <c r="AK868" s="231" t="str">
        <f t="shared" si="117"/>
        <v xml:space="preserve"> </v>
      </c>
      <c r="AL868" s="232"/>
      <c r="AM868" s="232" t="str">
        <f t="shared" si="118"/>
        <v xml:space="preserve"> </v>
      </c>
      <c r="AN868" s="232" t="str">
        <f t="shared" si="119"/>
        <v xml:space="preserve"> </v>
      </c>
    </row>
    <row r="869" spans="28:40" x14ac:dyDescent="0.25">
      <c r="AB869" s="230" t="e">
        <f>T869-HLOOKUP(V869,Minimas!$C$3:$CD$12,2,FALSE)</f>
        <v>#N/A</v>
      </c>
      <c r="AC869" s="230" t="e">
        <f>T869-HLOOKUP(V869,Minimas!$C$3:$CD$12,3,FALSE)</f>
        <v>#N/A</v>
      </c>
      <c r="AD869" s="230" t="e">
        <f>T869-HLOOKUP(V869,Minimas!$C$3:$CD$12,4,FALSE)</f>
        <v>#N/A</v>
      </c>
      <c r="AE869" s="230" t="e">
        <f>T869-HLOOKUP(V869,Minimas!$C$3:$CD$12,5,FALSE)</f>
        <v>#N/A</v>
      </c>
      <c r="AF869" s="230" t="e">
        <f>T869-HLOOKUP(V869,Minimas!$C$3:$CD$12,6,FALSE)</f>
        <v>#N/A</v>
      </c>
      <c r="AG869" s="230" t="e">
        <f>T869-HLOOKUP(V869,Minimas!$C$3:$CD$12,7,FALSE)</f>
        <v>#N/A</v>
      </c>
      <c r="AH869" s="230" t="e">
        <f>T869-HLOOKUP(V869,Minimas!$C$3:$CD$12,8,FALSE)</f>
        <v>#N/A</v>
      </c>
      <c r="AI869" s="230" t="e">
        <f>T869-HLOOKUP(V869,Minimas!$C$3:$CD$12,9,FALSE)</f>
        <v>#N/A</v>
      </c>
      <c r="AJ869" s="230" t="e">
        <f>T869-HLOOKUP(V869,Minimas!$C$3:$CD$12,10,FALSE)</f>
        <v>#N/A</v>
      </c>
      <c r="AK869" s="231" t="str">
        <f t="shared" si="117"/>
        <v xml:space="preserve"> </v>
      </c>
      <c r="AL869" s="232"/>
      <c r="AM869" s="232" t="str">
        <f t="shared" si="118"/>
        <v xml:space="preserve"> </v>
      </c>
      <c r="AN869" s="232" t="str">
        <f t="shared" si="119"/>
        <v xml:space="preserve"> </v>
      </c>
    </row>
    <row r="870" spans="28:40" x14ac:dyDescent="0.25">
      <c r="AB870" s="230" t="e">
        <f>T870-HLOOKUP(V870,Minimas!$C$3:$CD$12,2,FALSE)</f>
        <v>#N/A</v>
      </c>
      <c r="AC870" s="230" t="e">
        <f>T870-HLOOKUP(V870,Minimas!$C$3:$CD$12,3,FALSE)</f>
        <v>#N/A</v>
      </c>
      <c r="AD870" s="230" t="e">
        <f>T870-HLOOKUP(V870,Minimas!$C$3:$CD$12,4,FALSE)</f>
        <v>#N/A</v>
      </c>
      <c r="AE870" s="230" t="e">
        <f>T870-HLOOKUP(V870,Minimas!$C$3:$CD$12,5,FALSE)</f>
        <v>#N/A</v>
      </c>
      <c r="AF870" s="230" t="e">
        <f>T870-HLOOKUP(V870,Minimas!$C$3:$CD$12,6,FALSE)</f>
        <v>#N/A</v>
      </c>
      <c r="AG870" s="230" t="e">
        <f>T870-HLOOKUP(V870,Minimas!$C$3:$CD$12,7,FALSE)</f>
        <v>#N/A</v>
      </c>
      <c r="AH870" s="230" t="e">
        <f>T870-HLOOKUP(V870,Minimas!$C$3:$CD$12,8,FALSE)</f>
        <v>#N/A</v>
      </c>
      <c r="AI870" s="230" t="e">
        <f>T870-HLOOKUP(V870,Minimas!$C$3:$CD$12,9,FALSE)</f>
        <v>#N/A</v>
      </c>
      <c r="AJ870" s="230" t="e">
        <f>T870-HLOOKUP(V870,Minimas!$C$3:$CD$12,10,FALSE)</f>
        <v>#N/A</v>
      </c>
      <c r="AK870" s="231" t="str">
        <f t="shared" si="117"/>
        <v xml:space="preserve"> </v>
      </c>
      <c r="AL870" s="232"/>
      <c r="AM870" s="232" t="str">
        <f t="shared" si="118"/>
        <v xml:space="preserve"> </v>
      </c>
      <c r="AN870" s="232" t="str">
        <f t="shared" si="119"/>
        <v xml:space="preserve"> </v>
      </c>
    </row>
    <row r="871" spans="28:40" x14ac:dyDescent="0.25">
      <c r="AB871" s="230" t="e">
        <f>T871-HLOOKUP(V871,Minimas!$C$3:$CD$12,2,FALSE)</f>
        <v>#N/A</v>
      </c>
      <c r="AC871" s="230" t="e">
        <f>T871-HLOOKUP(V871,Minimas!$C$3:$CD$12,3,FALSE)</f>
        <v>#N/A</v>
      </c>
      <c r="AD871" s="230" t="e">
        <f>T871-HLOOKUP(V871,Minimas!$C$3:$CD$12,4,FALSE)</f>
        <v>#N/A</v>
      </c>
      <c r="AE871" s="230" t="e">
        <f>T871-HLOOKUP(V871,Minimas!$C$3:$CD$12,5,FALSE)</f>
        <v>#N/A</v>
      </c>
      <c r="AF871" s="230" t="e">
        <f>T871-HLOOKUP(V871,Minimas!$C$3:$CD$12,6,FALSE)</f>
        <v>#N/A</v>
      </c>
      <c r="AG871" s="230" t="e">
        <f>T871-HLOOKUP(V871,Minimas!$C$3:$CD$12,7,FALSE)</f>
        <v>#N/A</v>
      </c>
      <c r="AH871" s="230" t="e">
        <f>T871-HLOOKUP(V871,Minimas!$C$3:$CD$12,8,FALSE)</f>
        <v>#N/A</v>
      </c>
      <c r="AI871" s="230" t="e">
        <f>T871-HLOOKUP(V871,Minimas!$C$3:$CD$12,9,FALSE)</f>
        <v>#N/A</v>
      </c>
      <c r="AJ871" s="230" t="e">
        <f>T871-HLOOKUP(V871,Minimas!$C$3:$CD$12,10,FALSE)</f>
        <v>#N/A</v>
      </c>
      <c r="AK871" s="231" t="str">
        <f t="shared" si="117"/>
        <v xml:space="preserve"> </v>
      </c>
      <c r="AL871" s="232"/>
      <c r="AM871" s="232" t="str">
        <f t="shared" si="118"/>
        <v xml:space="preserve"> </v>
      </c>
      <c r="AN871" s="232" t="str">
        <f t="shared" si="119"/>
        <v xml:space="preserve"> </v>
      </c>
    </row>
    <row r="872" spans="28:40" x14ac:dyDescent="0.25">
      <c r="AB872" s="230" t="e">
        <f>T872-HLOOKUP(V872,Minimas!$C$3:$CD$12,2,FALSE)</f>
        <v>#N/A</v>
      </c>
      <c r="AC872" s="230" t="e">
        <f>T872-HLOOKUP(V872,Minimas!$C$3:$CD$12,3,FALSE)</f>
        <v>#N/A</v>
      </c>
      <c r="AD872" s="230" t="e">
        <f>T872-HLOOKUP(V872,Minimas!$C$3:$CD$12,4,FALSE)</f>
        <v>#N/A</v>
      </c>
      <c r="AE872" s="230" t="e">
        <f>T872-HLOOKUP(V872,Minimas!$C$3:$CD$12,5,FALSE)</f>
        <v>#N/A</v>
      </c>
      <c r="AF872" s="230" t="e">
        <f>T872-HLOOKUP(V872,Minimas!$C$3:$CD$12,6,FALSE)</f>
        <v>#N/A</v>
      </c>
      <c r="AG872" s="230" t="e">
        <f>T872-HLOOKUP(V872,Minimas!$C$3:$CD$12,7,FALSE)</f>
        <v>#N/A</v>
      </c>
      <c r="AH872" s="230" t="e">
        <f>T872-HLOOKUP(V872,Minimas!$C$3:$CD$12,8,FALSE)</f>
        <v>#N/A</v>
      </c>
      <c r="AI872" s="230" t="e">
        <f>T872-HLOOKUP(V872,Minimas!$C$3:$CD$12,9,FALSE)</f>
        <v>#N/A</v>
      </c>
      <c r="AJ872" s="230" t="e">
        <f>T872-HLOOKUP(V872,Minimas!$C$3:$CD$12,10,FALSE)</f>
        <v>#N/A</v>
      </c>
      <c r="AK872" s="231" t="str">
        <f t="shared" si="117"/>
        <v xml:space="preserve"> </v>
      </c>
      <c r="AL872" s="232"/>
      <c r="AM872" s="232" t="str">
        <f t="shared" si="118"/>
        <v xml:space="preserve"> </v>
      </c>
      <c r="AN872" s="232" t="str">
        <f t="shared" si="119"/>
        <v xml:space="preserve"> </v>
      </c>
    </row>
    <row r="873" spans="28:40" x14ac:dyDescent="0.25">
      <c r="AB873" s="230" t="e">
        <f>T873-HLOOKUP(V873,Minimas!$C$3:$CD$12,2,FALSE)</f>
        <v>#N/A</v>
      </c>
      <c r="AC873" s="230" t="e">
        <f>T873-HLOOKUP(V873,Minimas!$C$3:$CD$12,3,FALSE)</f>
        <v>#N/A</v>
      </c>
      <c r="AD873" s="230" t="e">
        <f>T873-HLOOKUP(V873,Minimas!$C$3:$CD$12,4,FALSE)</f>
        <v>#N/A</v>
      </c>
      <c r="AE873" s="230" t="e">
        <f>T873-HLOOKUP(V873,Minimas!$C$3:$CD$12,5,FALSE)</f>
        <v>#N/A</v>
      </c>
      <c r="AF873" s="230" t="e">
        <f>T873-HLOOKUP(V873,Minimas!$C$3:$CD$12,6,FALSE)</f>
        <v>#N/A</v>
      </c>
      <c r="AG873" s="230" t="e">
        <f>T873-HLOOKUP(V873,Minimas!$C$3:$CD$12,7,FALSE)</f>
        <v>#N/A</v>
      </c>
      <c r="AH873" s="230" t="e">
        <f>T873-HLOOKUP(V873,Minimas!$C$3:$CD$12,8,FALSE)</f>
        <v>#N/A</v>
      </c>
      <c r="AI873" s="230" t="e">
        <f>T873-HLOOKUP(V873,Minimas!$C$3:$CD$12,9,FALSE)</f>
        <v>#N/A</v>
      </c>
      <c r="AJ873" s="230" t="e">
        <f>T873-HLOOKUP(V873,Minimas!$C$3:$CD$12,10,FALSE)</f>
        <v>#N/A</v>
      </c>
      <c r="AK873" s="231" t="str">
        <f t="shared" si="117"/>
        <v xml:space="preserve"> </v>
      </c>
      <c r="AL873" s="232"/>
      <c r="AM873" s="232" t="str">
        <f t="shared" si="118"/>
        <v xml:space="preserve"> </v>
      </c>
      <c r="AN873" s="232" t="str">
        <f t="shared" si="119"/>
        <v xml:space="preserve"> </v>
      </c>
    </row>
    <row r="874" spans="28:40" x14ac:dyDescent="0.25">
      <c r="AB874" s="230" t="e">
        <f>T874-HLOOKUP(V874,Minimas!$C$3:$CD$12,2,FALSE)</f>
        <v>#N/A</v>
      </c>
      <c r="AC874" s="230" t="e">
        <f>T874-HLOOKUP(V874,Minimas!$C$3:$CD$12,3,FALSE)</f>
        <v>#N/A</v>
      </c>
      <c r="AD874" s="230" t="e">
        <f>T874-HLOOKUP(V874,Minimas!$C$3:$CD$12,4,FALSE)</f>
        <v>#N/A</v>
      </c>
      <c r="AE874" s="230" t="e">
        <f>T874-HLOOKUP(V874,Minimas!$C$3:$CD$12,5,FALSE)</f>
        <v>#N/A</v>
      </c>
      <c r="AF874" s="230" t="e">
        <f>T874-HLOOKUP(V874,Minimas!$C$3:$CD$12,6,FALSE)</f>
        <v>#N/A</v>
      </c>
      <c r="AG874" s="230" t="e">
        <f>T874-HLOOKUP(V874,Minimas!$C$3:$CD$12,7,FALSE)</f>
        <v>#N/A</v>
      </c>
      <c r="AH874" s="230" t="e">
        <f>T874-HLOOKUP(V874,Minimas!$C$3:$CD$12,8,FALSE)</f>
        <v>#N/A</v>
      </c>
      <c r="AI874" s="230" t="e">
        <f>T874-HLOOKUP(V874,Minimas!$C$3:$CD$12,9,FALSE)</f>
        <v>#N/A</v>
      </c>
      <c r="AJ874" s="230" t="e">
        <f>T874-HLOOKUP(V874,Minimas!$C$3:$CD$12,10,FALSE)</f>
        <v>#N/A</v>
      </c>
      <c r="AK874" s="231" t="str">
        <f t="shared" si="117"/>
        <v xml:space="preserve"> </v>
      </c>
      <c r="AL874" s="232"/>
      <c r="AM874" s="232" t="str">
        <f t="shared" si="118"/>
        <v xml:space="preserve"> </v>
      </c>
      <c r="AN874" s="232" t="str">
        <f t="shared" si="119"/>
        <v xml:space="preserve"> </v>
      </c>
    </row>
    <row r="875" spans="28:40" x14ac:dyDescent="0.25">
      <c r="AB875" s="230" t="e">
        <f>T875-HLOOKUP(V875,Minimas!$C$3:$CD$12,2,FALSE)</f>
        <v>#N/A</v>
      </c>
      <c r="AC875" s="230" t="e">
        <f>T875-HLOOKUP(V875,Minimas!$C$3:$CD$12,3,FALSE)</f>
        <v>#N/A</v>
      </c>
      <c r="AD875" s="230" t="e">
        <f>T875-HLOOKUP(V875,Minimas!$C$3:$CD$12,4,FALSE)</f>
        <v>#N/A</v>
      </c>
      <c r="AE875" s="230" t="e">
        <f>T875-HLOOKUP(V875,Minimas!$C$3:$CD$12,5,FALSE)</f>
        <v>#N/A</v>
      </c>
      <c r="AF875" s="230" t="e">
        <f>T875-HLOOKUP(V875,Minimas!$C$3:$CD$12,6,FALSE)</f>
        <v>#N/A</v>
      </c>
      <c r="AG875" s="230" t="e">
        <f>T875-HLOOKUP(V875,Minimas!$C$3:$CD$12,7,FALSE)</f>
        <v>#N/A</v>
      </c>
      <c r="AH875" s="230" t="e">
        <f>T875-HLOOKUP(V875,Minimas!$C$3:$CD$12,8,FALSE)</f>
        <v>#N/A</v>
      </c>
      <c r="AI875" s="230" t="e">
        <f>T875-HLOOKUP(V875,Minimas!$C$3:$CD$12,9,FALSE)</f>
        <v>#N/A</v>
      </c>
      <c r="AJ875" s="230" t="e">
        <f>T875-HLOOKUP(V875,Minimas!$C$3:$CD$12,10,FALSE)</f>
        <v>#N/A</v>
      </c>
      <c r="AK875" s="231" t="str">
        <f t="shared" si="117"/>
        <v xml:space="preserve"> </v>
      </c>
      <c r="AL875" s="232"/>
      <c r="AM875" s="232" t="str">
        <f t="shared" si="118"/>
        <v xml:space="preserve"> </v>
      </c>
      <c r="AN875" s="232" t="str">
        <f t="shared" si="119"/>
        <v xml:space="preserve"> </v>
      </c>
    </row>
    <row r="876" spans="28:40" x14ac:dyDescent="0.25">
      <c r="AB876" s="230" t="e">
        <f>T876-HLOOKUP(V876,Minimas!$C$3:$CD$12,2,FALSE)</f>
        <v>#N/A</v>
      </c>
      <c r="AC876" s="230" t="e">
        <f>T876-HLOOKUP(V876,Minimas!$C$3:$CD$12,3,FALSE)</f>
        <v>#N/A</v>
      </c>
      <c r="AD876" s="230" t="e">
        <f>T876-HLOOKUP(V876,Minimas!$C$3:$CD$12,4,FALSE)</f>
        <v>#N/A</v>
      </c>
      <c r="AE876" s="230" t="e">
        <f>T876-HLOOKUP(V876,Minimas!$C$3:$CD$12,5,FALSE)</f>
        <v>#N/A</v>
      </c>
      <c r="AF876" s="230" t="e">
        <f>T876-HLOOKUP(V876,Minimas!$C$3:$CD$12,6,FALSE)</f>
        <v>#N/A</v>
      </c>
      <c r="AG876" s="230" t="e">
        <f>T876-HLOOKUP(V876,Minimas!$C$3:$CD$12,7,FALSE)</f>
        <v>#N/A</v>
      </c>
      <c r="AH876" s="230" t="e">
        <f>T876-HLOOKUP(V876,Minimas!$C$3:$CD$12,8,FALSE)</f>
        <v>#N/A</v>
      </c>
      <c r="AI876" s="230" t="e">
        <f>T876-HLOOKUP(V876,Minimas!$C$3:$CD$12,9,FALSE)</f>
        <v>#N/A</v>
      </c>
      <c r="AJ876" s="230" t="e">
        <f>T876-HLOOKUP(V876,Minimas!$C$3:$CD$12,10,FALSE)</f>
        <v>#N/A</v>
      </c>
      <c r="AK876" s="231" t="str">
        <f t="shared" si="117"/>
        <v xml:space="preserve"> </v>
      </c>
      <c r="AL876" s="232"/>
      <c r="AM876" s="232" t="str">
        <f t="shared" si="118"/>
        <v xml:space="preserve"> </v>
      </c>
      <c r="AN876" s="232" t="str">
        <f t="shared" si="119"/>
        <v xml:space="preserve"> </v>
      </c>
    </row>
    <row r="877" spans="28:40" x14ac:dyDescent="0.25">
      <c r="AB877" s="230" t="e">
        <f>T877-HLOOKUP(V877,Minimas!$C$3:$CD$12,2,FALSE)</f>
        <v>#N/A</v>
      </c>
      <c r="AC877" s="230" t="e">
        <f>T877-HLOOKUP(V877,Minimas!$C$3:$CD$12,3,FALSE)</f>
        <v>#N/A</v>
      </c>
      <c r="AD877" s="230" t="e">
        <f>T877-HLOOKUP(V877,Minimas!$C$3:$CD$12,4,FALSE)</f>
        <v>#N/A</v>
      </c>
      <c r="AE877" s="230" t="e">
        <f>T877-HLOOKUP(V877,Minimas!$C$3:$CD$12,5,FALSE)</f>
        <v>#N/A</v>
      </c>
      <c r="AF877" s="230" t="e">
        <f>T877-HLOOKUP(V877,Minimas!$C$3:$CD$12,6,FALSE)</f>
        <v>#N/A</v>
      </c>
      <c r="AG877" s="230" t="e">
        <f>T877-HLOOKUP(V877,Minimas!$C$3:$CD$12,7,FALSE)</f>
        <v>#N/A</v>
      </c>
      <c r="AH877" s="230" t="e">
        <f>T877-HLOOKUP(V877,Minimas!$C$3:$CD$12,8,FALSE)</f>
        <v>#N/A</v>
      </c>
      <c r="AI877" s="230" t="e">
        <f>T877-HLOOKUP(V877,Minimas!$C$3:$CD$12,9,FALSE)</f>
        <v>#N/A</v>
      </c>
      <c r="AJ877" s="230" t="e">
        <f>T877-HLOOKUP(V877,Minimas!$C$3:$CD$12,10,FALSE)</f>
        <v>#N/A</v>
      </c>
      <c r="AK877" s="231" t="str">
        <f t="shared" si="117"/>
        <v xml:space="preserve"> </v>
      </c>
      <c r="AL877" s="232"/>
      <c r="AM877" s="232" t="str">
        <f t="shared" si="118"/>
        <v xml:space="preserve"> </v>
      </c>
      <c r="AN877" s="232" t="str">
        <f t="shared" si="119"/>
        <v xml:space="preserve"> </v>
      </c>
    </row>
    <row r="878" spans="28:40" x14ac:dyDescent="0.25">
      <c r="AB878" s="230" t="e">
        <f>T878-HLOOKUP(V878,Minimas!$C$3:$CD$12,2,FALSE)</f>
        <v>#N/A</v>
      </c>
      <c r="AC878" s="230" t="e">
        <f>T878-HLOOKUP(V878,Minimas!$C$3:$CD$12,3,FALSE)</f>
        <v>#N/A</v>
      </c>
      <c r="AD878" s="230" t="e">
        <f>T878-HLOOKUP(V878,Minimas!$C$3:$CD$12,4,FALSE)</f>
        <v>#N/A</v>
      </c>
      <c r="AE878" s="230" t="e">
        <f>T878-HLOOKUP(V878,Minimas!$C$3:$CD$12,5,FALSE)</f>
        <v>#N/A</v>
      </c>
      <c r="AF878" s="230" t="e">
        <f>T878-HLOOKUP(V878,Minimas!$C$3:$CD$12,6,FALSE)</f>
        <v>#N/A</v>
      </c>
      <c r="AG878" s="230" t="e">
        <f>T878-HLOOKUP(V878,Minimas!$C$3:$CD$12,7,FALSE)</f>
        <v>#N/A</v>
      </c>
      <c r="AH878" s="230" t="e">
        <f>T878-HLOOKUP(V878,Minimas!$C$3:$CD$12,8,FALSE)</f>
        <v>#N/A</v>
      </c>
      <c r="AI878" s="230" t="e">
        <f>T878-HLOOKUP(V878,Minimas!$C$3:$CD$12,9,FALSE)</f>
        <v>#N/A</v>
      </c>
      <c r="AJ878" s="230" t="e">
        <f>T878-HLOOKUP(V878,Minimas!$C$3:$CD$12,10,FALSE)</f>
        <v>#N/A</v>
      </c>
      <c r="AK878" s="231" t="str">
        <f t="shared" si="117"/>
        <v xml:space="preserve"> </v>
      </c>
      <c r="AL878" s="232"/>
      <c r="AM878" s="232" t="str">
        <f t="shared" si="118"/>
        <v xml:space="preserve"> </v>
      </c>
      <c r="AN878" s="232" t="str">
        <f t="shared" si="119"/>
        <v xml:space="preserve"> </v>
      </c>
    </row>
    <row r="879" spans="28:40" x14ac:dyDescent="0.25">
      <c r="AB879" s="230" t="e">
        <f>T879-HLOOKUP(V879,Minimas!$C$3:$CD$12,2,FALSE)</f>
        <v>#N/A</v>
      </c>
      <c r="AC879" s="230" t="e">
        <f>T879-HLOOKUP(V879,Minimas!$C$3:$CD$12,3,FALSE)</f>
        <v>#N/A</v>
      </c>
      <c r="AD879" s="230" t="e">
        <f>T879-HLOOKUP(V879,Minimas!$C$3:$CD$12,4,FALSE)</f>
        <v>#N/A</v>
      </c>
      <c r="AE879" s="230" t="e">
        <f>T879-HLOOKUP(V879,Minimas!$C$3:$CD$12,5,FALSE)</f>
        <v>#N/A</v>
      </c>
      <c r="AF879" s="230" t="e">
        <f>T879-HLOOKUP(V879,Minimas!$C$3:$CD$12,6,FALSE)</f>
        <v>#N/A</v>
      </c>
      <c r="AG879" s="230" t="e">
        <f>T879-HLOOKUP(V879,Minimas!$C$3:$CD$12,7,FALSE)</f>
        <v>#N/A</v>
      </c>
      <c r="AH879" s="230" t="e">
        <f>T879-HLOOKUP(V879,Minimas!$C$3:$CD$12,8,FALSE)</f>
        <v>#N/A</v>
      </c>
      <c r="AI879" s="230" t="e">
        <f>T879-HLOOKUP(V879,Minimas!$C$3:$CD$12,9,FALSE)</f>
        <v>#N/A</v>
      </c>
      <c r="AJ879" s="230" t="e">
        <f>T879-HLOOKUP(V879,Minimas!$C$3:$CD$12,10,FALSE)</f>
        <v>#N/A</v>
      </c>
      <c r="AK879" s="231" t="str">
        <f t="shared" si="117"/>
        <v xml:space="preserve"> </v>
      </c>
      <c r="AL879" s="232"/>
      <c r="AM879" s="232" t="str">
        <f t="shared" si="118"/>
        <v xml:space="preserve"> </v>
      </c>
      <c r="AN879" s="232" t="str">
        <f t="shared" si="119"/>
        <v xml:space="preserve"> </v>
      </c>
    </row>
    <row r="880" spans="28:40" x14ac:dyDescent="0.25">
      <c r="AB880" s="230" t="e">
        <f>T880-HLOOKUP(V880,Minimas!$C$3:$CD$12,2,FALSE)</f>
        <v>#N/A</v>
      </c>
      <c r="AC880" s="230" t="e">
        <f>T880-HLOOKUP(V880,Minimas!$C$3:$CD$12,3,FALSE)</f>
        <v>#N/A</v>
      </c>
      <c r="AD880" s="230" t="e">
        <f>T880-HLOOKUP(V880,Minimas!$C$3:$CD$12,4,FALSE)</f>
        <v>#N/A</v>
      </c>
      <c r="AE880" s="230" t="e">
        <f>T880-HLOOKUP(V880,Minimas!$C$3:$CD$12,5,FALSE)</f>
        <v>#N/A</v>
      </c>
      <c r="AF880" s="230" t="e">
        <f>T880-HLOOKUP(V880,Minimas!$C$3:$CD$12,6,FALSE)</f>
        <v>#N/A</v>
      </c>
      <c r="AG880" s="230" t="e">
        <f>T880-HLOOKUP(V880,Minimas!$C$3:$CD$12,7,FALSE)</f>
        <v>#N/A</v>
      </c>
      <c r="AH880" s="230" t="e">
        <f>T880-HLOOKUP(V880,Minimas!$C$3:$CD$12,8,FALSE)</f>
        <v>#N/A</v>
      </c>
      <c r="AI880" s="230" t="e">
        <f>T880-HLOOKUP(V880,Minimas!$C$3:$CD$12,9,FALSE)</f>
        <v>#N/A</v>
      </c>
      <c r="AJ880" s="230" t="e">
        <f>T880-HLOOKUP(V880,Minimas!$C$3:$CD$12,10,FALSE)</f>
        <v>#N/A</v>
      </c>
      <c r="AK880" s="231" t="str">
        <f t="shared" si="117"/>
        <v xml:space="preserve"> </v>
      </c>
      <c r="AL880" s="232"/>
      <c r="AM880" s="232" t="str">
        <f t="shared" si="118"/>
        <v xml:space="preserve"> </v>
      </c>
      <c r="AN880" s="232" t="str">
        <f t="shared" si="119"/>
        <v xml:space="preserve"> </v>
      </c>
    </row>
    <row r="881" spans="28:40" x14ac:dyDescent="0.25">
      <c r="AB881" s="230" t="e">
        <f>T881-HLOOKUP(V881,Minimas!$C$3:$CD$12,2,FALSE)</f>
        <v>#N/A</v>
      </c>
      <c r="AC881" s="230" t="e">
        <f>T881-HLOOKUP(V881,Minimas!$C$3:$CD$12,3,FALSE)</f>
        <v>#N/A</v>
      </c>
      <c r="AD881" s="230" t="e">
        <f>T881-HLOOKUP(V881,Minimas!$C$3:$CD$12,4,FALSE)</f>
        <v>#N/A</v>
      </c>
      <c r="AE881" s="230" t="e">
        <f>T881-HLOOKUP(V881,Minimas!$C$3:$CD$12,5,FALSE)</f>
        <v>#N/A</v>
      </c>
      <c r="AF881" s="230" t="e">
        <f>T881-HLOOKUP(V881,Minimas!$C$3:$CD$12,6,FALSE)</f>
        <v>#N/A</v>
      </c>
      <c r="AG881" s="230" t="e">
        <f>T881-HLOOKUP(V881,Minimas!$C$3:$CD$12,7,FALSE)</f>
        <v>#N/A</v>
      </c>
      <c r="AH881" s="230" t="e">
        <f>T881-HLOOKUP(V881,Minimas!$C$3:$CD$12,8,FALSE)</f>
        <v>#N/A</v>
      </c>
      <c r="AI881" s="230" t="e">
        <f>T881-HLOOKUP(V881,Minimas!$C$3:$CD$12,9,FALSE)</f>
        <v>#N/A</v>
      </c>
      <c r="AJ881" s="230" t="e">
        <f>T881-HLOOKUP(V881,Minimas!$C$3:$CD$12,10,FALSE)</f>
        <v>#N/A</v>
      </c>
      <c r="AK881" s="231" t="str">
        <f t="shared" si="117"/>
        <v xml:space="preserve"> </v>
      </c>
      <c r="AL881" s="232"/>
      <c r="AM881" s="232" t="str">
        <f t="shared" si="118"/>
        <v xml:space="preserve"> </v>
      </c>
      <c r="AN881" s="232" t="str">
        <f t="shared" si="119"/>
        <v xml:space="preserve"> </v>
      </c>
    </row>
    <row r="882" spans="28:40" x14ac:dyDescent="0.25">
      <c r="AB882" s="230" t="e">
        <f>T882-HLOOKUP(V882,Minimas!$C$3:$CD$12,2,FALSE)</f>
        <v>#N/A</v>
      </c>
      <c r="AC882" s="230" t="e">
        <f>T882-HLOOKUP(V882,Minimas!$C$3:$CD$12,3,FALSE)</f>
        <v>#N/A</v>
      </c>
      <c r="AD882" s="230" t="e">
        <f>T882-HLOOKUP(V882,Minimas!$C$3:$CD$12,4,FALSE)</f>
        <v>#N/A</v>
      </c>
      <c r="AE882" s="230" t="e">
        <f>T882-HLOOKUP(V882,Minimas!$C$3:$CD$12,5,FALSE)</f>
        <v>#N/A</v>
      </c>
      <c r="AF882" s="230" t="e">
        <f>T882-HLOOKUP(V882,Minimas!$C$3:$CD$12,6,FALSE)</f>
        <v>#N/A</v>
      </c>
      <c r="AG882" s="230" t="e">
        <f>T882-HLOOKUP(V882,Minimas!$C$3:$CD$12,7,FALSE)</f>
        <v>#N/A</v>
      </c>
      <c r="AH882" s="230" t="e">
        <f>T882-HLOOKUP(V882,Minimas!$C$3:$CD$12,8,FALSE)</f>
        <v>#N/A</v>
      </c>
      <c r="AI882" s="230" t="e">
        <f>T882-HLOOKUP(V882,Minimas!$C$3:$CD$12,9,FALSE)</f>
        <v>#N/A</v>
      </c>
      <c r="AJ882" s="230" t="e">
        <f>T882-HLOOKUP(V882,Minimas!$C$3:$CD$12,10,FALSE)</f>
        <v>#N/A</v>
      </c>
      <c r="AK882" s="231" t="str">
        <f t="shared" si="117"/>
        <v xml:space="preserve"> </v>
      </c>
      <c r="AL882" s="232"/>
      <c r="AM882" s="232" t="str">
        <f t="shared" si="118"/>
        <v xml:space="preserve"> </v>
      </c>
      <c r="AN882" s="232" t="str">
        <f t="shared" si="119"/>
        <v xml:space="preserve"> </v>
      </c>
    </row>
    <row r="883" spans="28:40" x14ac:dyDescent="0.25">
      <c r="AB883" s="230" t="e">
        <f>T883-HLOOKUP(V883,Minimas!$C$3:$CD$12,2,FALSE)</f>
        <v>#N/A</v>
      </c>
      <c r="AC883" s="230" t="e">
        <f>T883-HLOOKUP(V883,Minimas!$C$3:$CD$12,3,FALSE)</f>
        <v>#N/A</v>
      </c>
      <c r="AD883" s="230" t="e">
        <f>T883-HLOOKUP(V883,Minimas!$C$3:$CD$12,4,FALSE)</f>
        <v>#N/A</v>
      </c>
      <c r="AE883" s="230" t="e">
        <f>T883-HLOOKUP(V883,Minimas!$C$3:$CD$12,5,FALSE)</f>
        <v>#N/A</v>
      </c>
      <c r="AF883" s="230" t="e">
        <f>T883-HLOOKUP(V883,Minimas!$C$3:$CD$12,6,FALSE)</f>
        <v>#N/A</v>
      </c>
      <c r="AG883" s="230" t="e">
        <f>T883-HLOOKUP(V883,Minimas!$C$3:$CD$12,7,FALSE)</f>
        <v>#N/A</v>
      </c>
      <c r="AH883" s="230" t="e">
        <f>T883-HLOOKUP(V883,Minimas!$C$3:$CD$12,8,FALSE)</f>
        <v>#N/A</v>
      </c>
      <c r="AI883" s="230" t="e">
        <f>T883-HLOOKUP(V883,Minimas!$C$3:$CD$12,9,FALSE)</f>
        <v>#N/A</v>
      </c>
      <c r="AJ883" s="230" t="e">
        <f>T883-HLOOKUP(V883,Minimas!$C$3:$CD$12,10,FALSE)</f>
        <v>#N/A</v>
      </c>
      <c r="AK883" s="231" t="str">
        <f t="shared" si="117"/>
        <v xml:space="preserve"> </v>
      </c>
      <c r="AL883" s="232"/>
      <c r="AM883" s="232" t="str">
        <f t="shared" si="118"/>
        <v xml:space="preserve"> </v>
      </c>
      <c r="AN883" s="232" t="str">
        <f t="shared" si="119"/>
        <v xml:space="preserve"> </v>
      </c>
    </row>
    <row r="884" spans="28:40" x14ac:dyDescent="0.25">
      <c r="AB884" s="230" t="e">
        <f>T884-HLOOKUP(V884,Minimas!$C$3:$CD$12,2,FALSE)</f>
        <v>#N/A</v>
      </c>
      <c r="AC884" s="230" t="e">
        <f>T884-HLOOKUP(V884,Minimas!$C$3:$CD$12,3,FALSE)</f>
        <v>#N/A</v>
      </c>
      <c r="AD884" s="230" t="e">
        <f>T884-HLOOKUP(V884,Minimas!$C$3:$CD$12,4,FALSE)</f>
        <v>#N/A</v>
      </c>
      <c r="AE884" s="230" t="e">
        <f>T884-HLOOKUP(V884,Minimas!$C$3:$CD$12,5,FALSE)</f>
        <v>#N/A</v>
      </c>
      <c r="AF884" s="230" t="e">
        <f>T884-HLOOKUP(V884,Minimas!$C$3:$CD$12,6,FALSE)</f>
        <v>#N/A</v>
      </c>
      <c r="AG884" s="230" t="e">
        <f>T884-HLOOKUP(V884,Minimas!$C$3:$CD$12,7,FALSE)</f>
        <v>#N/A</v>
      </c>
      <c r="AH884" s="230" t="e">
        <f>T884-HLOOKUP(V884,Minimas!$C$3:$CD$12,8,FALSE)</f>
        <v>#N/A</v>
      </c>
      <c r="AI884" s="230" t="e">
        <f>T884-HLOOKUP(V884,Minimas!$C$3:$CD$12,9,FALSE)</f>
        <v>#N/A</v>
      </c>
      <c r="AJ884" s="230" t="e">
        <f>T884-HLOOKUP(V884,Minimas!$C$3:$CD$12,10,FALSE)</f>
        <v>#N/A</v>
      </c>
      <c r="AK884" s="231" t="str">
        <f t="shared" si="117"/>
        <v xml:space="preserve"> </v>
      </c>
      <c r="AL884" s="232"/>
      <c r="AM884" s="232" t="str">
        <f t="shared" si="118"/>
        <v xml:space="preserve"> </v>
      </c>
      <c r="AN884" s="232" t="str">
        <f t="shared" si="119"/>
        <v xml:space="preserve"> </v>
      </c>
    </row>
    <row r="885" spans="28:40" x14ac:dyDescent="0.25">
      <c r="AB885" s="230" t="e">
        <f>T885-HLOOKUP(V885,Minimas!$C$3:$CD$12,2,FALSE)</f>
        <v>#N/A</v>
      </c>
      <c r="AC885" s="230" t="e">
        <f>T885-HLOOKUP(V885,Minimas!$C$3:$CD$12,3,FALSE)</f>
        <v>#N/A</v>
      </c>
      <c r="AD885" s="230" t="e">
        <f>T885-HLOOKUP(V885,Minimas!$C$3:$CD$12,4,FALSE)</f>
        <v>#N/A</v>
      </c>
      <c r="AE885" s="230" t="e">
        <f>T885-HLOOKUP(V885,Minimas!$C$3:$CD$12,5,FALSE)</f>
        <v>#N/A</v>
      </c>
      <c r="AF885" s="230" t="e">
        <f>T885-HLOOKUP(V885,Minimas!$C$3:$CD$12,6,FALSE)</f>
        <v>#N/A</v>
      </c>
      <c r="AG885" s="230" t="e">
        <f>T885-HLOOKUP(V885,Minimas!$C$3:$CD$12,7,FALSE)</f>
        <v>#N/A</v>
      </c>
      <c r="AH885" s="230" t="e">
        <f>T885-HLOOKUP(V885,Minimas!$C$3:$CD$12,8,FALSE)</f>
        <v>#N/A</v>
      </c>
      <c r="AI885" s="230" t="e">
        <f>T885-HLOOKUP(V885,Minimas!$C$3:$CD$12,9,FALSE)</f>
        <v>#N/A</v>
      </c>
      <c r="AJ885" s="230" t="e">
        <f>T885-HLOOKUP(V885,Minimas!$C$3:$CD$12,10,FALSE)</f>
        <v>#N/A</v>
      </c>
      <c r="AK885" s="231" t="str">
        <f t="shared" si="117"/>
        <v xml:space="preserve"> </v>
      </c>
      <c r="AL885" s="232"/>
      <c r="AM885" s="232" t="str">
        <f t="shared" si="118"/>
        <v xml:space="preserve"> </v>
      </c>
      <c r="AN885" s="232" t="str">
        <f t="shared" si="119"/>
        <v xml:space="preserve"> </v>
      </c>
    </row>
    <row r="886" spans="28:40" x14ac:dyDescent="0.25">
      <c r="AB886" s="230" t="e">
        <f>T886-HLOOKUP(V886,Minimas!$C$3:$CD$12,2,FALSE)</f>
        <v>#N/A</v>
      </c>
      <c r="AC886" s="230" t="e">
        <f>T886-HLOOKUP(V886,Minimas!$C$3:$CD$12,3,FALSE)</f>
        <v>#N/A</v>
      </c>
      <c r="AD886" s="230" t="e">
        <f>T886-HLOOKUP(V886,Minimas!$C$3:$CD$12,4,FALSE)</f>
        <v>#N/A</v>
      </c>
      <c r="AE886" s="230" t="e">
        <f>T886-HLOOKUP(V886,Minimas!$C$3:$CD$12,5,FALSE)</f>
        <v>#N/A</v>
      </c>
      <c r="AF886" s="230" t="e">
        <f>T886-HLOOKUP(V886,Minimas!$C$3:$CD$12,6,FALSE)</f>
        <v>#N/A</v>
      </c>
      <c r="AG886" s="230" t="e">
        <f>T886-HLOOKUP(V886,Minimas!$C$3:$CD$12,7,FALSE)</f>
        <v>#N/A</v>
      </c>
      <c r="AH886" s="230" t="e">
        <f>T886-HLOOKUP(V886,Minimas!$C$3:$CD$12,8,FALSE)</f>
        <v>#N/A</v>
      </c>
      <c r="AI886" s="230" t="e">
        <f>T886-HLOOKUP(V886,Minimas!$C$3:$CD$12,9,FALSE)</f>
        <v>#N/A</v>
      </c>
      <c r="AJ886" s="230" t="e">
        <f>T886-HLOOKUP(V886,Minimas!$C$3:$CD$12,10,FALSE)</f>
        <v>#N/A</v>
      </c>
      <c r="AK886" s="231" t="str">
        <f t="shared" si="117"/>
        <v xml:space="preserve"> </v>
      </c>
      <c r="AL886" s="232"/>
      <c r="AM886" s="232" t="str">
        <f t="shared" si="118"/>
        <v xml:space="preserve"> </v>
      </c>
      <c r="AN886" s="232" t="str">
        <f t="shared" si="119"/>
        <v xml:space="preserve"> </v>
      </c>
    </row>
    <row r="887" spans="28:40" x14ac:dyDescent="0.25">
      <c r="AB887" s="230" t="e">
        <f>T887-HLOOKUP(V887,Minimas!$C$3:$CD$12,2,FALSE)</f>
        <v>#N/A</v>
      </c>
      <c r="AC887" s="230" t="e">
        <f>T887-HLOOKUP(V887,Minimas!$C$3:$CD$12,3,FALSE)</f>
        <v>#N/A</v>
      </c>
      <c r="AD887" s="230" t="e">
        <f>T887-HLOOKUP(V887,Minimas!$C$3:$CD$12,4,FALSE)</f>
        <v>#N/A</v>
      </c>
      <c r="AE887" s="230" t="e">
        <f>T887-HLOOKUP(V887,Minimas!$C$3:$CD$12,5,FALSE)</f>
        <v>#N/A</v>
      </c>
      <c r="AF887" s="230" t="e">
        <f>T887-HLOOKUP(V887,Minimas!$C$3:$CD$12,6,FALSE)</f>
        <v>#N/A</v>
      </c>
      <c r="AG887" s="230" t="e">
        <f>T887-HLOOKUP(V887,Minimas!$C$3:$CD$12,7,FALSE)</f>
        <v>#N/A</v>
      </c>
      <c r="AH887" s="230" t="e">
        <f>T887-HLOOKUP(V887,Minimas!$C$3:$CD$12,8,FALSE)</f>
        <v>#N/A</v>
      </c>
      <c r="AI887" s="230" t="e">
        <f>T887-HLOOKUP(V887,Minimas!$C$3:$CD$12,9,FALSE)</f>
        <v>#N/A</v>
      </c>
      <c r="AJ887" s="230" t="e">
        <f>T887-HLOOKUP(V887,Minimas!$C$3:$CD$12,10,FALSE)</f>
        <v>#N/A</v>
      </c>
      <c r="AK887" s="231" t="str">
        <f t="shared" si="117"/>
        <v xml:space="preserve"> </v>
      </c>
      <c r="AL887" s="232"/>
      <c r="AM887" s="232" t="str">
        <f t="shared" si="118"/>
        <v xml:space="preserve"> </v>
      </c>
      <c r="AN887" s="232" t="str">
        <f t="shared" si="119"/>
        <v xml:space="preserve"> </v>
      </c>
    </row>
    <row r="888" spans="28:40" x14ac:dyDescent="0.25">
      <c r="AB888" s="230" t="e">
        <f>T888-HLOOKUP(V888,Minimas!$C$3:$CD$12,2,FALSE)</f>
        <v>#N/A</v>
      </c>
      <c r="AC888" s="230" t="e">
        <f>T888-HLOOKUP(V888,Minimas!$C$3:$CD$12,3,FALSE)</f>
        <v>#N/A</v>
      </c>
      <c r="AD888" s="230" t="e">
        <f>T888-HLOOKUP(V888,Minimas!$C$3:$CD$12,4,FALSE)</f>
        <v>#N/A</v>
      </c>
      <c r="AE888" s="230" t="e">
        <f>T888-HLOOKUP(V888,Minimas!$C$3:$CD$12,5,FALSE)</f>
        <v>#N/A</v>
      </c>
      <c r="AF888" s="230" t="e">
        <f>T888-HLOOKUP(V888,Minimas!$C$3:$CD$12,6,FALSE)</f>
        <v>#N/A</v>
      </c>
      <c r="AG888" s="230" t="e">
        <f>T888-HLOOKUP(V888,Minimas!$C$3:$CD$12,7,FALSE)</f>
        <v>#N/A</v>
      </c>
      <c r="AH888" s="230" t="e">
        <f>T888-HLOOKUP(V888,Minimas!$C$3:$CD$12,8,FALSE)</f>
        <v>#N/A</v>
      </c>
      <c r="AI888" s="230" t="e">
        <f>T888-HLOOKUP(V888,Minimas!$C$3:$CD$12,9,FALSE)</f>
        <v>#N/A</v>
      </c>
      <c r="AJ888" s="230" t="e">
        <f>T888-HLOOKUP(V888,Minimas!$C$3:$CD$12,10,FALSE)</f>
        <v>#N/A</v>
      </c>
      <c r="AK888" s="231" t="str">
        <f t="shared" si="117"/>
        <v xml:space="preserve"> </v>
      </c>
      <c r="AL888" s="232"/>
      <c r="AM888" s="232" t="str">
        <f t="shared" si="118"/>
        <v xml:space="preserve"> </v>
      </c>
      <c r="AN888" s="232" t="str">
        <f t="shared" si="119"/>
        <v xml:space="preserve"> </v>
      </c>
    </row>
    <row r="889" spans="28:40" x14ac:dyDescent="0.25">
      <c r="AB889" s="230" t="e">
        <f>T889-HLOOKUP(V889,Minimas!$C$3:$CD$12,2,FALSE)</f>
        <v>#N/A</v>
      </c>
      <c r="AC889" s="230" t="e">
        <f>T889-HLOOKUP(V889,Minimas!$C$3:$CD$12,3,FALSE)</f>
        <v>#N/A</v>
      </c>
      <c r="AD889" s="230" t="e">
        <f>T889-HLOOKUP(V889,Minimas!$C$3:$CD$12,4,FALSE)</f>
        <v>#N/A</v>
      </c>
      <c r="AE889" s="230" t="e">
        <f>T889-HLOOKUP(V889,Minimas!$C$3:$CD$12,5,FALSE)</f>
        <v>#N/A</v>
      </c>
      <c r="AF889" s="230" t="e">
        <f>T889-HLOOKUP(V889,Minimas!$C$3:$CD$12,6,FALSE)</f>
        <v>#N/A</v>
      </c>
      <c r="AG889" s="230" t="e">
        <f>T889-HLOOKUP(V889,Minimas!$C$3:$CD$12,7,FALSE)</f>
        <v>#N/A</v>
      </c>
      <c r="AH889" s="230" t="e">
        <f>T889-HLOOKUP(V889,Minimas!$C$3:$CD$12,8,FALSE)</f>
        <v>#N/A</v>
      </c>
      <c r="AI889" s="230" t="e">
        <f>T889-HLOOKUP(V889,Minimas!$C$3:$CD$12,9,FALSE)</f>
        <v>#N/A</v>
      </c>
      <c r="AJ889" s="230" t="e">
        <f>T889-HLOOKUP(V889,Minimas!$C$3:$CD$12,10,FALSE)</f>
        <v>#N/A</v>
      </c>
      <c r="AK889" s="231" t="str">
        <f t="shared" si="117"/>
        <v xml:space="preserve"> </v>
      </c>
      <c r="AL889" s="232"/>
      <c r="AM889" s="232" t="str">
        <f t="shared" si="118"/>
        <v xml:space="preserve"> </v>
      </c>
      <c r="AN889" s="232" t="str">
        <f t="shared" si="119"/>
        <v xml:space="preserve"> </v>
      </c>
    </row>
    <row r="890" spans="28:40" x14ac:dyDescent="0.25">
      <c r="AB890" s="230" t="e">
        <f>T890-HLOOKUP(V890,Minimas!$C$3:$CD$12,2,FALSE)</f>
        <v>#N/A</v>
      </c>
      <c r="AC890" s="230" t="e">
        <f>T890-HLOOKUP(V890,Minimas!$C$3:$CD$12,3,FALSE)</f>
        <v>#N/A</v>
      </c>
      <c r="AD890" s="230" t="e">
        <f>T890-HLOOKUP(V890,Minimas!$C$3:$CD$12,4,FALSE)</f>
        <v>#N/A</v>
      </c>
      <c r="AE890" s="230" t="e">
        <f>T890-HLOOKUP(V890,Minimas!$C$3:$CD$12,5,FALSE)</f>
        <v>#N/A</v>
      </c>
      <c r="AF890" s="230" t="e">
        <f>T890-HLOOKUP(V890,Minimas!$C$3:$CD$12,6,FALSE)</f>
        <v>#N/A</v>
      </c>
      <c r="AG890" s="230" t="e">
        <f>T890-HLOOKUP(V890,Minimas!$C$3:$CD$12,7,FALSE)</f>
        <v>#N/A</v>
      </c>
      <c r="AH890" s="230" t="e">
        <f>T890-HLOOKUP(V890,Minimas!$C$3:$CD$12,8,FALSE)</f>
        <v>#N/A</v>
      </c>
      <c r="AI890" s="230" t="e">
        <f>T890-HLOOKUP(V890,Minimas!$C$3:$CD$12,9,FALSE)</f>
        <v>#N/A</v>
      </c>
      <c r="AJ890" s="230" t="e">
        <f>T890-HLOOKUP(V890,Minimas!$C$3:$CD$12,10,FALSE)</f>
        <v>#N/A</v>
      </c>
      <c r="AK890" s="231" t="str">
        <f t="shared" si="117"/>
        <v xml:space="preserve"> </v>
      </c>
      <c r="AL890" s="232"/>
      <c r="AM890" s="232" t="str">
        <f t="shared" si="118"/>
        <v xml:space="preserve"> </v>
      </c>
      <c r="AN890" s="232" t="str">
        <f t="shared" si="119"/>
        <v xml:space="preserve"> </v>
      </c>
    </row>
    <row r="891" spans="28:40" x14ac:dyDescent="0.25">
      <c r="AB891" s="230" t="e">
        <f>T891-HLOOKUP(V891,Minimas!$C$3:$CD$12,2,FALSE)</f>
        <v>#N/A</v>
      </c>
      <c r="AC891" s="230" t="e">
        <f>T891-HLOOKUP(V891,Minimas!$C$3:$CD$12,3,FALSE)</f>
        <v>#N/A</v>
      </c>
      <c r="AD891" s="230" t="e">
        <f>T891-HLOOKUP(V891,Minimas!$C$3:$CD$12,4,FALSE)</f>
        <v>#N/A</v>
      </c>
      <c r="AE891" s="230" t="e">
        <f>T891-HLOOKUP(V891,Minimas!$C$3:$CD$12,5,FALSE)</f>
        <v>#N/A</v>
      </c>
      <c r="AF891" s="230" t="e">
        <f>T891-HLOOKUP(V891,Minimas!$C$3:$CD$12,6,FALSE)</f>
        <v>#N/A</v>
      </c>
      <c r="AG891" s="230" t="e">
        <f>T891-HLOOKUP(V891,Minimas!$C$3:$CD$12,7,FALSE)</f>
        <v>#N/A</v>
      </c>
      <c r="AH891" s="230" t="e">
        <f>T891-HLOOKUP(V891,Minimas!$C$3:$CD$12,8,FALSE)</f>
        <v>#N/A</v>
      </c>
      <c r="AI891" s="230" t="e">
        <f>T891-HLOOKUP(V891,Minimas!$C$3:$CD$12,9,FALSE)</f>
        <v>#N/A</v>
      </c>
      <c r="AJ891" s="230" t="e">
        <f>T891-HLOOKUP(V891,Minimas!$C$3:$CD$12,10,FALSE)</f>
        <v>#N/A</v>
      </c>
      <c r="AK891" s="231" t="str">
        <f t="shared" si="117"/>
        <v xml:space="preserve"> </v>
      </c>
      <c r="AL891" s="232"/>
      <c r="AM891" s="232" t="str">
        <f t="shared" si="118"/>
        <v xml:space="preserve"> </v>
      </c>
      <c r="AN891" s="232" t="str">
        <f t="shared" si="119"/>
        <v xml:space="preserve"> </v>
      </c>
    </row>
    <row r="892" spans="28:40" x14ac:dyDescent="0.25">
      <c r="AB892" s="230" t="e">
        <f>T892-HLOOKUP(V892,Minimas!$C$3:$CD$12,2,FALSE)</f>
        <v>#N/A</v>
      </c>
      <c r="AC892" s="230" t="e">
        <f>T892-HLOOKUP(V892,Minimas!$C$3:$CD$12,3,FALSE)</f>
        <v>#N/A</v>
      </c>
      <c r="AD892" s="230" t="e">
        <f>T892-HLOOKUP(V892,Minimas!$C$3:$CD$12,4,FALSE)</f>
        <v>#N/A</v>
      </c>
      <c r="AE892" s="230" t="e">
        <f>T892-HLOOKUP(V892,Minimas!$C$3:$CD$12,5,FALSE)</f>
        <v>#N/A</v>
      </c>
      <c r="AF892" s="230" t="e">
        <f>T892-HLOOKUP(V892,Minimas!$C$3:$CD$12,6,FALSE)</f>
        <v>#N/A</v>
      </c>
      <c r="AG892" s="230" t="e">
        <f>T892-HLOOKUP(V892,Minimas!$C$3:$CD$12,7,FALSE)</f>
        <v>#N/A</v>
      </c>
      <c r="AH892" s="230" t="e">
        <f>T892-HLOOKUP(V892,Minimas!$C$3:$CD$12,8,FALSE)</f>
        <v>#N/A</v>
      </c>
      <c r="AI892" s="230" t="e">
        <f>T892-HLOOKUP(V892,Minimas!$C$3:$CD$12,9,FALSE)</f>
        <v>#N/A</v>
      </c>
      <c r="AJ892" s="230" t="e">
        <f>T892-HLOOKUP(V892,Minimas!$C$3:$CD$12,10,FALSE)</f>
        <v>#N/A</v>
      </c>
      <c r="AK892" s="231" t="str">
        <f t="shared" si="117"/>
        <v xml:space="preserve"> </v>
      </c>
      <c r="AL892" s="232"/>
      <c r="AM892" s="232" t="str">
        <f t="shared" si="118"/>
        <v xml:space="preserve"> </v>
      </c>
      <c r="AN892" s="232" t="str">
        <f t="shared" si="119"/>
        <v xml:space="preserve"> </v>
      </c>
    </row>
    <row r="893" spans="28:40" x14ac:dyDescent="0.25">
      <c r="AB893" s="230" t="e">
        <f>T893-HLOOKUP(V893,Minimas!$C$3:$CD$12,2,FALSE)</f>
        <v>#N/A</v>
      </c>
      <c r="AC893" s="230" t="e">
        <f>T893-HLOOKUP(V893,Minimas!$C$3:$CD$12,3,FALSE)</f>
        <v>#N/A</v>
      </c>
      <c r="AD893" s="230" t="e">
        <f>T893-HLOOKUP(V893,Minimas!$C$3:$CD$12,4,FALSE)</f>
        <v>#N/A</v>
      </c>
      <c r="AE893" s="230" t="e">
        <f>T893-HLOOKUP(V893,Minimas!$C$3:$CD$12,5,FALSE)</f>
        <v>#N/A</v>
      </c>
      <c r="AF893" s="230" t="e">
        <f>T893-HLOOKUP(V893,Minimas!$C$3:$CD$12,6,FALSE)</f>
        <v>#N/A</v>
      </c>
      <c r="AG893" s="230" t="e">
        <f>T893-HLOOKUP(V893,Minimas!$C$3:$CD$12,7,FALSE)</f>
        <v>#N/A</v>
      </c>
      <c r="AH893" s="230" t="e">
        <f>T893-HLOOKUP(V893,Minimas!$C$3:$CD$12,8,FALSE)</f>
        <v>#N/A</v>
      </c>
      <c r="AI893" s="230" t="e">
        <f>T893-HLOOKUP(V893,Minimas!$C$3:$CD$12,9,FALSE)</f>
        <v>#N/A</v>
      </c>
      <c r="AJ893" s="230" t="e">
        <f>T893-HLOOKUP(V893,Minimas!$C$3:$CD$12,10,FALSE)</f>
        <v>#N/A</v>
      </c>
      <c r="AK893" s="231" t="str">
        <f t="shared" si="117"/>
        <v xml:space="preserve"> </v>
      </c>
      <c r="AL893" s="232"/>
      <c r="AM893" s="232" t="str">
        <f t="shared" si="118"/>
        <v xml:space="preserve"> </v>
      </c>
      <c r="AN893" s="232" t="str">
        <f t="shared" si="119"/>
        <v xml:space="preserve"> </v>
      </c>
    </row>
    <row r="894" spans="28:40" x14ac:dyDescent="0.25">
      <c r="AB894" s="230" t="e">
        <f>T894-HLOOKUP(V894,Minimas!$C$3:$CD$12,2,FALSE)</f>
        <v>#N/A</v>
      </c>
      <c r="AC894" s="230" t="e">
        <f>T894-HLOOKUP(V894,Minimas!$C$3:$CD$12,3,FALSE)</f>
        <v>#N/A</v>
      </c>
      <c r="AD894" s="230" t="e">
        <f>T894-HLOOKUP(V894,Minimas!$C$3:$CD$12,4,FALSE)</f>
        <v>#N/A</v>
      </c>
      <c r="AE894" s="230" t="e">
        <f>T894-HLOOKUP(V894,Minimas!$C$3:$CD$12,5,FALSE)</f>
        <v>#N/A</v>
      </c>
      <c r="AF894" s="230" t="e">
        <f>T894-HLOOKUP(V894,Minimas!$C$3:$CD$12,6,FALSE)</f>
        <v>#N/A</v>
      </c>
      <c r="AG894" s="230" t="e">
        <f>T894-HLOOKUP(V894,Minimas!$C$3:$CD$12,7,FALSE)</f>
        <v>#N/A</v>
      </c>
      <c r="AH894" s="230" t="e">
        <f>T894-HLOOKUP(V894,Minimas!$C$3:$CD$12,8,FALSE)</f>
        <v>#N/A</v>
      </c>
      <c r="AI894" s="230" t="e">
        <f>T894-HLOOKUP(V894,Minimas!$C$3:$CD$12,9,FALSE)</f>
        <v>#N/A</v>
      </c>
      <c r="AJ894" s="230" t="e">
        <f>T894-HLOOKUP(V894,Minimas!$C$3:$CD$12,10,FALSE)</f>
        <v>#N/A</v>
      </c>
      <c r="AK894" s="231" t="str">
        <f t="shared" si="117"/>
        <v xml:space="preserve"> </v>
      </c>
      <c r="AL894" s="232"/>
      <c r="AM894" s="232" t="str">
        <f t="shared" si="118"/>
        <v xml:space="preserve"> </v>
      </c>
      <c r="AN894" s="232" t="str">
        <f t="shared" si="119"/>
        <v xml:space="preserve"> </v>
      </c>
    </row>
    <row r="895" spans="28:40" x14ac:dyDescent="0.25">
      <c r="AB895" s="230" t="e">
        <f>T895-HLOOKUP(V895,Minimas!$C$3:$CD$12,2,FALSE)</f>
        <v>#N/A</v>
      </c>
      <c r="AC895" s="230" t="e">
        <f>T895-HLOOKUP(V895,Minimas!$C$3:$CD$12,3,FALSE)</f>
        <v>#N/A</v>
      </c>
      <c r="AD895" s="230" t="e">
        <f>T895-HLOOKUP(V895,Minimas!$C$3:$CD$12,4,FALSE)</f>
        <v>#N/A</v>
      </c>
      <c r="AE895" s="230" t="e">
        <f>T895-HLOOKUP(V895,Minimas!$C$3:$CD$12,5,FALSE)</f>
        <v>#N/A</v>
      </c>
      <c r="AF895" s="230" t="e">
        <f>T895-HLOOKUP(V895,Minimas!$C$3:$CD$12,6,FALSE)</f>
        <v>#N/A</v>
      </c>
      <c r="AG895" s="230" t="e">
        <f>T895-HLOOKUP(V895,Minimas!$C$3:$CD$12,7,FALSE)</f>
        <v>#N/A</v>
      </c>
      <c r="AH895" s="230" t="e">
        <f>T895-HLOOKUP(V895,Minimas!$C$3:$CD$12,8,FALSE)</f>
        <v>#N/A</v>
      </c>
      <c r="AI895" s="230" t="e">
        <f>T895-HLOOKUP(V895,Minimas!$C$3:$CD$12,9,FALSE)</f>
        <v>#N/A</v>
      </c>
      <c r="AJ895" s="230" t="e">
        <f>T895-HLOOKUP(V895,Minimas!$C$3:$CD$12,10,FALSE)</f>
        <v>#N/A</v>
      </c>
      <c r="AK895" s="231" t="str">
        <f t="shared" si="117"/>
        <v xml:space="preserve"> </v>
      </c>
      <c r="AL895" s="232"/>
      <c r="AM895" s="232" t="str">
        <f t="shared" si="118"/>
        <v xml:space="preserve"> </v>
      </c>
      <c r="AN895" s="232" t="str">
        <f t="shared" si="119"/>
        <v xml:space="preserve"> </v>
      </c>
    </row>
    <row r="896" spans="28:40" x14ac:dyDescent="0.25">
      <c r="AB896" s="230" t="e">
        <f>T896-HLOOKUP(V896,Minimas!$C$3:$CD$12,2,FALSE)</f>
        <v>#N/A</v>
      </c>
      <c r="AC896" s="230" t="e">
        <f>T896-HLOOKUP(V896,Minimas!$C$3:$CD$12,3,FALSE)</f>
        <v>#N/A</v>
      </c>
      <c r="AD896" s="230" t="e">
        <f>T896-HLOOKUP(V896,Minimas!$C$3:$CD$12,4,FALSE)</f>
        <v>#N/A</v>
      </c>
      <c r="AE896" s="230" t="e">
        <f>T896-HLOOKUP(V896,Minimas!$C$3:$CD$12,5,FALSE)</f>
        <v>#N/A</v>
      </c>
      <c r="AF896" s="230" t="e">
        <f>T896-HLOOKUP(V896,Minimas!$C$3:$CD$12,6,FALSE)</f>
        <v>#N/A</v>
      </c>
      <c r="AG896" s="230" t="e">
        <f>T896-HLOOKUP(V896,Minimas!$C$3:$CD$12,7,FALSE)</f>
        <v>#N/A</v>
      </c>
      <c r="AH896" s="230" t="e">
        <f>T896-HLOOKUP(V896,Minimas!$C$3:$CD$12,8,FALSE)</f>
        <v>#N/A</v>
      </c>
      <c r="AI896" s="230" t="e">
        <f>T896-HLOOKUP(V896,Minimas!$C$3:$CD$12,9,FALSE)</f>
        <v>#N/A</v>
      </c>
      <c r="AJ896" s="230" t="e">
        <f>T896-HLOOKUP(V896,Minimas!$C$3:$CD$12,10,FALSE)</f>
        <v>#N/A</v>
      </c>
      <c r="AK896" s="231" t="str">
        <f t="shared" si="117"/>
        <v xml:space="preserve"> </v>
      </c>
      <c r="AL896" s="232"/>
      <c r="AM896" s="232" t="str">
        <f t="shared" si="118"/>
        <v xml:space="preserve"> </v>
      </c>
      <c r="AN896" s="232" t="str">
        <f t="shared" si="119"/>
        <v xml:space="preserve"> </v>
      </c>
    </row>
    <row r="897" spans="28:40" x14ac:dyDescent="0.25">
      <c r="AB897" s="230" t="e">
        <f>T897-HLOOKUP(V897,Minimas!$C$3:$CD$12,2,FALSE)</f>
        <v>#N/A</v>
      </c>
      <c r="AC897" s="230" t="e">
        <f>T897-HLOOKUP(V897,Minimas!$C$3:$CD$12,3,FALSE)</f>
        <v>#N/A</v>
      </c>
      <c r="AD897" s="230" t="e">
        <f>T897-HLOOKUP(V897,Minimas!$C$3:$CD$12,4,FALSE)</f>
        <v>#N/A</v>
      </c>
      <c r="AE897" s="230" t="e">
        <f>T897-HLOOKUP(V897,Minimas!$C$3:$CD$12,5,FALSE)</f>
        <v>#N/A</v>
      </c>
      <c r="AF897" s="230" t="e">
        <f>T897-HLOOKUP(V897,Minimas!$C$3:$CD$12,6,FALSE)</f>
        <v>#N/A</v>
      </c>
      <c r="AG897" s="230" t="e">
        <f>T897-HLOOKUP(V897,Minimas!$C$3:$CD$12,7,FALSE)</f>
        <v>#N/A</v>
      </c>
      <c r="AH897" s="230" t="e">
        <f>T897-HLOOKUP(V897,Minimas!$C$3:$CD$12,8,FALSE)</f>
        <v>#N/A</v>
      </c>
      <c r="AI897" s="230" t="e">
        <f>T897-HLOOKUP(V897,Minimas!$C$3:$CD$12,9,FALSE)</f>
        <v>#N/A</v>
      </c>
      <c r="AJ897" s="230" t="e">
        <f>T897-HLOOKUP(V897,Minimas!$C$3:$CD$12,10,FALSE)</f>
        <v>#N/A</v>
      </c>
      <c r="AK897" s="231" t="str">
        <f t="shared" si="117"/>
        <v xml:space="preserve"> </v>
      </c>
      <c r="AL897" s="232"/>
      <c r="AM897" s="232" t="str">
        <f t="shared" si="118"/>
        <v xml:space="preserve"> </v>
      </c>
      <c r="AN897" s="232" t="str">
        <f t="shared" si="119"/>
        <v xml:space="preserve"> </v>
      </c>
    </row>
    <row r="898" spans="28:40" x14ac:dyDescent="0.25">
      <c r="AB898" s="230" t="e">
        <f>T898-HLOOKUP(V898,Minimas!$C$3:$CD$12,2,FALSE)</f>
        <v>#N/A</v>
      </c>
      <c r="AC898" s="230" t="e">
        <f>T898-HLOOKUP(V898,Minimas!$C$3:$CD$12,3,FALSE)</f>
        <v>#N/A</v>
      </c>
      <c r="AD898" s="230" t="e">
        <f>T898-HLOOKUP(V898,Minimas!$C$3:$CD$12,4,FALSE)</f>
        <v>#N/A</v>
      </c>
      <c r="AE898" s="230" t="e">
        <f>T898-HLOOKUP(V898,Minimas!$C$3:$CD$12,5,FALSE)</f>
        <v>#N/A</v>
      </c>
      <c r="AF898" s="230" t="e">
        <f>T898-HLOOKUP(V898,Minimas!$C$3:$CD$12,6,FALSE)</f>
        <v>#N/A</v>
      </c>
      <c r="AG898" s="230" t="e">
        <f>T898-HLOOKUP(V898,Minimas!$C$3:$CD$12,7,FALSE)</f>
        <v>#N/A</v>
      </c>
      <c r="AH898" s="230" t="e">
        <f>T898-HLOOKUP(V898,Minimas!$C$3:$CD$12,8,FALSE)</f>
        <v>#N/A</v>
      </c>
      <c r="AI898" s="230" t="e">
        <f>T898-HLOOKUP(V898,Minimas!$C$3:$CD$12,9,FALSE)</f>
        <v>#N/A</v>
      </c>
      <c r="AJ898" s="230" t="e">
        <f>T898-HLOOKUP(V898,Minimas!$C$3:$CD$12,10,FALSE)</f>
        <v>#N/A</v>
      </c>
      <c r="AK898" s="231" t="str">
        <f t="shared" si="117"/>
        <v xml:space="preserve"> </v>
      </c>
      <c r="AL898" s="232"/>
      <c r="AM898" s="232" t="str">
        <f t="shared" si="118"/>
        <v xml:space="preserve"> </v>
      </c>
      <c r="AN898" s="232" t="str">
        <f t="shared" si="119"/>
        <v xml:space="preserve"> </v>
      </c>
    </row>
    <row r="899" spans="28:40" x14ac:dyDescent="0.25">
      <c r="AB899" s="230" t="e">
        <f>T899-HLOOKUP(V899,Minimas!$C$3:$CD$12,2,FALSE)</f>
        <v>#N/A</v>
      </c>
      <c r="AC899" s="230" t="e">
        <f>T899-HLOOKUP(V899,Minimas!$C$3:$CD$12,3,FALSE)</f>
        <v>#N/A</v>
      </c>
      <c r="AD899" s="230" t="e">
        <f>T899-HLOOKUP(V899,Minimas!$C$3:$CD$12,4,FALSE)</f>
        <v>#N/A</v>
      </c>
      <c r="AE899" s="230" t="e">
        <f>T899-HLOOKUP(V899,Minimas!$C$3:$CD$12,5,FALSE)</f>
        <v>#N/A</v>
      </c>
      <c r="AF899" s="230" t="e">
        <f>T899-HLOOKUP(V899,Minimas!$C$3:$CD$12,6,FALSE)</f>
        <v>#N/A</v>
      </c>
      <c r="AG899" s="230" t="e">
        <f>T899-HLOOKUP(V899,Minimas!$C$3:$CD$12,7,FALSE)</f>
        <v>#N/A</v>
      </c>
      <c r="AH899" s="230" t="e">
        <f>T899-HLOOKUP(V899,Minimas!$C$3:$CD$12,8,FALSE)</f>
        <v>#N/A</v>
      </c>
      <c r="AI899" s="230" t="e">
        <f>T899-HLOOKUP(V899,Minimas!$C$3:$CD$12,9,FALSE)</f>
        <v>#N/A</v>
      </c>
      <c r="AJ899" s="230" t="e">
        <f>T899-HLOOKUP(V899,Minimas!$C$3:$CD$12,10,FALSE)</f>
        <v>#N/A</v>
      </c>
      <c r="AK899" s="231" t="str">
        <f t="shared" si="117"/>
        <v xml:space="preserve"> </v>
      </c>
      <c r="AL899" s="232"/>
      <c r="AM899" s="232" t="str">
        <f t="shared" si="118"/>
        <v xml:space="preserve"> </v>
      </c>
      <c r="AN899" s="232" t="str">
        <f t="shared" si="119"/>
        <v xml:space="preserve"> </v>
      </c>
    </row>
    <row r="900" spans="28:40" x14ac:dyDescent="0.25">
      <c r="AB900" s="230" t="e">
        <f>T900-HLOOKUP(V900,Minimas!$C$3:$CD$12,2,FALSE)</f>
        <v>#N/A</v>
      </c>
      <c r="AC900" s="230" t="e">
        <f>T900-HLOOKUP(V900,Minimas!$C$3:$CD$12,3,FALSE)</f>
        <v>#N/A</v>
      </c>
      <c r="AD900" s="230" t="e">
        <f>T900-HLOOKUP(V900,Minimas!$C$3:$CD$12,4,FALSE)</f>
        <v>#N/A</v>
      </c>
      <c r="AE900" s="230" t="e">
        <f>T900-HLOOKUP(V900,Minimas!$C$3:$CD$12,5,FALSE)</f>
        <v>#N/A</v>
      </c>
      <c r="AF900" s="230" t="e">
        <f>T900-HLOOKUP(V900,Minimas!$C$3:$CD$12,6,FALSE)</f>
        <v>#N/A</v>
      </c>
      <c r="AG900" s="230" t="e">
        <f>T900-HLOOKUP(V900,Minimas!$C$3:$CD$12,7,FALSE)</f>
        <v>#N/A</v>
      </c>
      <c r="AH900" s="230" t="e">
        <f>T900-HLOOKUP(V900,Minimas!$C$3:$CD$12,8,FALSE)</f>
        <v>#N/A</v>
      </c>
      <c r="AI900" s="230" t="e">
        <f>T900-HLOOKUP(V900,Minimas!$C$3:$CD$12,9,FALSE)</f>
        <v>#N/A</v>
      </c>
      <c r="AJ900" s="230" t="e">
        <f>T900-HLOOKUP(V900,Minimas!$C$3:$CD$12,10,FALSE)</f>
        <v>#N/A</v>
      </c>
      <c r="AK900" s="231" t="str">
        <f t="shared" ref="AK900:AK963" si="120">IF(E900=0," ",IF(AJ900&gt;=0,$AJ$5,IF(AI900&gt;=0,$AI$5,IF(AH900&gt;=0,$AH$5,IF(AG900&gt;=0,$AG$5,IF(AF900&gt;=0,$AF$5,IF(AE900&gt;=0,$AE$5,IF(AD900&gt;=0,$AD$5,IF(AC900&gt;=0,$AC$5,$AB$5)))))))))</f>
        <v xml:space="preserve"> </v>
      </c>
      <c r="AL900" s="232"/>
      <c r="AM900" s="232" t="str">
        <f t="shared" ref="AM900:AM963" si="121">IF(AK900="","",AK900)</f>
        <v xml:space="preserve"> </v>
      </c>
      <c r="AN900" s="232" t="str">
        <f t="shared" ref="AN900:AN963" si="122">IF(E900=0," ",IF(AJ900&gt;=0,AJ900,IF(AI900&gt;=0,AI900,IF(AH900&gt;=0,AH900,IF(AG900&gt;=0,AG900,IF(AF900&gt;=0,AF900,IF(AE900&gt;=0,AE900,IF(AD900&gt;=0,AD900,IF(AC900&gt;=0,AC900,AB900)))))))))</f>
        <v xml:space="preserve"> </v>
      </c>
    </row>
    <row r="901" spans="28:40" x14ac:dyDescent="0.25">
      <c r="AB901" s="230" t="e">
        <f>T901-HLOOKUP(V901,Minimas!$C$3:$CD$12,2,FALSE)</f>
        <v>#N/A</v>
      </c>
      <c r="AC901" s="230" t="e">
        <f>T901-HLOOKUP(V901,Minimas!$C$3:$CD$12,3,FALSE)</f>
        <v>#N/A</v>
      </c>
      <c r="AD901" s="230" t="e">
        <f>T901-HLOOKUP(V901,Minimas!$C$3:$CD$12,4,FALSE)</f>
        <v>#N/A</v>
      </c>
      <c r="AE901" s="230" t="e">
        <f>T901-HLOOKUP(V901,Minimas!$C$3:$CD$12,5,FALSE)</f>
        <v>#N/A</v>
      </c>
      <c r="AF901" s="230" t="e">
        <f>T901-HLOOKUP(V901,Minimas!$C$3:$CD$12,6,FALSE)</f>
        <v>#N/A</v>
      </c>
      <c r="AG901" s="230" t="e">
        <f>T901-HLOOKUP(V901,Minimas!$C$3:$CD$12,7,FALSE)</f>
        <v>#N/A</v>
      </c>
      <c r="AH901" s="230" t="e">
        <f>T901-HLOOKUP(V901,Minimas!$C$3:$CD$12,8,FALSE)</f>
        <v>#N/A</v>
      </c>
      <c r="AI901" s="230" t="e">
        <f>T901-HLOOKUP(V901,Minimas!$C$3:$CD$12,9,FALSE)</f>
        <v>#N/A</v>
      </c>
      <c r="AJ901" s="230" t="e">
        <f>T901-HLOOKUP(V901,Minimas!$C$3:$CD$12,10,FALSE)</f>
        <v>#N/A</v>
      </c>
      <c r="AK901" s="231" t="str">
        <f t="shared" si="120"/>
        <v xml:space="preserve"> </v>
      </c>
      <c r="AL901" s="232"/>
      <c r="AM901" s="232" t="str">
        <f t="shared" si="121"/>
        <v xml:space="preserve"> </v>
      </c>
      <c r="AN901" s="232" t="str">
        <f t="shared" si="122"/>
        <v xml:space="preserve"> </v>
      </c>
    </row>
    <row r="902" spans="28:40" x14ac:dyDescent="0.25">
      <c r="AB902" s="230" t="e">
        <f>T902-HLOOKUP(V902,Minimas!$C$3:$CD$12,2,FALSE)</f>
        <v>#N/A</v>
      </c>
      <c r="AC902" s="230" t="e">
        <f>T902-HLOOKUP(V902,Minimas!$C$3:$CD$12,3,FALSE)</f>
        <v>#N/A</v>
      </c>
      <c r="AD902" s="230" t="e">
        <f>T902-HLOOKUP(V902,Minimas!$C$3:$CD$12,4,FALSE)</f>
        <v>#N/A</v>
      </c>
      <c r="AE902" s="230" t="e">
        <f>T902-HLOOKUP(V902,Minimas!$C$3:$CD$12,5,FALSE)</f>
        <v>#N/A</v>
      </c>
      <c r="AF902" s="230" t="e">
        <f>T902-HLOOKUP(V902,Minimas!$C$3:$CD$12,6,FALSE)</f>
        <v>#N/A</v>
      </c>
      <c r="AG902" s="230" t="e">
        <f>T902-HLOOKUP(V902,Minimas!$C$3:$CD$12,7,FALSE)</f>
        <v>#N/A</v>
      </c>
      <c r="AH902" s="230" t="e">
        <f>T902-HLOOKUP(V902,Minimas!$C$3:$CD$12,8,FALSE)</f>
        <v>#N/A</v>
      </c>
      <c r="AI902" s="230" t="e">
        <f>T902-HLOOKUP(V902,Minimas!$C$3:$CD$12,9,FALSE)</f>
        <v>#N/A</v>
      </c>
      <c r="AJ902" s="230" t="e">
        <f>T902-HLOOKUP(V902,Minimas!$C$3:$CD$12,10,FALSE)</f>
        <v>#N/A</v>
      </c>
      <c r="AK902" s="231" t="str">
        <f t="shared" si="120"/>
        <v xml:space="preserve"> </v>
      </c>
      <c r="AL902" s="232"/>
      <c r="AM902" s="232" t="str">
        <f t="shared" si="121"/>
        <v xml:space="preserve"> </v>
      </c>
      <c r="AN902" s="232" t="str">
        <f t="shared" si="122"/>
        <v xml:space="preserve"> </v>
      </c>
    </row>
    <row r="903" spans="28:40" x14ac:dyDescent="0.25">
      <c r="AB903" s="230" t="e">
        <f>T903-HLOOKUP(V903,Minimas!$C$3:$CD$12,2,FALSE)</f>
        <v>#N/A</v>
      </c>
      <c r="AC903" s="230" t="e">
        <f>T903-HLOOKUP(V903,Minimas!$C$3:$CD$12,3,FALSE)</f>
        <v>#N/A</v>
      </c>
      <c r="AD903" s="230" t="e">
        <f>T903-HLOOKUP(V903,Minimas!$C$3:$CD$12,4,FALSE)</f>
        <v>#N/A</v>
      </c>
      <c r="AE903" s="230" t="e">
        <f>T903-HLOOKUP(V903,Minimas!$C$3:$CD$12,5,FALSE)</f>
        <v>#N/A</v>
      </c>
      <c r="AF903" s="230" t="e">
        <f>T903-HLOOKUP(V903,Minimas!$C$3:$CD$12,6,FALSE)</f>
        <v>#N/A</v>
      </c>
      <c r="AG903" s="230" t="e">
        <f>T903-HLOOKUP(V903,Minimas!$C$3:$CD$12,7,FALSE)</f>
        <v>#N/A</v>
      </c>
      <c r="AH903" s="230" t="e">
        <f>T903-HLOOKUP(V903,Minimas!$C$3:$CD$12,8,FALSE)</f>
        <v>#N/A</v>
      </c>
      <c r="AI903" s="230" t="e">
        <f>T903-HLOOKUP(V903,Minimas!$C$3:$CD$12,9,FALSE)</f>
        <v>#N/A</v>
      </c>
      <c r="AJ903" s="230" t="e">
        <f>T903-HLOOKUP(V903,Minimas!$C$3:$CD$12,10,FALSE)</f>
        <v>#N/A</v>
      </c>
      <c r="AK903" s="231" t="str">
        <f t="shared" si="120"/>
        <v xml:space="preserve"> </v>
      </c>
      <c r="AL903" s="232"/>
      <c r="AM903" s="232" t="str">
        <f t="shared" si="121"/>
        <v xml:space="preserve"> </v>
      </c>
      <c r="AN903" s="232" t="str">
        <f t="shared" si="122"/>
        <v xml:space="preserve"> </v>
      </c>
    </row>
    <row r="904" spans="28:40" x14ac:dyDescent="0.25">
      <c r="AB904" s="230" t="e">
        <f>T904-HLOOKUP(V904,Minimas!$C$3:$CD$12,2,FALSE)</f>
        <v>#N/A</v>
      </c>
      <c r="AC904" s="230" t="e">
        <f>T904-HLOOKUP(V904,Minimas!$C$3:$CD$12,3,FALSE)</f>
        <v>#N/A</v>
      </c>
      <c r="AD904" s="230" t="e">
        <f>T904-HLOOKUP(V904,Minimas!$C$3:$CD$12,4,FALSE)</f>
        <v>#N/A</v>
      </c>
      <c r="AE904" s="230" t="e">
        <f>T904-HLOOKUP(V904,Minimas!$C$3:$CD$12,5,FALSE)</f>
        <v>#N/A</v>
      </c>
      <c r="AF904" s="230" t="e">
        <f>T904-HLOOKUP(V904,Minimas!$C$3:$CD$12,6,FALSE)</f>
        <v>#N/A</v>
      </c>
      <c r="AG904" s="230" t="e">
        <f>T904-HLOOKUP(V904,Minimas!$C$3:$CD$12,7,FALSE)</f>
        <v>#N/A</v>
      </c>
      <c r="AH904" s="230" t="e">
        <f>T904-HLOOKUP(V904,Minimas!$C$3:$CD$12,8,FALSE)</f>
        <v>#N/A</v>
      </c>
      <c r="AI904" s="230" t="e">
        <f>T904-HLOOKUP(V904,Minimas!$C$3:$CD$12,9,FALSE)</f>
        <v>#N/A</v>
      </c>
      <c r="AJ904" s="230" t="e">
        <f>T904-HLOOKUP(V904,Minimas!$C$3:$CD$12,10,FALSE)</f>
        <v>#N/A</v>
      </c>
      <c r="AK904" s="231" t="str">
        <f t="shared" si="120"/>
        <v xml:space="preserve"> </v>
      </c>
      <c r="AL904" s="232"/>
      <c r="AM904" s="232" t="str">
        <f t="shared" si="121"/>
        <v xml:space="preserve"> </v>
      </c>
      <c r="AN904" s="232" t="str">
        <f t="shared" si="122"/>
        <v xml:space="preserve"> </v>
      </c>
    </row>
    <row r="905" spans="28:40" x14ac:dyDescent="0.25">
      <c r="AB905" s="230" t="e">
        <f>T905-HLOOKUP(V905,Minimas!$C$3:$CD$12,2,FALSE)</f>
        <v>#N/A</v>
      </c>
      <c r="AC905" s="230" t="e">
        <f>T905-HLOOKUP(V905,Minimas!$C$3:$CD$12,3,FALSE)</f>
        <v>#N/A</v>
      </c>
      <c r="AD905" s="230" t="e">
        <f>T905-HLOOKUP(V905,Minimas!$C$3:$CD$12,4,FALSE)</f>
        <v>#N/A</v>
      </c>
      <c r="AE905" s="230" t="e">
        <f>T905-HLOOKUP(V905,Minimas!$C$3:$CD$12,5,FALSE)</f>
        <v>#N/A</v>
      </c>
      <c r="AF905" s="230" t="e">
        <f>T905-HLOOKUP(V905,Minimas!$C$3:$CD$12,6,FALSE)</f>
        <v>#N/A</v>
      </c>
      <c r="AG905" s="230" t="e">
        <f>T905-HLOOKUP(V905,Minimas!$C$3:$CD$12,7,FALSE)</f>
        <v>#N/A</v>
      </c>
      <c r="AH905" s="230" t="e">
        <f>T905-HLOOKUP(V905,Minimas!$C$3:$CD$12,8,FALSE)</f>
        <v>#N/A</v>
      </c>
      <c r="AI905" s="230" t="e">
        <f>T905-HLOOKUP(V905,Minimas!$C$3:$CD$12,9,FALSE)</f>
        <v>#N/A</v>
      </c>
      <c r="AJ905" s="230" t="e">
        <f>T905-HLOOKUP(V905,Minimas!$C$3:$CD$12,10,FALSE)</f>
        <v>#N/A</v>
      </c>
      <c r="AK905" s="231" t="str">
        <f t="shared" si="120"/>
        <v xml:space="preserve"> </v>
      </c>
      <c r="AL905" s="232"/>
      <c r="AM905" s="232" t="str">
        <f t="shared" si="121"/>
        <v xml:space="preserve"> </v>
      </c>
      <c r="AN905" s="232" t="str">
        <f t="shared" si="122"/>
        <v xml:space="preserve"> </v>
      </c>
    </row>
    <row r="906" spans="28:40" x14ac:dyDescent="0.25">
      <c r="AB906" s="230" t="e">
        <f>T906-HLOOKUP(V906,Minimas!$C$3:$CD$12,2,FALSE)</f>
        <v>#N/A</v>
      </c>
      <c r="AC906" s="230" t="e">
        <f>T906-HLOOKUP(V906,Minimas!$C$3:$CD$12,3,FALSE)</f>
        <v>#N/A</v>
      </c>
      <c r="AD906" s="230" t="e">
        <f>T906-HLOOKUP(V906,Minimas!$C$3:$CD$12,4,FALSE)</f>
        <v>#N/A</v>
      </c>
      <c r="AE906" s="230" t="e">
        <f>T906-HLOOKUP(V906,Minimas!$C$3:$CD$12,5,FALSE)</f>
        <v>#N/A</v>
      </c>
      <c r="AF906" s="230" t="e">
        <f>T906-HLOOKUP(V906,Minimas!$C$3:$CD$12,6,FALSE)</f>
        <v>#N/A</v>
      </c>
      <c r="AG906" s="230" t="e">
        <f>T906-HLOOKUP(V906,Minimas!$C$3:$CD$12,7,FALSE)</f>
        <v>#N/A</v>
      </c>
      <c r="AH906" s="230" t="e">
        <f>T906-HLOOKUP(V906,Minimas!$C$3:$CD$12,8,FALSE)</f>
        <v>#N/A</v>
      </c>
      <c r="AI906" s="230" t="e">
        <f>T906-HLOOKUP(V906,Minimas!$C$3:$CD$12,9,FALSE)</f>
        <v>#N/A</v>
      </c>
      <c r="AJ906" s="230" t="e">
        <f>T906-HLOOKUP(V906,Minimas!$C$3:$CD$12,10,FALSE)</f>
        <v>#N/A</v>
      </c>
      <c r="AK906" s="231" t="str">
        <f t="shared" si="120"/>
        <v xml:space="preserve"> </v>
      </c>
      <c r="AL906" s="232"/>
      <c r="AM906" s="232" t="str">
        <f t="shared" si="121"/>
        <v xml:space="preserve"> </v>
      </c>
      <c r="AN906" s="232" t="str">
        <f t="shared" si="122"/>
        <v xml:space="preserve"> </v>
      </c>
    </row>
    <row r="907" spans="28:40" x14ac:dyDescent="0.25">
      <c r="AB907" s="230" t="e">
        <f>T907-HLOOKUP(V907,Minimas!$C$3:$CD$12,2,FALSE)</f>
        <v>#N/A</v>
      </c>
      <c r="AC907" s="230" t="e">
        <f>T907-HLOOKUP(V907,Minimas!$C$3:$CD$12,3,FALSE)</f>
        <v>#N/A</v>
      </c>
      <c r="AD907" s="230" t="e">
        <f>T907-HLOOKUP(V907,Minimas!$C$3:$CD$12,4,FALSE)</f>
        <v>#N/A</v>
      </c>
      <c r="AE907" s="230" t="e">
        <f>T907-HLOOKUP(V907,Minimas!$C$3:$CD$12,5,FALSE)</f>
        <v>#N/A</v>
      </c>
      <c r="AF907" s="230" t="e">
        <f>T907-HLOOKUP(V907,Minimas!$C$3:$CD$12,6,FALSE)</f>
        <v>#N/A</v>
      </c>
      <c r="AG907" s="230" t="e">
        <f>T907-HLOOKUP(V907,Minimas!$C$3:$CD$12,7,FALSE)</f>
        <v>#N/A</v>
      </c>
      <c r="AH907" s="230" t="e">
        <f>T907-HLOOKUP(V907,Minimas!$C$3:$CD$12,8,FALSE)</f>
        <v>#N/A</v>
      </c>
      <c r="AI907" s="230" t="e">
        <f>T907-HLOOKUP(V907,Minimas!$C$3:$CD$12,9,FALSE)</f>
        <v>#N/A</v>
      </c>
      <c r="AJ907" s="230" t="e">
        <f>T907-HLOOKUP(V907,Minimas!$C$3:$CD$12,10,FALSE)</f>
        <v>#N/A</v>
      </c>
      <c r="AK907" s="231" t="str">
        <f t="shared" si="120"/>
        <v xml:space="preserve"> </v>
      </c>
      <c r="AL907" s="232"/>
      <c r="AM907" s="232" t="str">
        <f t="shared" si="121"/>
        <v xml:space="preserve"> </v>
      </c>
      <c r="AN907" s="232" t="str">
        <f t="shared" si="122"/>
        <v xml:space="preserve"> </v>
      </c>
    </row>
    <row r="908" spans="28:40" x14ac:dyDescent="0.25">
      <c r="AB908" s="230" t="e">
        <f>T908-HLOOKUP(V908,Minimas!$C$3:$CD$12,2,FALSE)</f>
        <v>#N/A</v>
      </c>
      <c r="AC908" s="230" t="e">
        <f>T908-HLOOKUP(V908,Minimas!$C$3:$CD$12,3,FALSE)</f>
        <v>#N/A</v>
      </c>
      <c r="AD908" s="230" t="e">
        <f>T908-HLOOKUP(V908,Minimas!$C$3:$CD$12,4,FALSE)</f>
        <v>#N/A</v>
      </c>
      <c r="AE908" s="230" t="e">
        <f>T908-HLOOKUP(V908,Minimas!$C$3:$CD$12,5,FALSE)</f>
        <v>#N/A</v>
      </c>
      <c r="AF908" s="230" t="e">
        <f>T908-HLOOKUP(V908,Minimas!$C$3:$CD$12,6,FALSE)</f>
        <v>#N/A</v>
      </c>
      <c r="AG908" s="230" t="e">
        <f>T908-HLOOKUP(V908,Minimas!$C$3:$CD$12,7,FALSE)</f>
        <v>#N/A</v>
      </c>
      <c r="AH908" s="230" t="e">
        <f>T908-HLOOKUP(V908,Minimas!$C$3:$CD$12,8,FALSE)</f>
        <v>#N/A</v>
      </c>
      <c r="AI908" s="230" t="e">
        <f>T908-HLOOKUP(V908,Minimas!$C$3:$CD$12,9,FALSE)</f>
        <v>#N/A</v>
      </c>
      <c r="AJ908" s="230" t="e">
        <f>T908-HLOOKUP(V908,Minimas!$C$3:$CD$12,10,FALSE)</f>
        <v>#N/A</v>
      </c>
      <c r="AK908" s="231" t="str">
        <f t="shared" si="120"/>
        <v xml:space="preserve"> </v>
      </c>
      <c r="AL908" s="232"/>
      <c r="AM908" s="232" t="str">
        <f t="shared" si="121"/>
        <v xml:space="preserve"> </v>
      </c>
      <c r="AN908" s="232" t="str">
        <f t="shared" si="122"/>
        <v xml:space="preserve"> </v>
      </c>
    </row>
    <row r="909" spans="28:40" x14ac:dyDescent="0.25">
      <c r="AB909" s="230" t="e">
        <f>T909-HLOOKUP(V909,Minimas!$C$3:$CD$12,2,FALSE)</f>
        <v>#N/A</v>
      </c>
      <c r="AC909" s="230" t="e">
        <f>T909-HLOOKUP(V909,Minimas!$C$3:$CD$12,3,FALSE)</f>
        <v>#N/A</v>
      </c>
      <c r="AD909" s="230" t="e">
        <f>T909-HLOOKUP(V909,Minimas!$C$3:$CD$12,4,FALSE)</f>
        <v>#N/A</v>
      </c>
      <c r="AE909" s="230" t="e">
        <f>T909-HLOOKUP(V909,Minimas!$C$3:$CD$12,5,FALSE)</f>
        <v>#N/A</v>
      </c>
      <c r="AF909" s="230" t="e">
        <f>T909-HLOOKUP(V909,Minimas!$C$3:$CD$12,6,FALSE)</f>
        <v>#N/A</v>
      </c>
      <c r="AG909" s="230" t="e">
        <f>T909-HLOOKUP(V909,Minimas!$C$3:$CD$12,7,FALSE)</f>
        <v>#N/A</v>
      </c>
      <c r="AH909" s="230" t="e">
        <f>T909-HLOOKUP(V909,Minimas!$C$3:$CD$12,8,FALSE)</f>
        <v>#N/A</v>
      </c>
      <c r="AI909" s="230" t="e">
        <f>T909-HLOOKUP(V909,Minimas!$C$3:$CD$12,9,FALSE)</f>
        <v>#N/A</v>
      </c>
      <c r="AJ909" s="230" t="e">
        <f>T909-HLOOKUP(V909,Minimas!$C$3:$CD$12,10,FALSE)</f>
        <v>#N/A</v>
      </c>
      <c r="AK909" s="231" t="str">
        <f t="shared" si="120"/>
        <v xml:space="preserve"> </v>
      </c>
      <c r="AL909" s="232"/>
      <c r="AM909" s="232" t="str">
        <f t="shared" si="121"/>
        <v xml:space="preserve"> </v>
      </c>
      <c r="AN909" s="232" t="str">
        <f t="shared" si="122"/>
        <v xml:space="preserve"> </v>
      </c>
    </row>
    <row r="910" spans="28:40" x14ac:dyDescent="0.25">
      <c r="AB910" s="230" t="e">
        <f>T910-HLOOKUP(V910,Minimas!$C$3:$CD$12,2,FALSE)</f>
        <v>#N/A</v>
      </c>
      <c r="AC910" s="230" t="e">
        <f>T910-HLOOKUP(V910,Minimas!$C$3:$CD$12,3,FALSE)</f>
        <v>#N/A</v>
      </c>
      <c r="AD910" s="230" t="e">
        <f>T910-HLOOKUP(V910,Minimas!$C$3:$CD$12,4,FALSE)</f>
        <v>#N/A</v>
      </c>
      <c r="AE910" s="230" t="e">
        <f>T910-HLOOKUP(V910,Minimas!$C$3:$CD$12,5,FALSE)</f>
        <v>#N/A</v>
      </c>
      <c r="AF910" s="230" t="e">
        <f>T910-HLOOKUP(V910,Minimas!$C$3:$CD$12,6,FALSE)</f>
        <v>#N/A</v>
      </c>
      <c r="AG910" s="230" t="e">
        <f>T910-HLOOKUP(V910,Minimas!$C$3:$CD$12,7,FALSE)</f>
        <v>#N/A</v>
      </c>
      <c r="AH910" s="230" t="e">
        <f>T910-HLOOKUP(V910,Minimas!$C$3:$CD$12,8,FALSE)</f>
        <v>#N/A</v>
      </c>
      <c r="AI910" s="230" t="e">
        <f>T910-HLOOKUP(V910,Minimas!$C$3:$CD$12,9,FALSE)</f>
        <v>#N/A</v>
      </c>
      <c r="AJ910" s="230" t="e">
        <f>T910-HLOOKUP(V910,Minimas!$C$3:$CD$12,10,FALSE)</f>
        <v>#N/A</v>
      </c>
      <c r="AK910" s="231" t="str">
        <f t="shared" si="120"/>
        <v xml:space="preserve"> </v>
      </c>
      <c r="AL910" s="232"/>
      <c r="AM910" s="232" t="str">
        <f t="shared" si="121"/>
        <v xml:space="preserve"> </v>
      </c>
      <c r="AN910" s="232" t="str">
        <f t="shared" si="122"/>
        <v xml:space="preserve"> </v>
      </c>
    </row>
    <row r="911" spans="28:40" x14ac:dyDescent="0.25">
      <c r="AB911" s="230" t="e">
        <f>T911-HLOOKUP(V911,Minimas!$C$3:$CD$12,2,FALSE)</f>
        <v>#N/A</v>
      </c>
      <c r="AC911" s="230" t="e">
        <f>T911-HLOOKUP(V911,Minimas!$C$3:$CD$12,3,FALSE)</f>
        <v>#N/A</v>
      </c>
      <c r="AD911" s="230" t="e">
        <f>T911-HLOOKUP(V911,Minimas!$C$3:$CD$12,4,FALSE)</f>
        <v>#N/A</v>
      </c>
      <c r="AE911" s="230" t="e">
        <f>T911-HLOOKUP(V911,Minimas!$C$3:$CD$12,5,FALSE)</f>
        <v>#N/A</v>
      </c>
      <c r="AF911" s="230" t="e">
        <f>T911-HLOOKUP(V911,Minimas!$C$3:$CD$12,6,FALSE)</f>
        <v>#N/A</v>
      </c>
      <c r="AG911" s="230" t="e">
        <f>T911-HLOOKUP(V911,Minimas!$C$3:$CD$12,7,FALSE)</f>
        <v>#N/A</v>
      </c>
      <c r="AH911" s="230" t="e">
        <f>T911-HLOOKUP(V911,Minimas!$C$3:$CD$12,8,FALSE)</f>
        <v>#N/A</v>
      </c>
      <c r="AI911" s="230" t="e">
        <f>T911-HLOOKUP(V911,Minimas!$C$3:$CD$12,9,FALSE)</f>
        <v>#N/A</v>
      </c>
      <c r="AJ911" s="230" t="e">
        <f>T911-HLOOKUP(V911,Minimas!$C$3:$CD$12,10,FALSE)</f>
        <v>#N/A</v>
      </c>
      <c r="AK911" s="231" t="str">
        <f t="shared" si="120"/>
        <v xml:space="preserve"> </v>
      </c>
      <c r="AL911" s="232"/>
      <c r="AM911" s="232" t="str">
        <f t="shared" si="121"/>
        <v xml:space="preserve"> </v>
      </c>
      <c r="AN911" s="232" t="str">
        <f t="shared" si="122"/>
        <v xml:space="preserve"> </v>
      </c>
    </row>
    <row r="912" spans="28:40" x14ac:dyDescent="0.25">
      <c r="AB912" s="230" t="e">
        <f>T912-HLOOKUP(V912,Minimas!$C$3:$CD$12,2,FALSE)</f>
        <v>#N/A</v>
      </c>
      <c r="AC912" s="230" t="e">
        <f>T912-HLOOKUP(V912,Minimas!$C$3:$CD$12,3,FALSE)</f>
        <v>#N/A</v>
      </c>
      <c r="AD912" s="230" t="e">
        <f>T912-HLOOKUP(V912,Minimas!$C$3:$CD$12,4,FALSE)</f>
        <v>#N/A</v>
      </c>
      <c r="AE912" s="230" t="e">
        <f>T912-HLOOKUP(V912,Minimas!$C$3:$CD$12,5,FALSE)</f>
        <v>#N/A</v>
      </c>
      <c r="AF912" s="230" t="e">
        <f>T912-HLOOKUP(V912,Minimas!$C$3:$CD$12,6,FALSE)</f>
        <v>#N/A</v>
      </c>
      <c r="AG912" s="230" t="e">
        <f>T912-HLOOKUP(V912,Minimas!$C$3:$CD$12,7,FALSE)</f>
        <v>#N/A</v>
      </c>
      <c r="AH912" s="230" t="e">
        <f>T912-HLOOKUP(V912,Minimas!$C$3:$CD$12,8,FALSE)</f>
        <v>#N/A</v>
      </c>
      <c r="AI912" s="230" t="e">
        <f>T912-HLOOKUP(V912,Minimas!$C$3:$CD$12,9,FALSE)</f>
        <v>#N/A</v>
      </c>
      <c r="AJ912" s="230" t="e">
        <f>T912-HLOOKUP(V912,Minimas!$C$3:$CD$12,10,FALSE)</f>
        <v>#N/A</v>
      </c>
      <c r="AK912" s="231" t="str">
        <f t="shared" si="120"/>
        <v xml:space="preserve"> </v>
      </c>
      <c r="AL912" s="232"/>
      <c r="AM912" s="232" t="str">
        <f t="shared" si="121"/>
        <v xml:space="preserve"> </v>
      </c>
      <c r="AN912" s="232" t="str">
        <f t="shared" si="122"/>
        <v xml:space="preserve"> </v>
      </c>
    </row>
    <row r="913" spans="28:40" x14ac:dyDescent="0.25">
      <c r="AB913" s="230" t="e">
        <f>T913-HLOOKUP(V913,Minimas!$C$3:$CD$12,2,FALSE)</f>
        <v>#N/A</v>
      </c>
      <c r="AC913" s="230" t="e">
        <f>T913-HLOOKUP(V913,Minimas!$C$3:$CD$12,3,FALSE)</f>
        <v>#N/A</v>
      </c>
      <c r="AD913" s="230" t="e">
        <f>T913-HLOOKUP(V913,Minimas!$C$3:$CD$12,4,FALSE)</f>
        <v>#N/A</v>
      </c>
      <c r="AE913" s="230" t="e">
        <f>T913-HLOOKUP(V913,Minimas!$C$3:$CD$12,5,FALSE)</f>
        <v>#N/A</v>
      </c>
      <c r="AF913" s="230" t="e">
        <f>T913-HLOOKUP(V913,Minimas!$C$3:$CD$12,6,FALSE)</f>
        <v>#N/A</v>
      </c>
      <c r="AG913" s="230" t="e">
        <f>T913-HLOOKUP(V913,Minimas!$C$3:$CD$12,7,FALSE)</f>
        <v>#N/A</v>
      </c>
      <c r="AH913" s="230" t="e">
        <f>T913-HLOOKUP(V913,Minimas!$C$3:$CD$12,8,FALSE)</f>
        <v>#N/A</v>
      </c>
      <c r="AI913" s="230" t="e">
        <f>T913-HLOOKUP(V913,Minimas!$C$3:$CD$12,9,FALSE)</f>
        <v>#N/A</v>
      </c>
      <c r="AJ913" s="230" t="e">
        <f>T913-HLOOKUP(V913,Minimas!$C$3:$CD$12,10,FALSE)</f>
        <v>#N/A</v>
      </c>
      <c r="AK913" s="231" t="str">
        <f t="shared" si="120"/>
        <v xml:space="preserve"> </v>
      </c>
      <c r="AL913" s="232"/>
      <c r="AM913" s="232" t="str">
        <f t="shared" si="121"/>
        <v xml:space="preserve"> </v>
      </c>
      <c r="AN913" s="232" t="str">
        <f t="shared" si="122"/>
        <v xml:space="preserve"> </v>
      </c>
    </row>
    <row r="914" spans="28:40" x14ac:dyDescent="0.25">
      <c r="AB914" s="230" t="e">
        <f>T914-HLOOKUP(V914,Minimas!$C$3:$CD$12,2,FALSE)</f>
        <v>#N/A</v>
      </c>
      <c r="AC914" s="230" t="e">
        <f>T914-HLOOKUP(V914,Minimas!$C$3:$CD$12,3,FALSE)</f>
        <v>#N/A</v>
      </c>
      <c r="AD914" s="230" t="e">
        <f>T914-HLOOKUP(V914,Minimas!$C$3:$CD$12,4,FALSE)</f>
        <v>#N/A</v>
      </c>
      <c r="AE914" s="230" t="e">
        <f>T914-HLOOKUP(V914,Minimas!$C$3:$CD$12,5,FALSE)</f>
        <v>#N/A</v>
      </c>
      <c r="AF914" s="230" t="e">
        <f>T914-HLOOKUP(V914,Minimas!$C$3:$CD$12,6,FALSE)</f>
        <v>#N/A</v>
      </c>
      <c r="AG914" s="230" t="e">
        <f>T914-HLOOKUP(V914,Minimas!$C$3:$CD$12,7,FALSE)</f>
        <v>#N/A</v>
      </c>
      <c r="AH914" s="230" t="e">
        <f>T914-HLOOKUP(V914,Minimas!$C$3:$CD$12,8,FALSE)</f>
        <v>#N/A</v>
      </c>
      <c r="AI914" s="230" t="e">
        <f>T914-HLOOKUP(V914,Minimas!$C$3:$CD$12,9,FALSE)</f>
        <v>#N/A</v>
      </c>
      <c r="AJ914" s="230" t="e">
        <f>T914-HLOOKUP(V914,Minimas!$C$3:$CD$12,10,FALSE)</f>
        <v>#N/A</v>
      </c>
      <c r="AK914" s="231" t="str">
        <f t="shared" si="120"/>
        <v xml:space="preserve"> </v>
      </c>
      <c r="AL914" s="232"/>
      <c r="AM914" s="232" t="str">
        <f t="shared" si="121"/>
        <v xml:space="preserve"> </v>
      </c>
      <c r="AN914" s="232" t="str">
        <f t="shared" si="122"/>
        <v xml:space="preserve"> </v>
      </c>
    </row>
    <row r="915" spans="28:40" x14ac:dyDescent="0.25">
      <c r="AB915" s="230" t="e">
        <f>T915-HLOOKUP(V915,Minimas!$C$3:$CD$12,2,FALSE)</f>
        <v>#N/A</v>
      </c>
      <c r="AC915" s="230" t="e">
        <f>T915-HLOOKUP(V915,Minimas!$C$3:$CD$12,3,FALSE)</f>
        <v>#N/A</v>
      </c>
      <c r="AD915" s="230" t="e">
        <f>T915-HLOOKUP(V915,Minimas!$C$3:$CD$12,4,FALSE)</f>
        <v>#N/A</v>
      </c>
      <c r="AE915" s="230" t="e">
        <f>T915-HLOOKUP(V915,Minimas!$C$3:$CD$12,5,FALSE)</f>
        <v>#N/A</v>
      </c>
      <c r="AF915" s="230" t="e">
        <f>T915-HLOOKUP(V915,Minimas!$C$3:$CD$12,6,FALSE)</f>
        <v>#N/A</v>
      </c>
      <c r="AG915" s="230" t="e">
        <f>T915-HLOOKUP(V915,Minimas!$C$3:$CD$12,7,FALSE)</f>
        <v>#N/A</v>
      </c>
      <c r="AH915" s="230" t="e">
        <f>T915-HLOOKUP(V915,Minimas!$C$3:$CD$12,8,FALSE)</f>
        <v>#N/A</v>
      </c>
      <c r="AI915" s="230" t="e">
        <f>T915-HLOOKUP(V915,Minimas!$C$3:$CD$12,9,FALSE)</f>
        <v>#N/A</v>
      </c>
      <c r="AJ915" s="230" t="e">
        <f>T915-HLOOKUP(V915,Minimas!$C$3:$CD$12,10,FALSE)</f>
        <v>#N/A</v>
      </c>
      <c r="AK915" s="231" t="str">
        <f t="shared" si="120"/>
        <v xml:space="preserve"> </v>
      </c>
      <c r="AL915" s="232"/>
      <c r="AM915" s="232" t="str">
        <f t="shared" si="121"/>
        <v xml:space="preserve"> </v>
      </c>
      <c r="AN915" s="232" t="str">
        <f t="shared" si="122"/>
        <v xml:space="preserve"> </v>
      </c>
    </row>
    <row r="916" spans="28:40" x14ac:dyDescent="0.25">
      <c r="AB916" s="230" t="e">
        <f>T916-HLOOKUP(V916,Minimas!$C$3:$CD$12,2,FALSE)</f>
        <v>#N/A</v>
      </c>
      <c r="AC916" s="230" t="e">
        <f>T916-HLOOKUP(V916,Minimas!$C$3:$CD$12,3,FALSE)</f>
        <v>#N/A</v>
      </c>
      <c r="AD916" s="230" t="e">
        <f>T916-HLOOKUP(V916,Minimas!$C$3:$CD$12,4,FALSE)</f>
        <v>#N/A</v>
      </c>
      <c r="AE916" s="230" t="e">
        <f>T916-HLOOKUP(V916,Minimas!$C$3:$CD$12,5,FALSE)</f>
        <v>#N/A</v>
      </c>
      <c r="AF916" s="230" t="e">
        <f>T916-HLOOKUP(V916,Minimas!$C$3:$CD$12,6,FALSE)</f>
        <v>#N/A</v>
      </c>
      <c r="AG916" s="230" t="e">
        <f>T916-HLOOKUP(V916,Minimas!$C$3:$CD$12,7,FALSE)</f>
        <v>#N/A</v>
      </c>
      <c r="AH916" s="230" t="e">
        <f>T916-HLOOKUP(V916,Minimas!$C$3:$CD$12,8,FALSE)</f>
        <v>#N/A</v>
      </c>
      <c r="AI916" s="230" t="e">
        <f>T916-HLOOKUP(V916,Minimas!$C$3:$CD$12,9,FALSE)</f>
        <v>#N/A</v>
      </c>
      <c r="AJ916" s="230" t="e">
        <f>T916-HLOOKUP(V916,Minimas!$C$3:$CD$12,10,FALSE)</f>
        <v>#N/A</v>
      </c>
      <c r="AK916" s="231" t="str">
        <f t="shared" si="120"/>
        <v xml:space="preserve"> </v>
      </c>
      <c r="AL916" s="232"/>
      <c r="AM916" s="232" t="str">
        <f t="shared" si="121"/>
        <v xml:space="preserve"> </v>
      </c>
      <c r="AN916" s="232" t="str">
        <f t="shared" si="122"/>
        <v xml:space="preserve"> </v>
      </c>
    </row>
    <row r="917" spans="28:40" x14ac:dyDescent="0.25">
      <c r="AB917" s="230" t="e">
        <f>T917-HLOOKUP(V917,Minimas!$C$3:$CD$12,2,FALSE)</f>
        <v>#N/A</v>
      </c>
      <c r="AC917" s="230" t="e">
        <f>T917-HLOOKUP(V917,Minimas!$C$3:$CD$12,3,FALSE)</f>
        <v>#N/A</v>
      </c>
      <c r="AD917" s="230" t="e">
        <f>T917-HLOOKUP(V917,Minimas!$C$3:$CD$12,4,FALSE)</f>
        <v>#N/A</v>
      </c>
      <c r="AE917" s="230" t="e">
        <f>T917-HLOOKUP(V917,Minimas!$C$3:$CD$12,5,FALSE)</f>
        <v>#N/A</v>
      </c>
      <c r="AF917" s="230" t="e">
        <f>T917-HLOOKUP(V917,Minimas!$C$3:$CD$12,6,FALSE)</f>
        <v>#N/A</v>
      </c>
      <c r="AG917" s="230" t="e">
        <f>T917-HLOOKUP(V917,Minimas!$C$3:$CD$12,7,FALSE)</f>
        <v>#N/A</v>
      </c>
      <c r="AH917" s="230" t="e">
        <f>T917-HLOOKUP(V917,Minimas!$C$3:$CD$12,8,FALSE)</f>
        <v>#N/A</v>
      </c>
      <c r="AI917" s="230" t="e">
        <f>T917-HLOOKUP(V917,Minimas!$C$3:$CD$12,9,FALSE)</f>
        <v>#N/A</v>
      </c>
      <c r="AJ917" s="230" t="e">
        <f>T917-HLOOKUP(V917,Minimas!$C$3:$CD$12,10,FALSE)</f>
        <v>#N/A</v>
      </c>
      <c r="AK917" s="231" t="str">
        <f t="shared" si="120"/>
        <v xml:space="preserve"> </v>
      </c>
      <c r="AL917" s="232"/>
      <c r="AM917" s="232" t="str">
        <f t="shared" si="121"/>
        <v xml:space="preserve"> </v>
      </c>
      <c r="AN917" s="232" t="str">
        <f t="shared" si="122"/>
        <v xml:space="preserve"> </v>
      </c>
    </row>
    <row r="918" spans="28:40" x14ac:dyDescent="0.25">
      <c r="AB918" s="230" t="e">
        <f>T918-HLOOKUP(V918,Minimas!$C$3:$CD$12,2,FALSE)</f>
        <v>#N/A</v>
      </c>
      <c r="AC918" s="230" t="e">
        <f>T918-HLOOKUP(V918,Minimas!$C$3:$CD$12,3,FALSE)</f>
        <v>#N/A</v>
      </c>
      <c r="AD918" s="230" t="e">
        <f>T918-HLOOKUP(V918,Minimas!$C$3:$CD$12,4,FALSE)</f>
        <v>#N/A</v>
      </c>
      <c r="AE918" s="230" t="e">
        <f>T918-HLOOKUP(V918,Minimas!$C$3:$CD$12,5,FALSE)</f>
        <v>#N/A</v>
      </c>
      <c r="AF918" s="230" t="e">
        <f>T918-HLOOKUP(V918,Minimas!$C$3:$CD$12,6,FALSE)</f>
        <v>#N/A</v>
      </c>
      <c r="AG918" s="230" t="e">
        <f>T918-HLOOKUP(V918,Minimas!$C$3:$CD$12,7,FALSE)</f>
        <v>#N/A</v>
      </c>
      <c r="AH918" s="230" t="e">
        <f>T918-HLOOKUP(V918,Minimas!$C$3:$CD$12,8,FALSE)</f>
        <v>#N/A</v>
      </c>
      <c r="AI918" s="230" t="e">
        <f>T918-HLOOKUP(V918,Minimas!$C$3:$CD$12,9,FALSE)</f>
        <v>#N/A</v>
      </c>
      <c r="AJ918" s="230" t="e">
        <f>T918-HLOOKUP(V918,Minimas!$C$3:$CD$12,10,FALSE)</f>
        <v>#N/A</v>
      </c>
      <c r="AK918" s="231" t="str">
        <f t="shared" si="120"/>
        <v xml:space="preserve"> </v>
      </c>
      <c r="AL918" s="232"/>
      <c r="AM918" s="232" t="str">
        <f t="shared" si="121"/>
        <v xml:space="preserve"> </v>
      </c>
      <c r="AN918" s="232" t="str">
        <f t="shared" si="122"/>
        <v xml:space="preserve"> </v>
      </c>
    </row>
    <row r="919" spans="28:40" x14ac:dyDescent="0.25">
      <c r="AB919" s="230" t="e">
        <f>T919-HLOOKUP(V919,Minimas!$C$3:$CD$12,2,FALSE)</f>
        <v>#N/A</v>
      </c>
      <c r="AC919" s="230" t="e">
        <f>T919-HLOOKUP(V919,Minimas!$C$3:$CD$12,3,FALSE)</f>
        <v>#N/A</v>
      </c>
      <c r="AD919" s="230" t="e">
        <f>T919-HLOOKUP(V919,Minimas!$C$3:$CD$12,4,FALSE)</f>
        <v>#N/A</v>
      </c>
      <c r="AE919" s="230" t="e">
        <f>T919-HLOOKUP(V919,Minimas!$C$3:$CD$12,5,FALSE)</f>
        <v>#N/A</v>
      </c>
      <c r="AF919" s="230" t="e">
        <f>T919-HLOOKUP(V919,Minimas!$C$3:$CD$12,6,FALSE)</f>
        <v>#N/A</v>
      </c>
      <c r="AG919" s="230" t="e">
        <f>T919-HLOOKUP(V919,Minimas!$C$3:$CD$12,7,FALSE)</f>
        <v>#N/A</v>
      </c>
      <c r="AH919" s="230" t="e">
        <f>T919-HLOOKUP(V919,Minimas!$C$3:$CD$12,8,FALSE)</f>
        <v>#N/A</v>
      </c>
      <c r="AI919" s="230" t="e">
        <f>T919-HLOOKUP(V919,Minimas!$C$3:$CD$12,9,FALSE)</f>
        <v>#N/A</v>
      </c>
      <c r="AJ919" s="230" t="e">
        <f>T919-HLOOKUP(V919,Minimas!$C$3:$CD$12,10,FALSE)</f>
        <v>#N/A</v>
      </c>
      <c r="AK919" s="231" t="str">
        <f t="shared" si="120"/>
        <v xml:space="preserve"> </v>
      </c>
      <c r="AL919" s="232"/>
      <c r="AM919" s="232" t="str">
        <f t="shared" si="121"/>
        <v xml:space="preserve"> </v>
      </c>
      <c r="AN919" s="232" t="str">
        <f t="shared" si="122"/>
        <v xml:space="preserve"> </v>
      </c>
    </row>
    <row r="920" spans="28:40" x14ac:dyDescent="0.25">
      <c r="AB920" s="230" t="e">
        <f>T920-HLOOKUP(V920,Minimas!$C$3:$CD$12,2,FALSE)</f>
        <v>#N/A</v>
      </c>
      <c r="AC920" s="230" t="e">
        <f>T920-HLOOKUP(V920,Minimas!$C$3:$CD$12,3,FALSE)</f>
        <v>#N/A</v>
      </c>
      <c r="AD920" s="230" t="e">
        <f>T920-HLOOKUP(V920,Minimas!$C$3:$CD$12,4,FALSE)</f>
        <v>#N/A</v>
      </c>
      <c r="AE920" s="230" t="e">
        <f>T920-HLOOKUP(V920,Minimas!$C$3:$CD$12,5,FALSE)</f>
        <v>#N/A</v>
      </c>
      <c r="AF920" s="230" t="e">
        <f>T920-HLOOKUP(V920,Minimas!$C$3:$CD$12,6,FALSE)</f>
        <v>#N/A</v>
      </c>
      <c r="AG920" s="230" t="e">
        <f>T920-HLOOKUP(V920,Minimas!$C$3:$CD$12,7,FALSE)</f>
        <v>#N/A</v>
      </c>
      <c r="AH920" s="230" t="e">
        <f>T920-HLOOKUP(V920,Minimas!$C$3:$CD$12,8,FALSE)</f>
        <v>#N/A</v>
      </c>
      <c r="AI920" s="230" t="e">
        <f>T920-HLOOKUP(V920,Minimas!$C$3:$CD$12,9,FALSE)</f>
        <v>#N/A</v>
      </c>
      <c r="AJ920" s="230" t="e">
        <f>T920-HLOOKUP(V920,Minimas!$C$3:$CD$12,10,FALSE)</f>
        <v>#N/A</v>
      </c>
      <c r="AK920" s="231" t="str">
        <f t="shared" si="120"/>
        <v xml:space="preserve"> </v>
      </c>
      <c r="AL920" s="232"/>
      <c r="AM920" s="232" t="str">
        <f t="shared" si="121"/>
        <v xml:space="preserve"> </v>
      </c>
      <c r="AN920" s="232" t="str">
        <f t="shared" si="122"/>
        <v xml:space="preserve"> </v>
      </c>
    </row>
    <row r="921" spans="28:40" x14ac:dyDescent="0.25">
      <c r="AB921" s="230" t="e">
        <f>T921-HLOOKUP(V921,Minimas!$C$3:$CD$12,2,FALSE)</f>
        <v>#N/A</v>
      </c>
      <c r="AC921" s="230" t="e">
        <f>T921-HLOOKUP(V921,Minimas!$C$3:$CD$12,3,FALSE)</f>
        <v>#N/A</v>
      </c>
      <c r="AD921" s="230" t="e">
        <f>T921-HLOOKUP(V921,Minimas!$C$3:$CD$12,4,FALSE)</f>
        <v>#N/A</v>
      </c>
      <c r="AE921" s="230" t="e">
        <f>T921-HLOOKUP(V921,Minimas!$C$3:$CD$12,5,FALSE)</f>
        <v>#N/A</v>
      </c>
      <c r="AF921" s="230" t="e">
        <f>T921-HLOOKUP(V921,Minimas!$C$3:$CD$12,6,FALSE)</f>
        <v>#N/A</v>
      </c>
      <c r="AG921" s="230" t="e">
        <f>T921-HLOOKUP(V921,Minimas!$C$3:$CD$12,7,FALSE)</f>
        <v>#N/A</v>
      </c>
      <c r="AH921" s="230" t="e">
        <f>T921-HLOOKUP(V921,Minimas!$C$3:$CD$12,8,FALSE)</f>
        <v>#N/A</v>
      </c>
      <c r="AI921" s="230" t="e">
        <f>T921-HLOOKUP(V921,Minimas!$C$3:$CD$12,9,FALSE)</f>
        <v>#N/A</v>
      </c>
      <c r="AJ921" s="230" t="e">
        <f>T921-HLOOKUP(V921,Minimas!$C$3:$CD$12,10,FALSE)</f>
        <v>#N/A</v>
      </c>
      <c r="AK921" s="231" t="str">
        <f t="shared" si="120"/>
        <v xml:space="preserve"> </v>
      </c>
      <c r="AL921" s="232"/>
      <c r="AM921" s="232" t="str">
        <f t="shared" si="121"/>
        <v xml:space="preserve"> </v>
      </c>
      <c r="AN921" s="232" t="str">
        <f t="shared" si="122"/>
        <v xml:space="preserve"> </v>
      </c>
    </row>
    <row r="922" spans="28:40" x14ac:dyDescent="0.25">
      <c r="AB922" s="230" t="e">
        <f>T922-HLOOKUP(V922,Minimas!$C$3:$CD$12,2,FALSE)</f>
        <v>#N/A</v>
      </c>
      <c r="AC922" s="230" t="e">
        <f>T922-HLOOKUP(V922,Minimas!$C$3:$CD$12,3,FALSE)</f>
        <v>#N/A</v>
      </c>
      <c r="AD922" s="230" t="e">
        <f>T922-HLOOKUP(V922,Minimas!$C$3:$CD$12,4,FALSE)</f>
        <v>#N/A</v>
      </c>
      <c r="AE922" s="230" t="e">
        <f>T922-HLOOKUP(V922,Minimas!$C$3:$CD$12,5,FALSE)</f>
        <v>#N/A</v>
      </c>
      <c r="AF922" s="230" t="e">
        <f>T922-HLOOKUP(V922,Minimas!$C$3:$CD$12,6,FALSE)</f>
        <v>#N/A</v>
      </c>
      <c r="AG922" s="230" t="e">
        <f>T922-HLOOKUP(V922,Minimas!$C$3:$CD$12,7,FALSE)</f>
        <v>#N/A</v>
      </c>
      <c r="AH922" s="230" t="e">
        <f>T922-HLOOKUP(V922,Minimas!$C$3:$CD$12,8,FALSE)</f>
        <v>#N/A</v>
      </c>
      <c r="AI922" s="230" t="e">
        <f>T922-HLOOKUP(V922,Minimas!$C$3:$CD$12,9,FALSE)</f>
        <v>#N/A</v>
      </c>
      <c r="AJ922" s="230" t="e">
        <f>T922-HLOOKUP(V922,Minimas!$C$3:$CD$12,10,FALSE)</f>
        <v>#N/A</v>
      </c>
      <c r="AK922" s="231" t="str">
        <f t="shared" si="120"/>
        <v xml:space="preserve"> </v>
      </c>
      <c r="AL922" s="232"/>
      <c r="AM922" s="232" t="str">
        <f t="shared" si="121"/>
        <v xml:space="preserve"> </v>
      </c>
      <c r="AN922" s="232" t="str">
        <f t="shared" si="122"/>
        <v xml:space="preserve"> </v>
      </c>
    </row>
    <row r="923" spans="28:40" x14ac:dyDescent="0.25">
      <c r="AB923" s="230" t="e">
        <f>T923-HLOOKUP(V923,Minimas!$C$3:$CD$12,2,FALSE)</f>
        <v>#N/A</v>
      </c>
      <c r="AC923" s="230" t="e">
        <f>T923-HLOOKUP(V923,Minimas!$C$3:$CD$12,3,FALSE)</f>
        <v>#N/A</v>
      </c>
      <c r="AD923" s="230" t="e">
        <f>T923-HLOOKUP(V923,Minimas!$C$3:$CD$12,4,FALSE)</f>
        <v>#N/A</v>
      </c>
      <c r="AE923" s="230" t="e">
        <f>T923-HLOOKUP(V923,Minimas!$C$3:$CD$12,5,FALSE)</f>
        <v>#N/A</v>
      </c>
      <c r="AF923" s="230" t="e">
        <f>T923-HLOOKUP(V923,Minimas!$C$3:$CD$12,6,FALSE)</f>
        <v>#N/A</v>
      </c>
      <c r="AG923" s="230" t="e">
        <f>T923-HLOOKUP(V923,Minimas!$C$3:$CD$12,7,FALSE)</f>
        <v>#N/A</v>
      </c>
      <c r="AH923" s="230" t="e">
        <f>T923-HLOOKUP(V923,Minimas!$C$3:$CD$12,8,FALSE)</f>
        <v>#N/A</v>
      </c>
      <c r="AI923" s="230" t="e">
        <f>T923-HLOOKUP(V923,Minimas!$C$3:$CD$12,9,FALSE)</f>
        <v>#N/A</v>
      </c>
      <c r="AJ923" s="230" t="e">
        <f>T923-HLOOKUP(V923,Minimas!$C$3:$CD$12,10,FALSE)</f>
        <v>#N/A</v>
      </c>
      <c r="AK923" s="231" t="str">
        <f t="shared" si="120"/>
        <v xml:space="preserve"> </v>
      </c>
      <c r="AL923" s="232"/>
      <c r="AM923" s="232" t="str">
        <f t="shared" si="121"/>
        <v xml:space="preserve"> </v>
      </c>
      <c r="AN923" s="232" t="str">
        <f t="shared" si="122"/>
        <v xml:space="preserve"> </v>
      </c>
    </row>
    <row r="924" spans="28:40" x14ac:dyDescent="0.25">
      <c r="AB924" s="230" t="e">
        <f>T924-HLOOKUP(V924,Minimas!$C$3:$CD$12,2,FALSE)</f>
        <v>#N/A</v>
      </c>
      <c r="AC924" s="230" t="e">
        <f>T924-HLOOKUP(V924,Minimas!$C$3:$CD$12,3,FALSE)</f>
        <v>#N/A</v>
      </c>
      <c r="AD924" s="230" t="e">
        <f>T924-HLOOKUP(V924,Minimas!$C$3:$CD$12,4,FALSE)</f>
        <v>#N/A</v>
      </c>
      <c r="AE924" s="230" t="e">
        <f>T924-HLOOKUP(V924,Minimas!$C$3:$CD$12,5,FALSE)</f>
        <v>#N/A</v>
      </c>
      <c r="AF924" s="230" t="e">
        <f>T924-HLOOKUP(V924,Minimas!$C$3:$CD$12,6,FALSE)</f>
        <v>#N/A</v>
      </c>
      <c r="AG924" s="230" t="e">
        <f>T924-HLOOKUP(V924,Minimas!$C$3:$CD$12,7,FALSE)</f>
        <v>#N/A</v>
      </c>
      <c r="AH924" s="230" t="e">
        <f>T924-HLOOKUP(V924,Minimas!$C$3:$CD$12,8,FALSE)</f>
        <v>#N/A</v>
      </c>
      <c r="AI924" s="230" t="e">
        <f>T924-HLOOKUP(V924,Minimas!$C$3:$CD$12,9,FALSE)</f>
        <v>#N/A</v>
      </c>
      <c r="AJ924" s="230" t="e">
        <f>T924-HLOOKUP(V924,Minimas!$C$3:$CD$12,10,FALSE)</f>
        <v>#N/A</v>
      </c>
      <c r="AK924" s="231" t="str">
        <f t="shared" si="120"/>
        <v xml:space="preserve"> </v>
      </c>
      <c r="AL924" s="232"/>
      <c r="AM924" s="232" t="str">
        <f t="shared" si="121"/>
        <v xml:space="preserve"> </v>
      </c>
      <c r="AN924" s="232" t="str">
        <f t="shared" si="122"/>
        <v xml:space="preserve"> </v>
      </c>
    </row>
    <row r="925" spans="28:40" x14ac:dyDescent="0.25">
      <c r="AB925" s="230" t="e">
        <f>T925-HLOOKUP(V925,Minimas!$C$3:$CD$12,2,FALSE)</f>
        <v>#N/A</v>
      </c>
      <c r="AC925" s="230" t="e">
        <f>T925-HLOOKUP(V925,Minimas!$C$3:$CD$12,3,FALSE)</f>
        <v>#N/A</v>
      </c>
      <c r="AD925" s="230" t="e">
        <f>T925-HLOOKUP(V925,Minimas!$C$3:$CD$12,4,FALSE)</f>
        <v>#N/A</v>
      </c>
      <c r="AE925" s="230" t="e">
        <f>T925-HLOOKUP(V925,Minimas!$C$3:$CD$12,5,FALSE)</f>
        <v>#N/A</v>
      </c>
      <c r="AF925" s="230" t="e">
        <f>T925-HLOOKUP(V925,Minimas!$C$3:$CD$12,6,FALSE)</f>
        <v>#N/A</v>
      </c>
      <c r="AG925" s="230" t="e">
        <f>T925-HLOOKUP(V925,Minimas!$C$3:$CD$12,7,FALSE)</f>
        <v>#N/A</v>
      </c>
      <c r="AH925" s="230" t="e">
        <f>T925-HLOOKUP(V925,Minimas!$C$3:$CD$12,8,FALSE)</f>
        <v>#N/A</v>
      </c>
      <c r="AI925" s="230" t="e">
        <f>T925-HLOOKUP(V925,Minimas!$C$3:$CD$12,9,FALSE)</f>
        <v>#N/A</v>
      </c>
      <c r="AJ925" s="230" t="e">
        <f>T925-HLOOKUP(V925,Minimas!$C$3:$CD$12,10,FALSE)</f>
        <v>#N/A</v>
      </c>
      <c r="AK925" s="231" t="str">
        <f t="shared" si="120"/>
        <v xml:space="preserve"> </v>
      </c>
      <c r="AL925" s="232"/>
      <c r="AM925" s="232" t="str">
        <f t="shared" si="121"/>
        <v xml:space="preserve"> </v>
      </c>
      <c r="AN925" s="232" t="str">
        <f t="shared" si="122"/>
        <v xml:space="preserve"> </v>
      </c>
    </row>
    <row r="926" spans="28:40" x14ac:dyDescent="0.25">
      <c r="AB926" s="230" t="e">
        <f>T926-HLOOKUP(V926,Minimas!$C$3:$CD$12,2,FALSE)</f>
        <v>#N/A</v>
      </c>
      <c r="AC926" s="230" t="e">
        <f>T926-HLOOKUP(V926,Minimas!$C$3:$CD$12,3,FALSE)</f>
        <v>#N/A</v>
      </c>
      <c r="AD926" s="230" t="e">
        <f>T926-HLOOKUP(V926,Minimas!$C$3:$CD$12,4,FALSE)</f>
        <v>#N/A</v>
      </c>
      <c r="AE926" s="230" t="e">
        <f>T926-HLOOKUP(V926,Minimas!$C$3:$CD$12,5,FALSE)</f>
        <v>#N/A</v>
      </c>
      <c r="AF926" s="230" t="e">
        <f>T926-HLOOKUP(V926,Minimas!$C$3:$CD$12,6,FALSE)</f>
        <v>#N/A</v>
      </c>
      <c r="AG926" s="230" t="e">
        <f>T926-HLOOKUP(V926,Minimas!$C$3:$CD$12,7,FALSE)</f>
        <v>#N/A</v>
      </c>
      <c r="AH926" s="230" t="e">
        <f>T926-HLOOKUP(V926,Minimas!$C$3:$CD$12,8,FALSE)</f>
        <v>#N/A</v>
      </c>
      <c r="AI926" s="230" t="e">
        <f>T926-HLOOKUP(V926,Minimas!$C$3:$CD$12,9,FALSE)</f>
        <v>#N/A</v>
      </c>
      <c r="AJ926" s="230" t="e">
        <f>T926-HLOOKUP(V926,Minimas!$C$3:$CD$12,10,FALSE)</f>
        <v>#N/A</v>
      </c>
      <c r="AK926" s="231" t="str">
        <f t="shared" si="120"/>
        <v xml:space="preserve"> </v>
      </c>
      <c r="AL926" s="232"/>
      <c r="AM926" s="232" t="str">
        <f t="shared" si="121"/>
        <v xml:space="preserve"> </v>
      </c>
      <c r="AN926" s="232" t="str">
        <f t="shared" si="122"/>
        <v xml:space="preserve"> </v>
      </c>
    </row>
    <row r="927" spans="28:40" x14ac:dyDescent="0.25">
      <c r="AB927" s="230" t="e">
        <f>T927-HLOOKUP(V927,Minimas!$C$3:$CD$12,2,FALSE)</f>
        <v>#N/A</v>
      </c>
      <c r="AC927" s="230" t="e">
        <f>T927-HLOOKUP(V927,Minimas!$C$3:$CD$12,3,FALSE)</f>
        <v>#N/A</v>
      </c>
      <c r="AD927" s="230" t="e">
        <f>T927-HLOOKUP(V927,Minimas!$C$3:$CD$12,4,FALSE)</f>
        <v>#N/A</v>
      </c>
      <c r="AE927" s="230" t="e">
        <f>T927-HLOOKUP(V927,Minimas!$C$3:$CD$12,5,FALSE)</f>
        <v>#N/A</v>
      </c>
      <c r="AF927" s="230" t="e">
        <f>T927-HLOOKUP(V927,Minimas!$C$3:$CD$12,6,FALSE)</f>
        <v>#N/A</v>
      </c>
      <c r="AG927" s="230" t="e">
        <f>T927-HLOOKUP(V927,Minimas!$C$3:$CD$12,7,FALSE)</f>
        <v>#N/A</v>
      </c>
      <c r="AH927" s="230" t="e">
        <f>T927-HLOOKUP(V927,Minimas!$C$3:$CD$12,8,FALSE)</f>
        <v>#N/A</v>
      </c>
      <c r="AI927" s="230" t="e">
        <f>T927-HLOOKUP(V927,Minimas!$C$3:$CD$12,9,FALSE)</f>
        <v>#N/A</v>
      </c>
      <c r="AJ927" s="230" t="e">
        <f>T927-HLOOKUP(V927,Minimas!$C$3:$CD$12,10,FALSE)</f>
        <v>#N/A</v>
      </c>
      <c r="AK927" s="231" t="str">
        <f t="shared" si="120"/>
        <v xml:space="preserve"> </v>
      </c>
      <c r="AL927" s="232"/>
      <c r="AM927" s="232" t="str">
        <f t="shared" si="121"/>
        <v xml:space="preserve"> </v>
      </c>
      <c r="AN927" s="232" t="str">
        <f t="shared" si="122"/>
        <v xml:space="preserve"> </v>
      </c>
    </row>
    <row r="928" spans="28:40" x14ac:dyDescent="0.25">
      <c r="AB928" s="230" t="e">
        <f>T928-HLOOKUP(V928,Minimas!$C$3:$CD$12,2,FALSE)</f>
        <v>#N/A</v>
      </c>
      <c r="AC928" s="230" t="e">
        <f>T928-HLOOKUP(V928,Minimas!$C$3:$CD$12,3,FALSE)</f>
        <v>#N/A</v>
      </c>
      <c r="AD928" s="230" t="e">
        <f>T928-HLOOKUP(V928,Minimas!$C$3:$CD$12,4,FALSE)</f>
        <v>#N/A</v>
      </c>
      <c r="AE928" s="230" t="e">
        <f>T928-HLOOKUP(V928,Minimas!$C$3:$CD$12,5,FALSE)</f>
        <v>#N/A</v>
      </c>
      <c r="AF928" s="230" t="e">
        <f>T928-HLOOKUP(V928,Minimas!$C$3:$CD$12,6,FALSE)</f>
        <v>#N/A</v>
      </c>
      <c r="AG928" s="230" t="e">
        <f>T928-HLOOKUP(V928,Minimas!$C$3:$CD$12,7,FALSE)</f>
        <v>#N/A</v>
      </c>
      <c r="AH928" s="230" t="e">
        <f>T928-HLOOKUP(V928,Minimas!$C$3:$CD$12,8,FALSE)</f>
        <v>#N/A</v>
      </c>
      <c r="AI928" s="230" t="e">
        <f>T928-HLOOKUP(V928,Minimas!$C$3:$CD$12,9,FALSE)</f>
        <v>#N/A</v>
      </c>
      <c r="AJ928" s="230" t="e">
        <f>T928-HLOOKUP(V928,Minimas!$C$3:$CD$12,10,FALSE)</f>
        <v>#N/A</v>
      </c>
      <c r="AK928" s="231" t="str">
        <f t="shared" si="120"/>
        <v xml:space="preserve"> </v>
      </c>
      <c r="AL928" s="232"/>
      <c r="AM928" s="232" t="str">
        <f t="shared" si="121"/>
        <v xml:space="preserve"> </v>
      </c>
      <c r="AN928" s="232" t="str">
        <f t="shared" si="122"/>
        <v xml:space="preserve"> </v>
      </c>
    </row>
    <row r="929" spans="28:40" x14ac:dyDescent="0.25">
      <c r="AB929" s="230" t="e">
        <f>T929-HLOOKUP(V929,Minimas!$C$3:$CD$12,2,FALSE)</f>
        <v>#N/A</v>
      </c>
      <c r="AC929" s="230" t="e">
        <f>T929-HLOOKUP(V929,Minimas!$C$3:$CD$12,3,FALSE)</f>
        <v>#N/A</v>
      </c>
      <c r="AD929" s="230" t="e">
        <f>T929-HLOOKUP(V929,Minimas!$C$3:$CD$12,4,FALSE)</f>
        <v>#N/A</v>
      </c>
      <c r="AE929" s="230" t="e">
        <f>T929-HLOOKUP(V929,Minimas!$C$3:$CD$12,5,FALSE)</f>
        <v>#N/A</v>
      </c>
      <c r="AF929" s="230" t="e">
        <f>T929-HLOOKUP(V929,Minimas!$C$3:$CD$12,6,FALSE)</f>
        <v>#N/A</v>
      </c>
      <c r="AG929" s="230" t="e">
        <f>T929-HLOOKUP(V929,Minimas!$C$3:$CD$12,7,FALSE)</f>
        <v>#N/A</v>
      </c>
      <c r="AH929" s="230" t="e">
        <f>T929-HLOOKUP(V929,Minimas!$C$3:$CD$12,8,FALSE)</f>
        <v>#N/A</v>
      </c>
      <c r="AI929" s="230" t="e">
        <f>T929-HLOOKUP(V929,Minimas!$C$3:$CD$12,9,FALSE)</f>
        <v>#N/A</v>
      </c>
      <c r="AJ929" s="230" t="e">
        <f>T929-HLOOKUP(V929,Minimas!$C$3:$CD$12,10,FALSE)</f>
        <v>#N/A</v>
      </c>
      <c r="AK929" s="231" t="str">
        <f t="shared" si="120"/>
        <v xml:space="preserve"> </v>
      </c>
      <c r="AL929" s="232"/>
      <c r="AM929" s="232" t="str">
        <f t="shared" si="121"/>
        <v xml:space="preserve"> </v>
      </c>
      <c r="AN929" s="232" t="str">
        <f t="shared" si="122"/>
        <v xml:space="preserve"> </v>
      </c>
    </row>
    <row r="930" spans="28:40" x14ac:dyDescent="0.25">
      <c r="AB930" s="230" t="e">
        <f>T930-HLOOKUP(V930,Minimas!$C$3:$CD$12,2,FALSE)</f>
        <v>#N/A</v>
      </c>
      <c r="AC930" s="230" t="e">
        <f>T930-HLOOKUP(V930,Minimas!$C$3:$CD$12,3,FALSE)</f>
        <v>#N/A</v>
      </c>
      <c r="AD930" s="230" t="e">
        <f>T930-HLOOKUP(V930,Minimas!$C$3:$CD$12,4,FALSE)</f>
        <v>#N/A</v>
      </c>
      <c r="AE930" s="230" t="e">
        <f>T930-HLOOKUP(V930,Minimas!$C$3:$CD$12,5,FALSE)</f>
        <v>#N/A</v>
      </c>
      <c r="AF930" s="230" t="e">
        <f>T930-HLOOKUP(V930,Minimas!$C$3:$CD$12,6,FALSE)</f>
        <v>#N/A</v>
      </c>
      <c r="AG930" s="230" t="e">
        <f>T930-HLOOKUP(V930,Minimas!$C$3:$CD$12,7,FALSE)</f>
        <v>#N/A</v>
      </c>
      <c r="AH930" s="230" t="e">
        <f>T930-HLOOKUP(V930,Minimas!$C$3:$CD$12,8,FALSE)</f>
        <v>#N/A</v>
      </c>
      <c r="AI930" s="230" t="e">
        <f>T930-HLOOKUP(V930,Minimas!$C$3:$CD$12,9,FALSE)</f>
        <v>#N/A</v>
      </c>
      <c r="AJ930" s="230" t="e">
        <f>T930-HLOOKUP(V930,Minimas!$C$3:$CD$12,10,FALSE)</f>
        <v>#N/A</v>
      </c>
      <c r="AK930" s="231" t="str">
        <f t="shared" si="120"/>
        <v xml:space="preserve"> </v>
      </c>
      <c r="AL930" s="232"/>
      <c r="AM930" s="232" t="str">
        <f t="shared" si="121"/>
        <v xml:space="preserve"> </v>
      </c>
      <c r="AN930" s="232" t="str">
        <f t="shared" si="122"/>
        <v xml:space="preserve"> </v>
      </c>
    </row>
    <row r="931" spans="28:40" x14ac:dyDescent="0.25">
      <c r="AB931" s="230" t="e">
        <f>T931-HLOOKUP(V931,Minimas!$C$3:$CD$12,2,FALSE)</f>
        <v>#N/A</v>
      </c>
      <c r="AC931" s="230" t="e">
        <f>T931-HLOOKUP(V931,Minimas!$C$3:$CD$12,3,FALSE)</f>
        <v>#N/A</v>
      </c>
      <c r="AD931" s="230" t="e">
        <f>T931-HLOOKUP(V931,Minimas!$C$3:$CD$12,4,FALSE)</f>
        <v>#N/A</v>
      </c>
      <c r="AE931" s="230" t="e">
        <f>T931-HLOOKUP(V931,Minimas!$C$3:$CD$12,5,FALSE)</f>
        <v>#N/A</v>
      </c>
      <c r="AF931" s="230" t="e">
        <f>T931-HLOOKUP(V931,Minimas!$C$3:$CD$12,6,FALSE)</f>
        <v>#N/A</v>
      </c>
      <c r="AG931" s="230" t="e">
        <f>T931-HLOOKUP(V931,Minimas!$C$3:$CD$12,7,FALSE)</f>
        <v>#N/A</v>
      </c>
      <c r="AH931" s="230" t="e">
        <f>T931-HLOOKUP(V931,Minimas!$C$3:$CD$12,8,FALSE)</f>
        <v>#N/A</v>
      </c>
      <c r="AI931" s="230" t="e">
        <f>T931-HLOOKUP(V931,Minimas!$C$3:$CD$12,9,FALSE)</f>
        <v>#N/A</v>
      </c>
      <c r="AJ931" s="230" t="e">
        <f>T931-HLOOKUP(V931,Minimas!$C$3:$CD$12,10,FALSE)</f>
        <v>#N/A</v>
      </c>
      <c r="AK931" s="231" t="str">
        <f t="shared" si="120"/>
        <v xml:space="preserve"> </v>
      </c>
      <c r="AL931" s="232"/>
      <c r="AM931" s="232" t="str">
        <f t="shared" si="121"/>
        <v xml:space="preserve"> </v>
      </c>
      <c r="AN931" s="232" t="str">
        <f t="shared" si="122"/>
        <v xml:space="preserve"> </v>
      </c>
    </row>
    <row r="932" spans="28:40" x14ac:dyDescent="0.25">
      <c r="AB932" s="230" t="e">
        <f>T932-HLOOKUP(V932,Minimas!$C$3:$CD$12,2,FALSE)</f>
        <v>#N/A</v>
      </c>
      <c r="AC932" s="230" t="e">
        <f>T932-HLOOKUP(V932,Minimas!$C$3:$CD$12,3,FALSE)</f>
        <v>#N/A</v>
      </c>
      <c r="AD932" s="230" t="e">
        <f>T932-HLOOKUP(V932,Minimas!$C$3:$CD$12,4,FALSE)</f>
        <v>#N/A</v>
      </c>
      <c r="AE932" s="230" t="e">
        <f>T932-HLOOKUP(V932,Minimas!$C$3:$CD$12,5,FALSE)</f>
        <v>#N/A</v>
      </c>
      <c r="AF932" s="230" t="e">
        <f>T932-HLOOKUP(V932,Minimas!$C$3:$CD$12,6,FALSE)</f>
        <v>#N/A</v>
      </c>
      <c r="AG932" s="230" t="e">
        <f>T932-HLOOKUP(V932,Minimas!$C$3:$CD$12,7,FALSE)</f>
        <v>#N/A</v>
      </c>
      <c r="AH932" s="230" t="e">
        <f>T932-HLOOKUP(V932,Minimas!$C$3:$CD$12,8,FALSE)</f>
        <v>#N/A</v>
      </c>
      <c r="AI932" s="230" t="e">
        <f>T932-HLOOKUP(V932,Minimas!$C$3:$CD$12,9,FALSE)</f>
        <v>#N/A</v>
      </c>
      <c r="AJ932" s="230" t="e">
        <f>T932-HLOOKUP(V932,Minimas!$C$3:$CD$12,10,FALSE)</f>
        <v>#N/A</v>
      </c>
      <c r="AK932" s="231" t="str">
        <f t="shared" si="120"/>
        <v xml:space="preserve"> </v>
      </c>
      <c r="AL932" s="232"/>
      <c r="AM932" s="232" t="str">
        <f t="shared" si="121"/>
        <v xml:space="preserve"> </v>
      </c>
      <c r="AN932" s="232" t="str">
        <f t="shared" si="122"/>
        <v xml:space="preserve"> </v>
      </c>
    </row>
    <row r="933" spans="28:40" x14ac:dyDescent="0.25">
      <c r="AB933" s="230" t="e">
        <f>T933-HLOOKUP(V933,Minimas!$C$3:$CD$12,2,FALSE)</f>
        <v>#N/A</v>
      </c>
      <c r="AC933" s="230" t="e">
        <f>T933-HLOOKUP(V933,Minimas!$C$3:$CD$12,3,FALSE)</f>
        <v>#N/A</v>
      </c>
      <c r="AD933" s="230" t="e">
        <f>T933-HLOOKUP(V933,Minimas!$C$3:$CD$12,4,FALSE)</f>
        <v>#N/A</v>
      </c>
      <c r="AE933" s="230" t="e">
        <f>T933-HLOOKUP(V933,Minimas!$C$3:$CD$12,5,FALSE)</f>
        <v>#N/A</v>
      </c>
      <c r="AF933" s="230" t="e">
        <f>T933-HLOOKUP(V933,Minimas!$C$3:$CD$12,6,FALSE)</f>
        <v>#N/A</v>
      </c>
      <c r="AG933" s="230" t="e">
        <f>T933-HLOOKUP(V933,Minimas!$C$3:$CD$12,7,FALSE)</f>
        <v>#N/A</v>
      </c>
      <c r="AH933" s="230" t="e">
        <f>T933-HLOOKUP(V933,Minimas!$C$3:$CD$12,8,FALSE)</f>
        <v>#N/A</v>
      </c>
      <c r="AI933" s="230" t="e">
        <f>T933-HLOOKUP(V933,Minimas!$C$3:$CD$12,9,FALSE)</f>
        <v>#N/A</v>
      </c>
      <c r="AJ933" s="230" t="e">
        <f>T933-HLOOKUP(V933,Minimas!$C$3:$CD$12,10,FALSE)</f>
        <v>#N/A</v>
      </c>
      <c r="AK933" s="231" t="str">
        <f t="shared" si="120"/>
        <v xml:space="preserve"> </v>
      </c>
      <c r="AL933" s="232"/>
      <c r="AM933" s="232" t="str">
        <f t="shared" si="121"/>
        <v xml:space="preserve"> </v>
      </c>
      <c r="AN933" s="232" t="str">
        <f t="shared" si="122"/>
        <v xml:space="preserve"> </v>
      </c>
    </row>
    <row r="934" spans="28:40" x14ac:dyDescent="0.25">
      <c r="AB934" s="230" t="e">
        <f>T934-HLOOKUP(V934,Minimas!$C$3:$CD$12,2,FALSE)</f>
        <v>#N/A</v>
      </c>
      <c r="AC934" s="230" t="e">
        <f>T934-HLOOKUP(V934,Minimas!$C$3:$CD$12,3,FALSE)</f>
        <v>#N/A</v>
      </c>
      <c r="AD934" s="230" t="e">
        <f>T934-HLOOKUP(V934,Minimas!$C$3:$CD$12,4,FALSE)</f>
        <v>#N/A</v>
      </c>
      <c r="AE934" s="230" t="e">
        <f>T934-HLOOKUP(V934,Minimas!$C$3:$CD$12,5,FALSE)</f>
        <v>#N/A</v>
      </c>
      <c r="AF934" s="230" t="e">
        <f>T934-HLOOKUP(V934,Minimas!$C$3:$CD$12,6,FALSE)</f>
        <v>#N/A</v>
      </c>
      <c r="AG934" s="230" t="e">
        <f>T934-HLOOKUP(V934,Minimas!$C$3:$CD$12,7,FALSE)</f>
        <v>#N/A</v>
      </c>
      <c r="AH934" s="230" t="e">
        <f>T934-HLOOKUP(V934,Minimas!$C$3:$CD$12,8,FALSE)</f>
        <v>#N/A</v>
      </c>
      <c r="AI934" s="230" t="e">
        <f>T934-HLOOKUP(V934,Minimas!$C$3:$CD$12,9,FALSE)</f>
        <v>#N/A</v>
      </c>
      <c r="AJ934" s="230" t="e">
        <f>T934-HLOOKUP(V934,Minimas!$C$3:$CD$12,10,FALSE)</f>
        <v>#N/A</v>
      </c>
      <c r="AK934" s="231" t="str">
        <f t="shared" si="120"/>
        <v xml:space="preserve"> </v>
      </c>
      <c r="AL934" s="232"/>
      <c r="AM934" s="232" t="str">
        <f t="shared" si="121"/>
        <v xml:space="preserve"> </v>
      </c>
      <c r="AN934" s="232" t="str">
        <f t="shared" si="122"/>
        <v xml:space="preserve"> </v>
      </c>
    </row>
    <row r="935" spans="28:40" x14ac:dyDescent="0.25">
      <c r="AB935" s="230" t="e">
        <f>T935-HLOOKUP(V935,Minimas!$C$3:$CD$12,2,FALSE)</f>
        <v>#N/A</v>
      </c>
      <c r="AC935" s="230" t="e">
        <f>T935-HLOOKUP(V935,Minimas!$C$3:$CD$12,3,FALSE)</f>
        <v>#N/A</v>
      </c>
      <c r="AD935" s="230" t="e">
        <f>T935-HLOOKUP(V935,Minimas!$C$3:$CD$12,4,FALSE)</f>
        <v>#N/A</v>
      </c>
      <c r="AE935" s="230" t="e">
        <f>T935-HLOOKUP(V935,Minimas!$C$3:$CD$12,5,FALSE)</f>
        <v>#N/A</v>
      </c>
      <c r="AF935" s="230" t="e">
        <f>T935-HLOOKUP(V935,Minimas!$C$3:$CD$12,6,FALSE)</f>
        <v>#N/A</v>
      </c>
      <c r="AG935" s="230" t="e">
        <f>T935-HLOOKUP(V935,Minimas!$C$3:$CD$12,7,FALSE)</f>
        <v>#N/A</v>
      </c>
      <c r="AH935" s="230" t="e">
        <f>T935-HLOOKUP(V935,Minimas!$C$3:$CD$12,8,FALSE)</f>
        <v>#N/A</v>
      </c>
      <c r="AI935" s="230" t="e">
        <f>T935-HLOOKUP(V935,Minimas!$C$3:$CD$12,9,FALSE)</f>
        <v>#N/A</v>
      </c>
      <c r="AJ935" s="230" t="e">
        <f>T935-HLOOKUP(V935,Minimas!$C$3:$CD$12,10,FALSE)</f>
        <v>#N/A</v>
      </c>
      <c r="AK935" s="231" t="str">
        <f t="shared" si="120"/>
        <v xml:space="preserve"> </v>
      </c>
      <c r="AL935" s="232"/>
      <c r="AM935" s="232" t="str">
        <f t="shared" si="121"/>
        <v xml:space="preserve"> </v>
      </c>
      <c r="AN935" s="232" t="str">
        <f t="shared" si="122"/>
        <v xml:space="preserve"> </v>
      </c>
    </row>
    <row r="936" spans="28:40" x14ac:dyDescent="0.25">
      <c r="AB936" s="230" t="e">
        <f>T936-HLOOKUP(V936,Minimas!$C$3:$CD$12,2,FALSE)</f>
        <v>#N/A</v>
      </c>
      <c r="AC936" s="230" t="e">
        <f>T936-HLOOKUP(V936,Minimas!$C$3:$CD$12,3,FALSE)</f>
        <v>#N/A</v>
      </c>
      <c r="AD936" s="230" t="e">
        <f>T936-HLOOKUP(V936,Minimas!$C$3:$CD$12,4,FALSE)</f>
        <v>#N/A</v>
      </c>
      <c r="AE936" s="230" t="e">
        <f>T936-HLOOKUP(V936,Minimas!$C$3:$CD$12,5,FALSE)</f>
        <v>#N/A</v>
      </c>
      <c r="AF936" s="230" t="e">
        <f>T936-HLOOKUP(V936,Minimas!$C$3:$CD$12,6,FALSE)</f>
        <v>#N/A</v>
      </c>
      <c r="AG936" s="230" t="e">
        <f>T936-HLOOKUP(V936,Minimas!$C$3:$CD$12,7,FALSE)</f>
        <v>#N/A</v>
      </c>
      <c r="AH936" s="230" t="e">
        <f>T936-HLOOKUP(V936,Minimas!$C$3:$CD$12,8,FALSE)</f>
        <v>#N/A</v>
      </c>
      <c r="AI936" s="230" t="e">
        <f>T936-HLOOKUP(V936,Minimas!$C$3:$CD$12,9,FALSE)</f>
        <v>#N/A</v>
      </c>
      <c r="AJ936" s="230" t="e">
        <f>T936-HLOOKUP(V936,Minimas!$C$3:$CD$12,10,FALSE)</f>
        <v>#N/A</v>
      </c>
      <c r="AK936" s="231" t="str">
        <f t="shared" si="120"/>
        <v xml:space="preserve"> </v>
      </c>
      <c r="AL936" s="232"/>
      <c r="AM936" s="232" t="str">
        <f t="shared" si="121"/>
        <v xml:space="preserve"> </v>
      </c>
      <c r="AN936" s="232" t="str">
        <f t="shared" si="122"/>
        <v xml:space="preserve"> </v>
      </c>
    </row>
    <row r="937" spans="28:40" x14ac:dyDescent="0.25">
      <c r="AB937" s="230" t="e">
        <f>T937-HLOOKUP(V937,Minimas!$C$3:$CD$12,2,FALSE)</f>
        <v>#N/A</v>
      </c>
      <c r="AC937" s="230" t="e">
        <f>T937-HLOOKUP(V937,Minimas!$C$3:$CD$12,3,FALSE)</f>
        <v>#N/A</v>
      </c>
      <c r="AD937" s="230" t="e">
        <f>T937-HLOOKUP(V937,Minimas!$C$3:$CD$12,4,FALSE)</f>
        <v>#N/A</v>
      </c>
      <c r="AE937" s="230" t="e">
        <f>T937-HLOOKUP(V937,Minimas!$C$3:$CD$12,5,FALSE)</f>
        <v>#N/A</v>
      </c>
      <c r="AF937" s="230" t="e">
        <f>T937-HLOOKUP(V937,Minimas!$C$3:$CD$12,6,FALSE)</f>
        <v>#N/A</v>
      </c>
      <c r="AG937" s="230" t="e">
        <f>T937-HLOOKUP(V937,Minimas!$C$3:$CD$12,7,FALSE)</f>
        <v>#N/A</v>
      </c>
      <c r="AH937" s="230" t="e">
        <f>T937-HLOOKUP(V937,Minimas!$C$3:$CD$12,8,FALSE)</f>
        <v>#N/A</v>
      </c>
      <c r="AI937" s="230" t="e">
        <f>T937-HLOOKUP(V937,Minimas!$C$3:$CD$12,9,FALSE)</f>
        <v>#N/A</v>
      </c>
      <c r="AJ937" s="230" t="e">
        <f>T937-HLOOKUP(V937,Minimas!$C$3:$CD$12,10,FALSE)</f>
        <v>#N/A</v>
      </c>
      <c r="AK937" s="231" t="str">
        <f t="shared" si="120"/>
        <v xml:space="preserve"> </v>
      </c>
      <c r="AL937" s="232"/>
      <c r="AM937" s="232" t="str">
        <f t="shared" si="121"/>
        <v xml:space="preserve"> </v>
      </c>
      <c r="AN937" s="232" t="str">
        <f t="shared" si="122"/>
        <v xml:space="preserve"> </v>
      </c>
    </row>
    <row r="938" spans="28:40" x14ac:dyDescent="0.25">
      <c r="AB938" s="230" t="e">
        <f>T938-HLOOKUP(V938,Minimas!$C$3:$CD$12,2,FALSE)</f>
        <v>#N/A</v>
      </c>
      <c r="AC938" s="230" t="e">
        <f>T938-HLOOKUP(V938,Minimas!$C$3:$CD$12,3,FALSE)</f>
        <v>#N/A</v>
      </c>
      <c r="AD938" s="230" t="e">
        <f>T938-HLOOKUP(V938,Minimas!$C$3:$CD$12,4,FALSE)</f>
        <v>#N/A</v>
      </c>
      <c r="AE938" s="230" t="e">
        <f>T938-HLOOKUP(V938,Minimas!$C$3:$CD$12,5,FALSE)</f>
        <v>#N/A</v>
      </c>
      <c r="AF938" s="230" t="e">
        <f>T938-HLOOKUP(V938,Minimas!$C$3:$CD$12,6,FALSE)</f>
        <v>#N/A</v>
      </c>
      <c r="AG938" s="230" t="e">
        <f>T938-HLOOKUP(V938,Minimas!$C$3:$CD$12,7,FALSE)</f>
        <v>#N/A</v>
      </c>
      <c r="AH938" s="230" t="e">
        <f>T938-HLOOKUP(V938,Minimas!$C$3:$CD$12,8,FALSE)</f>
        <v>#N/A</v>
      </c>
      <c r="AI938" s="230" t="e">
        <f>T938-HLOOKUP(V938,Minimas!$C$3:$CD$12,9,FALSE)</f>
        <v>#N/A</v>
      </c>
      <c r="AJ938" s="230" t="e">
        <f>T938-HLOOKUP(V938,Minimas!$C$3:$CD$12,10,FALSE)</f>
        <v>#N/A</v>
      </c>
      <c r="AK938" s="231" t="str">
        <f t="shared" si="120"/>
        <v xml:space="preserve"> </v>
      </c>
      <c r="AL938" s="232"/>
      <c r="AM938" s="232" t="str">
        <f t="shared" si="121"/>
        <v xml:space="preserve"> </v>
      </c>
      <c r="AN938" s="232" t="str">
        <f t="shared" si="122"/>
        <v xml:space="preserve"> </v>
      </c>
    </row>
    <row r="939" spans="28:40" x14ac:dyDescent="0.25">
      <c r="AB939" s="230" t="e">
        <f>T939-HLOOKUP(V939,Minimas!$C$3:$CD$12,2,FALSE)</f>
        <v>#N/A</v>
      </c>
      <c r="AC939" s="230" t="e">
        <f>T939-HLOOKUP(V939,Minimas!$C$3:$CD$12,3,FALSE)</f>
        <v>#N/A</v>
      </c>
      <c r="AD939" s="230" t="e">
        <f>T939-HLOOKUP(V939,Minimas!$C$3:$CD$12,4,FALSE)</f>
        <v>#N/A</v>
      </c>
      <c r="AE939" s="230" t="e">
        <f>T939-HLOOKUP(V939,Minimas!$C$3:$CD$12,5,FALSE)</f>
        <v>#N/A</v>
      </c>
      <c r="AF939" s="230" t="e">
        <f>T939-HLOOKUP(V939,Minimas!$C$3:$CD$12,6,FALSE)</f>
        <v>#N/A</v>
      </c>
      <c r="AG939" s="230" t="e">
        <f>T939-HLOOKUP(V939,Minimas!$C$3:$CD$12,7,FALSE)</f>
        <v>#N/A</v>
      </c>
      <c r="AH939" s="230" t="e">
        <f>T939-HLOOKUP(V939,Minimas!$C$3:$CD$12,8,FALSE)</f>
        <v>#N/A</v>
      </c>
      <c r="AI939" s="230" t="e">
        <f>T939-HLOOKUP(V939,Minimas!$C$3:$CD$12,9,FALSE)</f>
        <v>#N/A</v>
      </c>
      <c r="AJ939" s="230" t="e">
        <f>T939-HLOOKUP(V939,Minimas!$C$3:$CD$12,10,FALSE)</f>
        <v>#N/A</v>
      </c>
      <c r="AK939" s="231" t="str">
        <f t="shared" si="120"/>
        <v xml:space="preserve"> </v>
      </c>
      <c r="AL939" s="232"/>
      <c r="AM939" s="232" t="str">
        <f t="shared" si="121"/>
        <v xml:space="preserve"> </v>
      </c>
      <c r="AN939" s="232" t="str">
        <f t="shared" si="122"/>
        <v xml:space="preserve"> </v>
      </c>
    </row>
    <row r="940" spans="28:40" x14ac:dyDescent="0.25">
      <c r="AB940" s="230" t="e">
        <f>T940-HLOOKUP(V940,Minimas!$C$3:$CD$12,2,FALSE)</f>
        <v>#N/A</v>
      </c>
      <c r="AC940" s="230" t="e">
        <f>T940-HLOOKUP(V940,Minimas!$C$3:$CD$12,3,FALSE)</f>
        <v>#N/A</v>
      </c>
      <c r="AD940" s="230" t="e">
        <f>T940-HLOOKUP(V940,Minimas!$C$3:$CD$12,4,FALSE)</f>
        <v>#N/A</v>
      </c>
      <c r="AE940" s="230" t="e">
        <f>T940-HLOOKUP(V940,Minimas!$C$3:$CD$12,5,FALSE)</f>
        <v>#N/A</v>
      </c>
      <c r="AF940" s="230" t="e">
        <f>T940-HLOOKUP(V940,Minimas!$C$3:$CD$12,6,FALSE)</f>
        <v>#N/A</v>
      </c>
      <c r="AG940" s="230" t="e">
        <f>T940-HLOOKUP(V940,Minimas!$C$3:$CD$12,7,FALSE)</f>
        <v>#N/A</v>
      </c>
      <c r="AH940" s="230" t="e">
        <f>T940-HLOOKUP(V940,Minimas!$C$3:$CD$12,8,FALSE)</f>
        <v>#N/A</v>
      </c>
      <c r="AI940" s="230" t="e">
        <f>T940-HLOOKUP(V940,Minimas!$C$3:$CD$12,9,FALSE)</f>
        <v>#N/A</v>
      </c>
      <c r="AJ940" s="230" t="e">
        <f>T940-HLOOKUP(V940,Minimas!$C$3:$CD$12,10,FALSE)</f>
        <v>#N/A</v>
      </c>
      <c r="AK940" s="231" t="str">
        <f t="shared" si="120"/>
        <v xml:space="preserve"> </v>
      </c>
      <c r="AL940" s="232"/>
      <c r="AM940" s="232" t="str">
        <f t="shared" si="121"/>
        <v xml:space="preserve"> </v>
      </c>
      <c r="AN940" s="232" t="str">
        <f t="shared" si="122"/>
        <v xml:space="preserve"> </v>
      </c>
    </row>
    <row r="941" spans="28:40" x14ac:dyDescent="0.25">
      <c r="AB941" s="230" t="e">
        <f>T941-HLOOKUP(V941,Minimas!$C$3:$CD$12,2,FALSE)</f>
        <v>#N/A</v>
      </c>
      <c r="AC941" s="230" t="e">
        <f>T941-HLOOKUP(V941,Minimas!$C$3:$CD$12,3,FALSE)</f>
        <v>#N/A</v>
      </c>
      <c r="AD941" s="230" t="e">
        <f>T941-HLOOKUP(V941,Minimas!$C$3:$CD$12,4,FALSE)</f>
        <v>#N/A</v>
      </c>
      <c r="AE941" s="230" t="e">
        <f>T941-HLOOKUP(V941,Minimas!$C$3:$CD$12,5,FALSE)</f>
        <v>#N/A</v>
      </c>
      <c r="AF941" s="230" t="e">
        <f>T941-HLOOKUP(V941,Minimas!$C$3:$CD$12,6,FALSE)</f>
        <v>#N/A</v>
      </c>
      <c r="AG941" s="230" t="e">
        <f>T941-HLOOKUP(V941,Minimas!$C$3:$CD$12,7,FALSE)</f>
        <v>#N/A</v>
      </c>
      <c r="AH941" s="230" t="e">
        <f>T941-HLOOKUP(V941,Minimas!$C$3:$CD$12,8,FALSE)</f>
        <v>#N/A</v>
      </c>
      <c r="AI941" s="230" t="e">
        <f>T941-HLOOKUP(V941,Minimas!$C$3:$CD$12,9,FALSE)</f>
        <v>#N/A</v>
      </c>
      <c r="AJ941" s="230" t="e">
        <f>T941-HLOOKUP(V941,Minimas!$C$3:$CD$12,10,FALSE)</f>
        <v>#N/A</v>
      </c>
      <c r="AK941" s="231" t="str">
        <f t="shared" si="120"/>
        <v xml:space="preserve"> </v>
      </c>
      <c r="AL941" s="232"/>
      <c r="AM941" s="232" t="str">
        <f t="shared" si="121"/>
        <v xml:space="preserve"> </v>
      </c>
      <c r="AN941" s="232" t="str">
        <f t="shared" si="122"/>
        <v xml:space="preserve"> </v>
      </c>
    </row>
    <row r="942" spans="28:40" x14ac:dyDescent="0.25">
      <c r="AB942" s="230" t="e">
        <f>T942-HLOOKUP(V942,Minimas!$C$3:$CD$12,2,FALSE)</f>
        <v>#N/A</v>
      </c>
      <c r="AC942" s="230" t="e">
        <f>T942-HLOOKUP(V942,Minimas!$C$3:$CD$12,3,FALSE)</f>
        <v>#N/A</v>
      </c>
      <c r="AD942" s="230" t="e">
        <f>T942-HLOOKUP(V942,Minimas!$C$3:$CD$12,4,FALSE)</f>
        <v>#N/A</v>
      </c>
      <c r="AE942" s="230" t="e">
        <f>T942-HLOOKUP(V942,Minimas!$C$3:$CD$12,5,FALSE)</f>
        <v>#N/A</v>
      </c>
      <c r="AF942" s="230" t="e">
        <f>T942-HLOOKUP(V942,Minimas!$C$3:$CD$12,6,FALSE)</f>
        <v>#N/A</v>
      </c>
      <c r="AG942" s="230" t="e">
        <f>T942-HLOOKUP(V942,Minimas!$C$3:$CD$12,7,FALSE)</f>
        <v>#N/A</v>
      </c>
      <c r="AH942" s="230" t="e">
        <f>T942-HLOOKUP(V942,Minimas!$C$3:$CD$12,8,FALSE)</f>
        <v>#N/A</v>
      </c>
      <c r="AI942" s="230" t="e">
        <f>T942-HLOOKUP(V942,Minimas!$C$3:$CD$12,9,FALSE)</f>
        <v>#N/A</v>
      </c>
      <c r="AJ942" s="230" t="e">
        <f>T942-HLOOKUP(V942,Minimas!$C$3:$CD$12,10,FALSE)</f>
        <v>#N/A</v>
      </c>
      <c r="AK942" s="231" t="str">
        <f t="shared" si="120"/>
        <v xml:space="preserve"> </v>
      </c>
      <c r="AL942" s="232"/>
      <c r="AM942" s="232" t="str">
        <f t="shared" si="121"/>
        <v xml:space="preserve"> </v>
      </c>
      <c r="AN942" s="232" t="str">
        <f t="shared" si="122"/>
        <v xml:space="preserve"> </v>
      </c>
    </row>
    <row r="943" spans="28:40" x14ac:dyDescent="0.25">
      <c r="AB943" s="230" t="e">
        <f>T943-HLOOKUP(V943,Minimas!$C$3:$CD$12,2,FALSE)</f>
        <v>#N/A</v>
      </c>
      <c r="AC943" s="230" t="e">
        <f>T943-HLOOKUP(V943,Minimas!$C$3:$CD$12,3,FALSE)</f>
        <v>#N/A</v>
      </c>
      <c r="AD943" s="230" t="e">
        <f>T943-HLOOKUP(V943,Minimas!$C$3:$CD$12,4,FALSE)</f>
        <v>#N/A</v>
      </c>
      <c r="AE943" s="230" t="e">
        <f>T943-HLOOKUP(V943,Minimas!$C$3:$CD$12,5,FALSE)</f>
        <v>#N/A</v>
      </c>
      <c r="AF943" s="230" t="e">
        <f>T943-HLOOKUP(V943,Minimas!$C$3:$CD$12,6,FALSE)</f>
        <v>#N/A</v>
      </c>
      <c r="AG943" s="230" t="e">
        <f>T943-HLOOKUP(V943,Minimas!$C$3:$CD$12,7,FALSE)</f>
        <v>#N/A</v>
      </c>
      <c r="AH943" s="230" t="e">
        <f>T943-HLOOKUP(V943,Minimas!$C$3:$CD$12,8,FALSE)</f>
        <v>#N/A</v>
      </c>
      <c r="AI943" s="230" t="e">
        <f>T943-HLOOKUP(V943,Minimas!$C$3:$CD$12,9,FALSE)</f>
        <v>#N/A</v>
      </c>
      <c r="AJ943" s="230" t="e">
        <f>T943-HLOOKUP(V943,Minimas!$C$3:$CD$12,10,FALSE)</f>
        <v>#N/A</v>
      </c>
      <c r="AK943" s="231" t="str">
        <f t="shared" si="120"/>
        <v xml:space="preserve"> </v>
      </c>
      <c r="AL943" s="232"/>
      <c r="AM943" s="232" t="str">
        <f t="shared" si="121"/>
        <v xml:space="preserve"> </v>
      </c>
      <c r="AN943" s="232" t="str">
        <f t="shared" si="122"/>
        <v xml:space="preserve"> </v>
      </c>
    </row>
    <row r="944" spans="28:40" x14ac:dyDescent="0.25">
      <c r="AB944" s="230" t="e">
        <f>T944-HLOOKUP(V944,Minimas!$C$3:$CD$12,2,FALSE)</f>
        <v>#N/A</v>
      </c>
      <c r="AC944" s="230" t="e">
        <f>T944-HLOOKUP(V944,Minimas!$C$3:$CD$12,3,FALSE)</f>
        <v>#N/A</v>
      </c>
      <c r="AD944" s="230" t="e">
        <f>T944-HLOOKUP(V944,Minimas!$C$3:$CD$12,4,FALSE)</f>
        <v>#N/A</v>
      </c>
      <c r="AE944" s="230" t="e">
        <f>T944-HLOOKUP(V944,Minimas!$C$3:$CD$12,5,FALSE)</f>
        <v>#N/A</v>
      </c>
      <c r="AF944" s="230" t="e">
        <f>T944-HLOOKUP(V944,Minimas!$C$3:$CD$12,6,FALSE)</f>
        <v>#N/A</v>
      </c>
      <c r="AG944" s="230" t="e">
        <f>T944-HLOOKUP(V944,Minimas!$C$3:$CD$12,7,FALSE)</f>
        <v>#N/A</v>
      </c>
      <c r="AH944" s="230" t="e">
        <f>T944-HLOOKUP(V944,Minimas!$C$3:$CD$12,8,FALSE)</f>
        <v>#N/A</v>
      </c>
      <c r="AI944" s="230" t="e">
        <f>T944-HLOOKUP(V944,Minimas!$C$3:$CD$12,9,FALSE)</f>
        <v>#N/A</v>
      </c>
      <c r="AJ944" s="230" t="e">
        <f>T944-HLOOKUP(V944,Minimas!$C$3:$CD$12,10,FALSE)</f>
        <v>#N/A</v>
      </c>
      <c r="AK944" s="231" t="str">
        <f t="shared" si="120"/>
        <v xml:space="preserve"> </v>
      </c>
      <c r="AL944" s="232"/>
      <c r="AM944" s="232" t="str">
        <f t="shared" si="121"/>
        <v xml:space="preserve"> </v>
      </c>
      <c r="AN944" s="232" t="str">
        <f t="shared" si="122"/>
        <v xml:space="preserve"> </v>
      </c>
    </row>
    <row r="945" spans="28:40" x14ac:dyDescent="0.25">
      <c r="AB945" s="230" t="e">
        <f>T945-HLOOKUP(V945,Minimas!$C$3:$CD$12,2,FALSE)</f>
        <v>#N/A</v>
      </c>
      <c r="AC945" s="230" t="e">
        <f>T945-HLOOKUP(V945,Minimas!$C$3:$CD$12,3,FALSE)</f>
        <v>#N/A</v>
      </c>
      <c r="AD945" s="230" t="e">
        <f>T945-HLOOKUP(V945,Minimas!$C$3:$CD$12,4,FALSE)</f>
        <v>#N/A</v>
      </c>
      <c r="AE945" s="230" t="e">
        <f>T945-HLOOKUP(V945,Minimas!$C$3:$CD$12,5,FALSE)</f>
        <v>#N/A</v>
      </c>
      <c r="AF945" s="230" t="e">
        <f>T945-HLOOKUP(V945,Minimas!$C$3:$CD$12,6,FALSE)</f>
        <v>#N/A</v>
      </c>
      <c r="AG945" s="230" t="e">
        <f>T945-HLOOKUP(V945,Minimas!$C$3:$CD$12,7,FALSE)</f>
        <v>#N/A</v>
      </c>
      <c r="AH945" s="230" t="e">
        <f>T945-HLOOKUP(V945,Minimas!$C$3:$CD$12,8,FALSE)</f>
        <v>#N/A</v>
      </c>
      <c r="AI945" s="230" t="e">
        <f>T945-HLOOKUP(V945,Minimas!$C$3:$CD$12,9,FALSE)</f>
        <v>#N/A</v>
      </c>
      <c r="AJ945" s="230" t="e">
        <f>T945-HLOOKUP(V945,Minimas!$C$3:$CD$12,10,FALSE)</f>
        <v>#N/A</v>
      </c>
      <c r="AK945" s="231" t="str">
        <f t="shared" si="120"/>
        <v xml:space="preserve"> </v>
      </c>
      <c r="AL945" s="232"/>
      <c r="AM945" s="232" t="str">
        <f t="shared" si="121"/>
        <v xml:space="preserve"> </v>
      </c>
      <c r="AN945" s="232" t="str">
        <f t="shared" si="122"/>
        <v xml:space="preserve"> </v>
      </c>
    </row>
    <row r="946" spans="28:40" x14ac:dyDescent="0.25">
      <c r="AB946" s="230" t="e">
        <f>T946-HLOOKUP(V946,Minimas!$C$3:$CD$12,2,FALSE)</f>
        <v>#N/A</v>
      </c>
      <c r="AC946" s="230" t="e">
        <f>T946-HLOOKUP(V946,Minimas!$C$3:$CD$12,3,FALSE)</f>
        <v>#N/A</v>
      </c>
      <c r="AD946" s="230" t="e">
        <f>T946-HLOOKUP(V946,Minimas!$C$3:$CD$12,4,FALSE)</f>
        <v>#N/A</v>
      </c>
      <c r="AE946" s="230" t="e">
        <f>T946-HLOOKUP(V946,Minimas!$C$3:$CD$12,5,FALSE)</f>
        <v>#N/A</v>
      </c>
      <c r="AF946" s="230" t="e">
        <f>T946-HLOOKUP(V946,Minimas!$C$3:$CD$12,6,FALSE)</f>
        <v>#N/A</v>
      </c>
      <c r="AG946" s="230" t="e">
        <f>T946-HLOOKUP(V946,Minimas!$C$3:$CD$12,7,FALSE)</f>
        <v>#N/A</v>
      </c>
      <c r="AH946" s="230" t="e">
        <f>T946-HLOOKUP(V946,Minimas!$C$3:$CD$12,8,FALSE)</f>
        <v>#N/A</v>
      </c>
      <c r="AI946" s="230" t="e">
        <f>T946-HLOOKUP(V946,Minimas!$C$3:$CD$12,9,FALSE)</f>
        <v>#N/A</v>
      </c>
      <c r="AJ946" s="230" t="e">
        <f>T946-HLOOKUP(V946,Minimas!$C$3:$CD$12,10,FALSE)</f>
        <v>#N/A</v>
      </c>
      <c r="AK946" s="231" t="str">
        <f t="shared" si="120"/>
        <v xml:space="preserve"> </v>
      </c>
      <c r="AL946" s="232"/>
      <c r="AM946" s="232" t="str">
        <f t="shared" si="121"/>
        <v xml:space="preserve"> </v>
      </c>
      <c r="AN946" s="232" t="str">
        <f t="shared" si="122"/>
        <v xml:space="preserve"> </v>
      </c>
    </row>
    <row r="947" spans="28:40" x14ac:dyDescent="0.25">
      <c r="AB947" s="230" t="e">
        <f>T947-HLOOKUP(V947,Minimas!$C$3:$CD$12,2,FALSE)</f>
        <v>#N/A</v>
      </c>
      <c r="AC947" s="230" t="e">
        <f>T947-HLOOKUP(V947,Minimas!$C$3:$CD$12,3,FALSE)</f>
        <v>#N/A</v>
      </c>
      <c r="AD947" s="230" t="e">
        <f>T947-HLOOKUP(V947,Minimas!$C$3:$CD$12,4,FALSE)</f>
        <v>#N/A</v>
      </c>
      <c r="AE947" s="230" t="e">
        <f>T947-HLOOKUP(V947,Minimas!$C$3:$CD$12,5,FALSE)</f>
        <v>#N/A</v>
      </c>
      <c r="AF947" s="230" t="e">
        <f>T947-HLOOKUP(V947,Minimas!$C$3:$CD$12,6,FALSE)</f>
        <v>#N/A</v>
      </c>
      <c r="AG947" s="230" t="e">
        <f>T947-HLOOKUP(V947,Minimas!$C$3:$CD$12,7,FALSE)</f>
        <v>#N/A</v>
      </c>
      <c r="AH947" s="230" t="e">
        <f>T947-HLOOKUP(V947,Minimas!$C$3:$CD$12,8,FALSE)</f>
        <v>#N/A</v>
      </c>
      <c r="AI947" s="230" t="e">
        <f>T947-HLOOKUP(V947,Minimas!$C$3:$CD$12,9,FALSE)</f>
        <v>#N/A</v>
      </c>
      <c r="AJ947" s="230" t="e">
        <f>T947-HLOOKUP(V947,Minimas!$C$3:$CD$12,10,FALSE)</f>
        <v>#N/A</v>
      </c>
      <c r="AK947" s="231" t="str">
        <f t="shared" si="120"/>
        <v xml:space="preserve"> </v>
      </c>
      <c r="AL947" s="232"/>
      <c r="AM947" s="232" t="str">
        <f t="shared" si="121"/>
        <v xml:space="preserve"> </v>
      </c>
      <c r="AN947" s="232" t="str">
        <f t="shared" si="122"/>
        <v xml:space="preserve"> </v>
      </c>
    </row>
    <row r="948" spans="28:40" x14ac:dyDescent="0.25">
      <c r="AB948" s="230" t="e">
        <f>T948-HLOOKUP(V948,Minimas!$C$3:$CD$12,2,FALSE)</f>
        <v>#N/A</v>
      </c>
      <c r="AC948" s="230" t="e">
        <f>T948-HLOOKUP(V948,Minimas!$C$3:$CD$12,3,FALSE)</f>
        <v>#N/A</v>
      </c>
      <c r="AD948" s="230" t="e">
        <f>T948-HLOOKUP(V948,Minimas!$C$3:$CD$12,4,FALSE)</f>
        <v>#N/A</v>
      </c>
      <c r="AE948" s="230" t="e">
        <f>T948-HLOOKUP(V948,Minimas!$C$3:$CD$12,5,FALSE)</f>
        <v>#N/A</v>
      </c>
      <c r="AF948" s="230" t="e">
        <f>T948-HLOOKUP(V948,Minimas!$C$3:$CD$12,6,FALSE)</f>
        <v>#N/A</v>
      </c>
      <c r="AG948" s="230" t="e">
        <f>T948-HLOOKUP(V948,Minimas!$C$3:$CD$12,7,FALSE)</f>
        <v>#N/A</v>
      </c>
      <c r="AH948" s="230" t="e">
        <f>T948-HLOOKUP(V948,Minimas!$C$3:$CD$12,8,FALSE)</f>
        <v>#N/A</v>
      </c>
      <c r="AI948" s="230" t="e">
        <f>T948-HLOOKUP(V948,Minimas!$C$3:$CD$12,9,FALSE)</f>
        <v>#N/A</v>
      </c>
      <c r="AJ948" s="230" t="e">
        <f>T948-HLOOKUP(V948,Minimas!$C$3:$CD$12,10,FALSE)</f>
        <v>#N/A</v>
      </c>
      <c r="AK948" s="231" t="str">
        <f t="shared" si="120"/>
        <v xml:space="preserve"> </v>
      </c>
      <c r="AL948" s="232"/>
      <c r="AM948" s="232" t="str">
        <f t="shared" si="121"/>
        <v xml:space="preserve"> </v>
      </c>
      <c r="AN948" s="232" t="str">
        <f t="shared" si="122"/>
        <v xml:space="preserve"> </v>
      </c>
    </row>
    <row r="949" spans="28:40" x14ac:dyDescent="0.25">
      <c r="AB949" s="230" t="e">
        <f>T949-HLOOKUP(V949,Minimas!$C$3:$CD$12,2,FALSE)</f>
        <v>#N/A</v>
      </c>
      <c r="AC949" s="230" t="e">
        <f>T949-HLOOKUP(V949,Minimas!$C$3:$CD$12,3,FALSE)</f>
        <v>#N/A</v>
      </c>
      <c r="AD949" s="230" t="e">
        <f>T949-HLOOKUP(V949,Minimas!$C$3:$CD$12,4,FALSE)</f>
        <v>#N/A</v>
      </c>
      <c r="AE949" s="230" t="e">
        <f>T949-HLOOKUP(V949,Minimas!$C$3:$CD$12,5,FALSE)</f>
        <v>#N/A</v>
      </c>
      <c r="AF949" s="230" t="e">
        <f>T949-HLOOKUP(V949,Minimas!$C$3:$CD$12,6,FALSE)</f>
        <v>#N/A</v>
      </c>
      <c r="AG949" s="230" t="e">
        <f>T949-HLOOKUP(V949,Minimas!$C$3:$CD$12,7,FALSE)</f>
        <v>#N/A</v>
      </c>
      <c r="AH949" s="230" t="e">
        <f>T949-HLOOKUP(V949,Minimas!$C$3:$CD$12,8,FALSE)</f>
        <v>#N/A</v>
      </c>
      <c r="AI949" s="230" t="e">
        <f>T949-HLOOKUP(V949,Minimas!$C$3:$CD$12,9,FALSE)</f>
        <v>#N/A</v>
      </c>
      <c r="AJ949" s="230" t="e">
        <f>T949-HLOOKUP(V949,Minimas!$C$3:$CD$12,10,FALSE)</f>
        <v>#N/A</v>
      </c>
      <c r="AK949" s="231" t="str">
        <f t="shared" si="120"/>
        <v xml:space="preserve"> </v>
      </c>
      <c r="AL949" s="232"/>
      <c r="AM949" s="232" t="str">
        <f t="shared" si="121"/>
        <v xml:space="preserve"> </v>
      </c>
      <c r="AN949" s="232" t="str">
        <f t="shared" si="122"/>
        <v xml:space="preserve"> </v>
      </c>
    </row>
    <row r="950" spans="28:40" x14ac:dyDescent="0.25">
      <c r="AB950" s="230" t="e">
        <f>T950-HLOOKUP(V950,Minimas!$C$3:$CD$12,2,FALSE)</f>
        <v>#N/A</v>
      </c>
      <c r="AC950" s="230" t="e">
        <f>T950-HLOOKUP(V950,Minimas!$C$3:$CD$12,3,FALSE)</f>
        <v>#N/A</v>
      </c>
      <c r="AD950" s="230" t="e">
        <f>T950-HLOOKUP(V950,Minimas!$C$3:$CD$12,4,FALSE)</f>
        <v>#N/A</v>
      </c>
      <c r="AE950" s="230" t="e">
        <f>T950-HLOOKUP(V950,Minimas!$C$3:$CD$12,5,FALSE)</f>
        <v>#N/A</v>
      </c>
      <c r="AF950" s="230" t="e">
        <f>T950-HLOOKUP(V950,Minimas!$C$3:$CD$12,6,FALSE)</f>
        <v>#N/A</v>
      </c>
      <c r="AG950" s="230" t="e">
        <f>T950-HLOOKUP(V950,Minimas!$C$3:$CD$12,7,FALSE)</f>
        <v>#N/A</v>
      </c>
      <c r="AH950" s="230" t="e">
        <f>T950-HLOOKUP(V950,Minimas!$C$3:$CD$12,8,FALSE)</f>
        <v>#N/A</v>
      </c>
      <c r="AI950" s="230" t="e">
        <f>T950-HLOOKUP(V950,Minimas!$C$3:$CD$12,9,FALSE)</f>
        <v>#N/A</v>
      </c>
      <c r="AJ950" s="230" t="e">
        <f>T950-HLOOKUP(V950,Minimas!$C$3:$CD$12,10,FALSE)</f>
        <v>#N/A</v>
      </c>
      <c r="AK950" s="231" t="str">
        <f t="shared" si="120"/>
        <v xml:space="preserve"> </v>
      </c>
      <c r="AL950" s="232"/>
      <c r="AM950" s="232" t="str">
        <f t="shared" si="121"/>
        <v xml:space="preserve"> </v>
      </c>
      <c r="AN950" s="232" t="str">
        <f t="shared" si="122"/>
        <v xml:space="preserve"> </v>
      </c>
    </row>
    <row r="951" spans="28:40" x14ac:dyDescent="0.25">
      <c r="AB951" s="230" t="e">
        <f>T951-HLOOKUP(V951,Minimas!$C$3:$CD$12,2,FALSE)</f>
        <v>#N/A</v>
      </c>
      <c r="AC951" s="230" t="e">
        <f>T951-HLOOKUP(V951,Minimas!$C$3:$CD$12,3,FALSE)</f>
        <v>#N/A</v>
      </c>
      <c r="AD951" s="230" t="e">
        <f>T951-HLOOKUP(V951,Minimas!$C$3:$CD$12,4,FALSE)</f>
        <v>#N/A</v>
      </c>
      <c r="AE951" s="230" t="e">
        <f>T951-HLOOKUP(V951,Minimas!$C$3:$CD$12,5,FALSE)</f>
        <v>#N/A</v>
      </c>
      <c r="AF951" s="230" t="e">
        <f>T951-HLOOKUP(V951,Minimas!$C$3:$CD$12,6,FALSE)</f>
        <v>#N/A</v>
      </c>
      <c r="AG951" s="230" t="e">
        <f>T951-HLOOKUP(V951,Minimas!$C$3:$CD$12,7,FALSE)</f>
        <v>#N/A</v>
      </c>
      <c r="AH951" s="230" t="e">
        <f>T951-HLOOKUP(V951,Minimas!$C$3:$CD$12,8,FALSE)</f>
        <v>#N/A</v>
      </c>
      <c r="AI951" s="230" t="e">
        <f>T951-HLOOKUP(V951,Minimas!$C$3:$CD$12,9,FALSE)</f>
        <v>#N/A</v>
      </c>
      <c r="AJ951" s="230" t="e">
        <f>T951-HLOOKUP(V951,Minimas!$C$3:$CD$12,10,FALSE)</f>
        <v>#N/A</v>
      </c>
      <c r="AK951" s="231" t="str">
        <f t="shared" si="120"/>
        <v xml:space="preserve"> </v>
      </c>
      <c r="AL951" s="232"/>
      <c r="AM951" s="232" t="str">
        <f t="shared" si="121"/>
        <v xml:space="preserve"> </v>
      </c>
      <c r="AN951" s="232" t="str">
        <f t="shared" si="122"/>
        <v xml:space="preserve"> </v>
      </c>
    </row>
    <row r="952" spans="28:40" x14ac:dyDescent="0.25">
      <c r="AB952" s="230" t="e">
        <f>T952-HLOOKUP(V952,Minimas!$C$3:$CD$12,2,FALSE)</f>
        <v>#N/A</v>
      </c>
      <c r="AC952" s="230" t="e">
        <f>T952-HLOOKUP(V952,Minimas!$C$3:$CD$12,3,FALSE)</f>
        <v>#N/A</v>
      </c>
      <c r="AD952" s="230" t="e">
        <f>T952-HLOOKUP(V952,Minimas!$C$3:$CD$12,4,FALSE)</f>
        <v>#N/A</v>
      </c>
      <c r="AE952" s="230" t="e">
        <f>T952-HLOOKUP(V952,Minimas!$C$3:$CD$12,5,FALSE)</f>
        <v>#N/A</v>
      </c>
      <c r="AF952" s="230" t="e">
        <f>T952-HLOOKUP(V952,Minimas!$C$3:$CD$12,6,FALSE)</f>
        <v>#N/A</v>
      </c>
      <c r="AG952" s="230" t="e">
        <f>T952-HLOOKUP(V952,Minimas!$C$3:$CD$12,7,FALSE)</f>
        <v>#N/A</v>
      </c>
      <c r="AH952" s="230" t="e">
        <f>T952-HLOOKUP(V952,Minimas!$C$3:$CD$12,8,FALSE)</f>
        <v>#N/A</v>
      </c>
      <c r="AI952" s="230" t="e">
        <f>T952-HLOOKUP(V952,Minimas!$C$3:$CD$12,9,FALSE)</f>
        <v>#N/A</v>
      </c>
      <c r="AJ952" s="230" t="e">
        <f>T952-HLOOKUP(V952,Minimas!$C$3:$CD$12,10,FALSE)</f>
        <v>#N/A</v>
      </c>
      <c r="AK952" s="231" t="str">
        <f t="shared" si="120"/>
        <v xml:space="preserve"> </v>
      </c>
      <c r="AL952" s="232"/>
      <c r="AM952" s="232" t="str">
        <f t="shared" si="121"/>
        <v xml:space="preserve"> </v>
      </c>
      <c r="AN952" s="232" t="str">
        <f t="shared" si="122"/>
        <v xml:space="preserve"> </v>
      </c>
    </row>
    <row r="953" spans="28:40" x14ac:dyDescent="0.25">
      <c r="AB953" s="230" t="e">
        <f>T953-HLOOKUP(V953,Minimas!$C$3:$CD$12,2,FALSE)</f>
        <v>#N/A</v>
      </c>
      <c r="AC953" s="230" t="e">
        <f>T953-HLOOKUP(V953,Minimas!$C$3:$CD$12,3,FALSE)</f>
        <v>#N/A</v>
      </c>
      <c r="AD953" s="230" t="e">
        <f>T953-HLOOKUP(V953,Minimas!$C$3:$CD$12,4,FALSE)</f>
        <v>#N/A</v>
      </c>
      <c r="AE953" s="230" t="e">
        <f>T953-HLOOKUP(V953,Minimas!$C$3:$CD$12,5,FALSE)</f>
        <v>#N/A</v>
      </c>
      <c r="AF953" s="230" t="e">
        <f>T953-HLOOKUP(V953,Minimas!$C$3:$CD$12,6,FALSE)</f>
        <v>#N/A</v>
      </c>
      <c r="AG953" s="230" t="e">
        <f>T953-HLOOKUP(V953,Minimas!$C$3:$CD$12,7,FALSE)</f>
        <v>#N/A</v>
      </c>
      <c r="AH953" s="230" t="e">
        <f>T953-HLOOKUP(V953,Minimas!$C$3:$CD$12,8,FALSE)</f>
        <v>#N/A</v>
      </c>
      <c r="AI953" s="230" t="e">
        <f>T953-HLOOKUP(V953,Minimas!$C$3:$CD$12,9,FALSE)</f>
        <v>#N/A</v>
      </c>
      <c r="AJ953" s="230" t="e">
        <f>T953-HLOOKUP(V953,Minimas!$C$3:$CD$12,10,FALSE)</f>
        <v>#N/A</v>
      </c>
      <c r="AK953" s="231" t="str">
        <f t="shared" si="120"/>
        <v xml:space="preserve"> </v>
      </c>
      <c r="AL953" s="232"/>
      <c r="AM953" s="232" t="str">
        <f t="shared" si="121"/>
        <v xml:space="preserve"> </v>
      </c>
      <c r="AN953" s="232" t="str">
        <f t="shared" si="122"/>
        <v xml:space="preserve"> </v>
      </c>
    </row>
    <row r="954" spans="28:40" x14ac:dyDescent="0.25">
      <c r="AB954" s="230" t="e">
        <f>T954-HLOOKUP(V954,Minimas!$C$3:$CD$12,2,FALSE)</f>
        <v>#N/A</v>
      </c>
      <c r="AC954" s="230" t="e">
        <f>T954-HLOOKUP(V954,Minimas!$C$3:$CD$12,3,FALSE)</f>
        <v>#N/A</v>
      </c>
      <c r="AD954" s="230" t="e">
        <f>T954-HLOOKUP(V954,Minimas!$C$3:$CD$12,4,FALSE)</f>
        <v>#N/A</v>
      </c>
      <c r="AE954" s="230" t="e">
        <f>T954-HLOOKUP(V954,Minimas!$C$3:$CD$12,5,FALSE)</f>
        <v>#N/A</v>
      </c>
      <c r="AF954" s="230" t="e">
        <f>T954-HLOOKUP(V954,Minimas!$C$3:$CD$12,6,FALSE)</f>
        <v>#N/A</v>
      </c>
      <c r="AG954" s="230" t="e">
        <f>T954-HLOOKUP(V954,Minimas!$C$3:$CD$12,7,FALSE)</f>
        <v>#N/A</v>
      </c>
      <c r="AH954" s="230" t="e">
        <f>T954-HLOOKUP(V954,Minimas!$C$3:$CD$12,8,FALSE)</f>
        <v>#N/A</v>
      </c>
      <c r="AI954" s="230" t="e">
        <f>T954-HLOOKUP(V954,Minimas!$C$3:$CD$12,9,FALSE)</f>
        <v>#N/A</v>
      </c>
      <c r="AJ954" s="230" t="e">
        <f>T954-HLOOKUP(V954,Minimas!$C$3:$CD$12,10,FALSE)</f>
        <v>#N/A</v>
      </c>
      <c r="AK954" s="231" t="str">
        <f t="shared" si="120"/>
        <v xml:space="preserve"> </v>
      </c>
      <c r="AL954" s="232"/>
      <c r="AM954" s="232" t="str">
        <f t="shared" si="121"/>
        <v xml:space="preserve"> </v>
      </c>
      <c r="AN954" s="232" t="str">
        <f t="shared" si="122"/>
        <v xml:space="preserve"> </v>
      </c>
    </row>
    <row r="955" spans="28:40" x14ac:dyDescent="0.25">
      <c r="AB955" s="230" t="e">
        <f>T955-HLOOKUP(V955,Minimas!$C$3:$CD$12,2,FALSE)</f>
        <v>#N/A</v>
      </c>
      <c r="AC955" s="230" t="e">
        <f>T955-HLOOKUP(V955,Minimas!$C$3:$CD$12,3,FALSE)</f>
        <v>#N/A</v>
      </c>
      <c r="AD955" s="230" t="e">
        <f>T955-HLOOKUP(V955,Minimas!$C$3:$CD$12,4,FALSE)</f>
        <v>#N/A</v>
      </c>
      <c r="AE955" s="230" t="e">
        <f>T955-HLOOKUP(V955,Minimas!$C$3:$CD$12,5,FALSE)</f>
        <v>#N/A</v>
      </c>
      <c r="AF955" s="230" t="e">
        <f>T955-HLOOKUP(V955,Minimas!$C$3:$CD$12,6,FALSE)</f>
        <v>#N/A</v>
      </c>
      <c r="AG955" s="230" t="e">
        <f>T955-HLOOKUP(V955,Minimas!$C$3:$CD$12,7,FALSE)</f>
        <v>#N/A</v>
      </c>
      <c r="AH955" s="230" t="e">
        <f>T955-HLOOKUP(V955,Minimas!$C$3:$CD$12,8,FALSE)</f>
        <v>#N/A</v>
      </c>
      <c r="AI955" s="230" t="e">
        <f>T955-HLOOKUP(V955,Minimas!$C$3:$CD$12,9,FALSE)</f>
        <v>#N/A</v>
      </c>
      <c r="AJ955" s="230" t="e">
        <f>T955-HLOOKUP(V955,Minimas!$C$3:$CD$12,10,FALSE)</f>
        <v>#N/A</v>
      </c>
      <c r="AK955" s="231" t="str">
        <f t="shared" si="120"/>
        <v xml:space="preserve"> </v>
      </c>
      <c r="AL955" s="232"/>
      <c r="AM955" s="232" t="str">
        <f t="shared" si="121"/>
        <v xml:space="preserve"> </v>
      </c>
      <c r="AN955" s="232" t="str">
        <f t="shared" si="122"/>
        <v xml:space="preserve"> </v>
      </c>
    </row>
    <row r="956" spans="28:40" x14ac:dyDescent="0.25">
      <c r="AB956" s="230" t="e">
        <f>T956-HLOOKUP(V956,Minimas!$C$3:$CD$12,2,FALSE)</f>
        <v>#N/A</v>
      </c>
      <c r="AC956" s="230" t="e">
        <f>T956-HLOOKUP(V956,Minimas!$C$3:$CD$12,3,FALSE)</f>
        <v>#N/A</v>
      </c>
      <c r="AD956" s="230" t="e">
        <f>T956-HLOOKUP(V956,Minimas!$C$3:$CD$12,4,FALSE)</f>
        <v>#N/A</v>
      </c>
      <c r="AE956" s="230" t="e">
        <f>T956-HLOOKUP(V956,Minimas!$C$3:$CD$12,5,FALSE)</f>
        <v>#N/A</v>
      </c>
      <c r="AF956" s="230" t="e">
        <f>T956-HLOOKUP(V956,Minimas!$C$3:$CD$12,6,FALSE)</f>
        <v>#N/A</v>
      </c>
      <c r="AG956" s="230" t="e">
        <f>T956-HLOOKUP(V956,Minimas!$C$3:$CD$12,7,FALSE)</f>
        <v>#N/A</v>
      </c>
      <c r="AH956" s="230" t="e">
        <f>T956-HLOOKUP(V956,Minimas!$C$3:$CD$12,8,FALSE)</f>
        <v>#N/A</v>
      </c>
      <c r="AI956" s="230" t="e">
        <f>T956-HLOOKUP(V956,Minimas!$C$3:$CD$12,9,FALSE)</f>
        <v>#N/A</v>
      </c>
      <c r="AJ956" s="230" t="e">
        <f>T956-HLOOKUP(V956,Minimas!$C$3:$CD$12,10,FALSE)</f>
        <v>#N/A</v>
      </c>
      <c r="AK956" s="231" t="str">
        <f t="shared" si="120"/>
        <v xml:space="preserve"> </v>
      </c>
      <c r="AL956" s="232"/>
      <c r="AM956" s="232" t="str">
        <f t="shared" si="121"/>
        <v xml:space="preserve"> </v>
      </c>
      <c r="AN956" s="232" t="str">
        <f t="shared" si="122"/>
        <v xml:space="preserve"> </v>
      </c>
    </row>
    <row r="957" spans="28:40" x14ac:dyDescent="0.25">
      <c r="AB957" s="230" t="e">
        <f>T957-HLOOKUP(V957,Minimas!$C$3:$CD$12,2,FALSE)</f>
        <v>#N/A</v>
      </c>
      <c r="AC957" s="230" t="e">
        <f>T957-HLOOKUP(V957,Minimas!$C$3:$CD$12,3,FALSE)</f>
        <v>#N/A</v>
      </c>
      <c r="AD957" s="230" t="e">
        <f>T957-HLOOKUP(V957,Minimas!$C$3:$CD$12,4,FALSE)</f>
        <v>#N/A</v>
      </c>
      <c r="AE957" s="230" t="e">
        <f>T957-HLOOKUP(V957,Minimas!$C$3:$CD$12,5,FALSE)</f>
        <v>#N/A</v>
      </c>
      <c r="AF957" s="230" t="e">
        <f>T957-HLOOKUP(V957,Minimas!$C$3:$CD$12,6,FALSE)</f>
        <v>#N/A</v>
      </c>
      <c r="AG957" s="230" t="e">
        <f>T957-HLOOKUP(V957,Minimas!$C$3:$CD$12,7,FALSE)</f>
        <v>#N/A</v>
      </c>
      <c r="AH957" s="230" t="e">
        <f>T957-HLOOKUP(V957,Minimas!$C$3:$CD$12,8,FALSE)</f>
        <v>#N/A</v>
      </c>
      <c r="AI957" s="230" t="e">
        <f>T957-HLOOKUP(V957,Minimas!$C$3:$CD$12,9,FALSE)</f>
        <v>#N/A</v>
      </c>
      <c r="AJ957" s="230" t="e">
        <f>T957-HLOOKUP(V957,Minimas!$C$3:$CD$12,10,FALSE)</f>
        <v>#N/A</v>
      </c>
      <c r="AK957" s="231" t="str">
        <f t="shared" si="120"/>
        <v xml:space="preserve"> </v>
      </c>
      <c r="AL957" s="232"/>
      <c r="AM957" s="232" t="str">
        <f t="shared" si="121"/>
        <v xml:space="preserve"> </v>
      </c>
      <c r="AN957" s="232" t="str">
        <f t="shared" si="122"/>
        <v xml:space="preserve"> </v>
      </c>
    </row>
    <row r="958" spans="28:40" x14ac:dyDescent="0.25">
      <c r="AB958" s="230" t="e">
        <f>T958-HLOOKUP(V958,Minimas!$C$3:$CD$12,2,FALSE)</f>
        <v>#N/A</v>
      </c>
      <c r="AC958" s="230" t="e">
        <f>T958-HLOOKUP(V958,Minimas!$C$3:$CD$12,3,FALSE)</f>
        <v>#N/A</v>
      </c>
      <c r="AD958" s="230" t="e">
        <f>T958-HLOOKUP(V958,Minimas!$C$3:$CD$12,4,FALSE)</f>
        <v>#N/A</v>
      </c>
      <c r="AE958" s="230" t="e">
        <f>T958-HLOOKUP(V958,Minimas!$C$3:$CD$12,5,FALSE)</f>
        <v>#N/A</v>
      </c>
      <c r="AF958" s="230" t="e">
        <f>T958-HLOOKUP(V958,Minimas!$C$3:$CD$12,6,FALSE)</f>
        <v>#N/A</v>
      </c>
      <c r="AG958" s="230" t="e">
        <f>T958-HLOOKUP(V958,Minimas!$C$3:$CD$12,7,FALSE)</f>
        <v>#N/A</v>
      </c>
      <c r="AH958" s="230" t="e">
        <f>T958-HLOOKUP(V958,Minimas!$C$3:$CD$12,8,FALSE)</f>
        <v>#N/A</v>
      </c>
      <c r="AI958" s="230" t="e">
        <f>T958-HLOOKUP(V958,Minimas!$C$3:$CD$12,9,FALSE)</f>
        <v>#N/A</v>
      </c>
      <c r="AJ958" s="230" t="e">
        <f>T958-HLOOKUP(V958,Minimas!$C$3:$CD$12,10,FALSE)</f>
        <v>#N/A</v>
      </c>
      <c r="AK958" s="231" t="str">
        <f t="shared" si="120"/>
        <v xml:space="preserve"> </v>
      </c>
      <c r="AL958" s="232"/>
      <c r="AM958" s="232" t="str">
        <f t="shared" si="121"/>
        <v xml:space="preserve"> </v>
      </c>
      <c r="AN958" s="232" t="str">
        <f t="shared" si="122"/>
        <v xml:space="preserve"> </v>
      </c>
    </row>
    <row r="959" spans="28:40" x14ac:dyDescent="0.25">
      <c r="AB959" s="230" t="e">
        <f>T959-HLOOKUP(V959,Minimas!$C$3:$CD$12,2,FALSE)</f>
        <v>#N/A</v>
      </c>
      <c r="AC959" s="230" t="e">
        <f>T959-HLOOKUP(V959,Minimas!$C$3:$CD$12,3,FALSE)</f>
        <v>#N/A</v>
      </c>
      <c r="AD959" s="230" t="e">
        <f>T959-HLOOKUP(V959,Minimas!$C$3:$CD$12,4,FALSE)</f>
        <v>#N/A</v>
      </c>
      <c r="AE959" s="230" t="e">
        <f>T959-HLOOKUP(V959,Minimas!$C$3:$CD$12,5,FALSE)</f>
        <v>#N/A</v>
      </c>
      <c r="AF959" s="230" t="e">
        <f>T959-HLOOKUP(V959,Minimas!$C$3:$CD$12,6,FALSE)</f>
        <v>#N/A</v>
      </c>
      <c r="AG959" s="230" t="e">
        <f>T959-HLOOKUP(V959,Minimas!$C$3:$CD$12,7,FALSE)</f>
        <v>#N/A</v>
      </c>
      <c r="AH959" s="230" t="e">
        <f>T959-HLOOKUP(V959,Minimas!$C$3:$CD$12,8,FALSE)</f>
        <v>#N/A</v>
      </c>
      <c r="AI959" s="230" t="e">
        <f>T959-HLOOKUP(V959,Minimas!$C$3:$CD$12,9,FALSE)</f>
        <v>#N/A</v>
      </c>
      <c r="AJ959" s="230" t="e">
        <f>T959-HLOOKUP(V959,Minimas!$C$3:$CD$12,10,FALSE)</f>
        <v>#N/A</v>
      </c>
      <c r="AK959" s="231" t="str">
        <f t="shared" si="120"/>
        <v xml:space="preserve"> </v>
      </c>
      <c r="AL959" s="232"/>
      <c r="AM959" s="232" t="str">
        <f t="shared" si="121"/>
        <v xml:space="preserve"> </v>
      </c>
      <c r="AN959" s="232" t="str">
        <f t="shared" si="122"/>
        <v xml:space="preserve"> </v>
      </c>
    </row>
    <row r="960" spans="28:40" x14ac:dyDescent="0.25">
      <c r="AB960" s="230" t="e">
        <f>T960-HLOOKUP(V960,Minimas!$C$3:$CD$12,2,FALSE)</f>
        <v>#N/A</v>
      </c>
      <c r="AC960" s="230" t="e">
        <f>T960-HLOOKUP(V960,Minimas!$C$3:$CD$12,3,FALSE)</f>
        <v>#N/A</v>
      </c>
      <c r="AD960" s="230" t="e">
        <f>T960-HLOOKUP(V960,Minimas!$C$3:$CD$12,4,FALSE)</f>
        <v>#N/A</v>
      </c>
      <c r="AE960" s="230" t="e">
        <f>T960-HLOOKUP(V960,Minimas!$C$3:$CD$12,5,FALSE)</f>
        <v>#N/A</v>
      </c>
      <c r="AF960" s="230" t="e">
        <f>T960-HLOOKUP(V960,Minimas!$C$3:$CD$12,6,FALSE)</f>
        <v>#N/A</v>
      </c>
      <c r="AG960" s="230" t="e">
        <f>T960-HLOOKUP(V960,Minimas!$C$3:$CD$12,7,FALSE)</f>
        <v>#N/A</v>
      </c>
      <c r="AH960" s="230" t="e">
        <f>T960-HLOOKUP(V960,Minimas!$C$3:$CD$12,8,FALSE)</f>
        <v>#N/A</v>
      </c>
      <c r="AI960" s="230" t="e">
        <f>T960-HLOOKUP(V960,Minimas!$C$3:$CD$12,9,FALSE)</f>
        <v>#N/A</v>
      </c>
      <c r="AJ960" s="230" t="e">
        <f>T960-HLOOKUP(V960,Minimas!$C$3:$CD$12,10,FALSE)</f>
        <v>#N/A</v>
      </c>
      <c r="AK960" s="231" t="str">
        <f t="shared" si="120"/>
        <v xml:space="preserve"> </v>
      </c>
      <c r="AL960" s="232"/>
      <c r="AM960" s="232" t="str">
        <f t="shared" si="121"/>
        <v xml:space="preserve"> </v>
      </c>
      <c r="AN960" s="232" t="str">
        <f t="shared" si="122"/>
        <v xml:space="preserve"> </v>
      </c>
    </row>
    <row r="961" spans="28:40" x14ac:dyDescent="0.25">
      <c r="AB961" s="230" t="e">
        <f>T961-HLOOKUP(V961,Minimas!$C$3:$CD$12,2,FALSE)</f>
        <v>#N/A</v>
      </c>
      <c r="AC961" s="230" t="e">
        <f>T961-HLOOKUP(V961,Minimas!$C$3:$CD$12,3,FALSE)</f>
        <v>#N/A</v>
      </c>
      <c r="AD961" s="230" t="e">
        <f>T961-HLOOKUP(V961,Minimas!$C$3:$CD$12,4,FALSE)</f>
        <v>#N/A</v>
      </c>
      <c r="AE961" s="230" t="e">
        <f>T961-HLOOKUP(V961,Minimas!$C$3:$CD$12,5,FALSE)</f>
        <v>#N/A</v>
      </c>
      <c r="AF961" s="230" t="e">
        <f>T961-HLOOKUP(V961,Minimas!$C$3:$CD$12,6,FALSE)</f>
        <v>#N/A</v>
      </c>
      <c r="AG961" s="230" t="e">
        <f>T961-HLOOKUP(V961,Minimas!$C$3:$CD$12,7,FALSE)</f>
        <v>#N/A</v>
      </c>
      <c r="AH961" s="230" t="e">
        <f>T961-HLOOKUP(V961,Minimas!$C$3:$CD$12,8,FALSE)</f>
        <v>#N/A</v>
      </c>
      <c r="AI961" s="230" t="e">
        <f>T961-HLOOKUP(V961,Minimas!$C$3:$CD$12,9,FALSE)</f>
        <v>#N/A</v>
      </c>
      <c r="AJ961" s="230" t="e">
        <f>T961-HLOOKUP(V961,Minimas!$C$3:$CD$12,10,FALSE)</f>
        <v>#N/A</v>
      </c>
      <c r="AK961" s="231" t="str">
        <f t="shared" si="120"/>
        <v xml:space="preserve"> </v>
      </c>
      <c r="AL961" s="232"/>
      <c r="AM961" s="232" t="str">
        <f t="shared" si="121"/>
        <v xml:space="preserve"> </v>
      </c>
      <c r="AN961" s="232" t="str">
        <f t="shared" si="122"/>
        <v xml:space="preserve"> </v>
      </c>
    </row>
    <row r="962" spans="28:40" x14ac:dyDescent="0.25">
      <c r="AB962" s="230" t="e">
        <f>T962-HLOOKUP(V962,Minimas!$C$3:$CD$12,2,FALSE)</f>
        <v>#N/A</v>
      </c>
      <c r="AC962" s="230" t="e">
        <f>T962-HLOOKUP(V962,Minimas!$C$3:$CD$12,3,FALSE)</f>
        <v>#N/A</v>
      </c>
      <c r="AD962" s="230" t="e">
        <f>T962-HLOOKUP(V962,Minimas!$C$3:$CD$12,4,FALSE)</f>
        <v>#N/A</v>
      </c>
      <c r="AE962" s="230" t="e">
        <f>T962-HLOOKUP(V962,Minimas!$C$3:$CD$12,5,FALSE)</f>
        <v>#N/A</v>
      </c>
      <c r="AF962" s="230" t="e">
        <f>T962-HLOOKUP(V962,Minimas!$C$3:$CD$12,6,FALSE)</f>
        <v>#N/A</v>
      </c>
      <c r="AG962" s="230" t="e">
        <f>T962-HLOOKUP(V962,Minimas!$C$3:$CD$12,7,FALSE)</f>
        <v>#N/A</v>
      </c>
      <c r="AH962" s="230" t="e">
        <f>T962-HLOOKUP(V962,Minimas!$C$3:$CD$12,8,FALSE)</f>
        <v>#N/A</v>
      </c>
      <c r="AI962" s="230" t="e">
        <f>T962-HLOOKUP(V962,Minimas!$C$3:$CD$12,9,FALSE)</f>
        <v>#N/A</v>
      </c>
      <c r="AJ962" s="230" t="e">
        <f>T962-HLOOKUP(V962,Minimas!$C$3:$CD$12,10,FALSE)</f>
        <v>#N/A</v>
      </c>
      <c r="AK962" s="231" t="str">
        <f t="shared" si="120"/>
        <v xml:space="preserve"> </v>
      </c>
      <c r="AL962" s="232"/>
      <c r="AM962" s="232" t="str">
        <f t="shared" si="121"/>
        <v xml:space="preserve"> </v>
      </c>
      <c r="AN962" s="232" t="str">
        <f t="shared" si="122"/>
        <v xml:space="preserve"> </v>
      </c>
    </row>
    <row r="963" spans="28:40" x14ac:dyDescent="0.25">
      <c r="AB963" s="230" t="e">
        <f>T963-HLOOKUP(V963,Minimas!$C$3:$CD$12,2,FALSE)</f>
        <v>#N/A</v>
      </c>
      <c r="AC963" s="230" t="e">
        <f>T963-HLOOKUP(V963,Minimas!$C$3:$CD$12,3,FALSE)</f>
        <v>#N/A</v>
      </c>
      <c r="AD963" s="230" t="e">
        <f>T963-HLOOKUP(V963,Minimas!$C$3:$CD$12,4,FALSE)</f>
        <v>#N/A</v>
      </c>
      <c r="AE963" s="230" t="e">
        <f>T963-HLOOKUP(V963,Minimas!$C$3:$CD$12,5,FALSE)</f>
        <v>#N/A</v>
      </c>
      <c r="AF963" s="230" t="e">
        <f>T963-HLOOKUP(V963,Minimas!$C$3:$CD$12,6,FALSE)</f>
        <v>#N/A</v>
      </c>
      <c r="AG963" s="230" t="e">
        <f>T963-HLOOKUP(V963,Minimas!$C$3:$CD$12,7,FALSE)</f>
        <v>#N/A</v>
      </c>
      <c r="AH963" s="230" t="e">
        <f>T963-HLOOKUP(V963,Minimas!$C$3:$CD$12,8,FALSE)</f>
        <v>#N/A</v>
      </c>
      <c r="AI963" s="230" t="e">
        <f>T963-HLOOKUP(V963,Minimas!$C$3:$CD$12,9,FALSE)</f>
        <v>#N/A</v>
      </c>
      <c r="AJ963" s="230" t="e">
        <f>T963-HLOOKUP(V963,Minimas!$C$3:$CD$12,10,FALSE)</f>
        <v>#N/A</v>
      </c>
      <c r="AK963" s="231" t="str">
        <f t="shared" si="120"/>
        <v xml:space="preserve"> </v>
      </c>
      <c r="AL963" s="232"/>
      <c r="AM963" s="232" t="str">
        <f t="shared" si="121"/>
        <v xml:space="preserve"> </v>
      </c>
      <c r="AN963" s="232" t="str">
        <f t="shared" si="122"/>
        <v xml:space="preserve"> </v>
      </c>
    </row>
    <row r="964" spans="28:40" x14ac:dyDescent="0.25">
      <c r="AB964" s="230" t="e">
        <f>T964-HLOOKUP(V964,Minimas!$C$3:$CD$12,2,FALSE)</f>
        <v>#N/A</v>
      </c>
      <c r="AC964" s="230" t="e">
        <f>T964-HLOOKUP(V964,Minimas!$C$3:$CD$12,3,FALSE)</f>
        <v>#N/A</v>
      </c>
      <c r="AD964" s="230" t="e">
        <f>T964-HLOOKUP(V964,Minimas!$C$3:$CD$12,4,FALSE)</f>
        <v>#N/A</v>
      </c>
      <c r="AE964" s="230" t="e">
        <f>T964-HLOOKUP(V964,Minimas!$C$3:$CD$12,5,FALSE)</f>
        <v>#N/A</v>
      </c>
      <c r="AF964" s="230" t="e">
        <f>T964-HLOOKUP(V964,Minimas!$C$3:$CD$12,6,FALSE)</f>
        <v>#N/A</v>
      </c>
      <c r="AG964" s="230" t="e">
        <f>T964-HLOOKUP(V964,Minimas!$C$3:$CD$12,7,FALSE)</f>
        <v>#N/A</v>
      </c>
      <c r="AH964" s="230" t="e">
        <f>T964-HLOOKUP(V964,Minimas!$C$3:$CD$12,8,FALSE)</f>
        <v>#N/A</v>
      </c>
      <c r="AI964" s="230" t="e">
        <f>T964-HLOOKUP(V964,Minimas!$C$3:$CD$12,9,FALSE)</f>
        <v>#N/A</v>
      </c>
      <c r="AJ964" s="230" t="e">
        <f>T964-HLOOKUP(V964,Minimas!$C$3:$CD$12,10,FALSE)</f>
        <v>#N/A</v>
      </c>
      <c r="AK964" s="231" t="str">
        <f t="shared" ref="AK964:AK1027" si="123">IF(E964=0," ",IF(AJ964&gt;=0,$AJ$5,IF(AI964&gt;=0,$AI$5,IF(AH964&gt;=0,$AH$5,IF(AG964&gt;=0,$AG$5,IF(AF964&gt;=0,$AF$5,IF(AE964&gt;=0,$AE$5,IF(AD964&gt;=0,$AD$5,IF(AC964&gt;=0,$AC$5,$AB$5)))))))))</f>
        <v xml:space="preserve"> </v>
      </c>
      <c r="AL964" s="232"/>
      <c r="AM964" s="232" t="str">
        <f t="shared" ref="AM964:AM1027" si="124">IF(AK964="","",AK964)</f>
        <v xml:space="preserve"> </v>
      </c>
      <c r="AN964" s="232" t="str">
        <f t="shared" ref="AN964:AN1027" si="125">IF(E964=0," ",IF(AJ964&gt;=0,AJ964,IF(AI964&gt;=0,AI964,IF(AH964&gt;=0,AH964,IF(AG964&gt;=0,AG964,IF(AF964&gt;=0,AF964,IF(AE964&gt;=0,AE964,IF(AD964&gt;=0,AD964,IF(AC964&gt;=0,AC964,AB964)))))))))</f>
        <v xml:space="preserve"> </v>
      </c>
    </row>
    <row r="965" spans="28:40" x14ac:dyDescent="0.25">
      <c r="AB965" s="230" t="e">
        <f>T965-HLOOKUP(V965,Minimas!$C$3:$CD$12,2,FALSE)</f>
        <v>#N/A</v>
      </c>
      <c r="AC965" s="230" t="e">
        <f>T965-HLOOKUP(V965,Minimas!$C$3:$CD$12,3,FALSE)</f>
        <v>#N/A</v>
      </c>
      <c r="AD965" s="230" t="e">
        <f>T965-HLOOKUP(V965,Minimas!$C$3:$CD$12,4,FALSE)</f>
        <v>#N/A</v>
      </c>
      <c r="AE965" s="230" t="e">
        <f>T965-HLOOKUP(V965,Minimas!$C$3:$CD$12,5,FALSE)</f>
        <v>#N/A</v>
      </c>
      <c r="AF965" s="230" t="e">
        <f>T965-HLOOKUP(V965,Minimas!$C$3:$CD$12,6,FALSE)</f>
        <v>#N/A</v>
      </c>
      <c r="AG965" s="230" t="e">
        <f>T965-HLOOKUP(V965,Minimas!$C$3:$CD$12,7,FALSE)</f>
        <v>#N/A</v>
      </c>
      <c r="AH965" s="230" t="e">
        <f>T965-HLOOKUP(V965,Minimas!$C$3:$CD$12,8,FALSE)</f>
        <v>#N/A</v>
      </c>
      <c r="AI965" s="230" t="e">
        <f>T965-HLOOKUP(V965,Minimas!$C$3:$CD$12,9,FALSE)</f>
        <v>#N/A</v>
      </c>
      <c r="AJ965" s="230" t="e">
        <f>T965-HLOOKUP(V965,Minimas!$C$3:$CD$12,10,FALSE)</f>
        <v>#N/A</v>
      </c>
      <c r="AK965" s="231" t="str">
        <f t="shared" si="123"/>
        <v xml:space="preserve"> </v>
      </c>
      <c r="AL965" s="232"/>
      <c r="AM965" s="232" t="str">
        <f t="shared" si="124"/>
        <v xml:space="preserve"> </v>
      </c>
      <c r="AN965" s="232" t="str">
        <f t="shared" si="125"/>
        <v xml:space="preserve"> </v>
      </c>
    </row>
    <row r="966" spans="28:40" x14ac:dyDescent="0.25">
      <c r="AB966" s="230" t="e">
        <f>T966-HLOOKUP(V966,Minimas!$C$3:$CD$12,2,FALSE)</f>
        <v>#N/A</v>
      </c>
      <c r="AC966" s="230" t="e">
        <f>T966-HLOOKUP(V966,Minimas!$C$3:$CD$12,3,FALSE)</f>
        <v>#N/A</v>
      </c>
      <c r="AD966" s="230" t="e">
        <f>T966-HLOOKUP(V966,Minimas!$C$3:$CD$12,4,FALSE)</f>
        <v>#N/A</v>
      </c>
      <c r="AE966" s="230" t="e">
        <f>T966-HLOOKUP(V966,Minimas!$C$3:$CD$12,5,FALSE)</f>
        <v>#N/A</v>
      </c>
      <c r="AF966" s="230" t="e">
        <f>T966-HLOOKUP(V966,Minimas!$C$3:$CD$12,6,FALSE)</f>
        <v>#N/A</v>
      </c>
      <c r="AG966" s="230" t="e">
        <f>T966-HLOOKUP(V966,Minimas!$C$3:$CD$12,7,FALSE)</f>
        <v>#N/A</v>
      </c>
      <c r="AH966" s="230" t="e">
        <f>T966-HLOOKUP(V966,Minimas!$C$3:$CD$12,8,FALSE)</f>
        <v>#N/A</v>
      </c>
      <c r="AI966" s="230" t="e">
        <f>T966-HLOOKUP(V966,Minimas!$C$3:$CD$12,9,FALSE)</f>
        <v>#N/A</v>
      </c>
      <c r="AJ966" s="230" t="e">
        <f>T966-HLOOKUP(V966,Minimas!$C$3:$CD$12,10,FALSE)</f>
        <v>#N/A</v>
      </c>
      <c r="AK966" s="231" t="str">
        <f t="shared" si="123"/>
        <v xml:space="preserve"> </v>
      </c>
      <c r="AL966" s="232"/>
      <c r="AM966" s="232" t="str">
        <f t="shared" si="124"/>
        <v xml:space="preserve"> </v>
      </c>
      <c r="AN966" s="232" t="str">
        <f t="shared" si="125"/>
        <v xml:space="preserve"> </v>
      </c>
    </row>
    <row r="967" spans="28:40" x14ac:dyDescent="0.25">
      <c r="AB967" s="230" t="e">
        <f>T967-HLOOKUP(V967,Minimas!$C$3:$CD$12,2,FALSE)</f>
        <v>#N/A</v>
      </c>
      <c r="AC967" s="230" t="e">
        <f>T967-HLOOKUP(V967,Minimas!$C$3:$CD$12,3,FALSE)</f>
        <v>#N/A</v>
      </c>
      <c r="AD967" s="230" t="e">
        <f>T967-HLOOKUP(V967,Minimas!$C$3:$CD$12,4,FALSE)</f>
        <v>#N/A</v>
      </c>
      <c r="AE967" s="230" t="e">
        <f>T967-HLOOKUP(V967,Minimas!$C$3:$CD$12,5,FALSE)</f>
        <v>#N/A</v>
      </c>
      <c r="AF967" s="230" t="e">
        <f>T967-HLOOKUP(V967,Minimas!$C$3:$CD$12,6,FALSE)</f>
        <v>#N/A</v>
      </c>
      <c r="AG967" s="230" t="e">
        <f>T967-HLOOKUP(V967,Minimas!$C$3:$CD$12,7,FALSE)</f>
        <v>#N/A</v>
      </c>
      <c r="AH967" s="230" t="e">
        <f>T967-HLOOKUP(V967,Minimas!$C$3:$CD$12,8,FALSE)</f>
        <v>#N/A</v>
      </c>
      <c r="AI967" s="230" t="e">
        <f>T967-HLOOKUP(V967,Minimas!$C$3:$CD$12,9,FALSE)</f>
        <v>#N/A</v>
      </c>
      <c r="AJ967" s="230" t="e">
        <f>T967-HLOOKUP(V967,Minimas!$C$3:$CD$12,10,FALSE)</f>
        <v>#N/A</v>
      </c>
      <c r="AK967" s="231" t="str">
        <f t="shared" si="123"/>
        <v xml:space="preserve"> </v>
      </c>
      <c r="AL967" s="232"/>
      <c r="AM967" s="232" t="str">
        <f t="shared" si="124"/>
        <v xml:space="preserve"> </v>
      </c>
      <c r="AN967" s="232" t="str">
        <f t="shared" si="125"/>
        <v xml:space="preserve"> </v>
      </c>
    </row>
    <row r="968" spans="28:40" x14ac:dyDescent="0.25">
      <c r="AB968" s="230" t="e">
        <f>T968-HLOOKUP(V968,Minimas!$C$3:$CD$12,2,FALSE)</f>
        <v>#N/A</v>
      </c>
      <c r="AC968" s="230" t="e">
        <f>T968-HLOOKUP(V968,Minimas!$C$3:$CD$12,3,FALSE)</f>
        <v>#N/A</v>
      </c>
      <c r="AD968" s="230" t="e">
        <f>T968-HLOOKUP(V968,Minimas!$C$3:$CD$12,4,FALSE)</f>
        <v>#N/A</v>
      </c>
      <c r="AE968" s="230" t="e">
        <f>T968-HLOOKUP(V968,Minimas!$C$3:$CD$12,5,FALSE)</f>
        <v>#N/A</v>
      </c>
      <c r="AF968" s="230" t="e">
        <f>T968-HLOOKUP(V968,Minimas!$C$3:$CD$12,6,FALSE)</f>
        <v>#N/A</v>
      </c>
      <c r="AG968" s="230" t="e">
        <f>T968-HLOOKUP(V968,Minimas!$C$3:$CD$12,7,FALSE)</f>
        <v>#N/A</v>
      </c>
      <c r="AH968" s="230" t="e">
        <f>T968-HLOOKUP(V968,Minimas!$C$3:$CD$12,8,FALSE)</f>
        <v>#N/A</v>
      </c>
      <c r="AI968" s="230" t="e">
        <f>T968-HLOOKUP(V968,Minimas!$C$3:$CD$12,9,FALSE)</f>
        <v>#N/A</v>
      </c>
      <c r="AJ968" s="230" t="e">
        <f>T968-HLOOKUP(V968,Minimas!$C$3:$CD$12,10,FALSE)</f>
        <v>#N/A</v>
      </c>
      <c r="AK968" s="231" t="str">
        <f t="shared" si="123"/>
        <v xml:space="preserve"> </v>
      </c>
      <c r="AL968" s="232"/>
      <c r="AM968" s="232" t="str">
        <f t="shared" si="124"/>
        <v xml:space="preserve"> </v>
      </c>
      <c r="AN968" s="232" t="str">
        <f t="shared" si="125"/>
        <v xml:space="preserve"> </v>
      </c>
    </row>
    <row r="969" spans="28:40" x14ac:dyDescent="0.25">
      <c r="AB969" s="230" t="e">
        <f>T969-HLOOKUP(V969,Minimas!$C$3:$CD$12,2,FALSE)</f>
        <v>#N/A</v>
      </c>
      <c r="AC969" s="230" t="e">
        <f>T969-HLOOKUP(V969,Minimas!$C$3:$CD$12,3,FALSE)</f>
        <v>#N/A</v>
      </c>
      <c r="AD969" s="230" t="e">
        <f>T969-HLOOKUP(V969,Minimas!$C$3:$CD$12,4,FALSE)</f>
        <v>#N/A</v>
      </c>
      <c r="AE969" s="230" t="e">
        <f>T969-HLOOKUP(V969,Minimas!$C$3:$CD$12,5,FALSE)</f>
        <v>#N/A</v>
      </c>
      <c r="AF969" s="230" t="e">
        <f>T969-HLOOKUP(V969,Minimas!$C$3:$CD$12,6,FALSE)</f>
        <v>#N/A</v>
      </c>
      <c r="AG969" s="230" t="e">
        <f>T969-HLOOKUP(V969,Minimas!$C$3:$CD$12,7,FALSE)</f>
        <v>#N/A</v>
      </c>
      <c r="AH969" s="230" t="e">
        <f>T969-HLOOKUP(V969,Minimas!$C$3:$CD$12,8,FALSE)</f>
        <v>#N/A</v>
      </c>
      <c r="AI969" s="230" t="e">
        <f>T969-HLOOKUP(V969,Minimas!$C$3:$CD$12,9,FALSE)</f>
        <v>#N/A</v>
      </c>
      <c r="AJ969" s="230" t="e">
        <f>T969-HLOOKUP(V969,Minimas!$C$3:$CD$12,10,FALSE)</f>
        <v>#N/A</v>
      </c>
      <c r="AK969" s="231" t="str">
        <f t="shared" si="123"/>
        <v xml:space="preserve"> </v>
      </c>
      <c r="AL969" s="232"/>
      <c r="AM969" s="232" t="str">
        <f t="shared" si="124"/>
        <v xml:space="preserve"> </v>
      </c>
      <c r="AN969" s="232" t="str">
        <f t="shared" si="125"/>
        <v xml:space="preserve"> </v>
      </c>
    </row>
    <row r="970" spans="28:40" x14ac:dyDescent="0.25">
      <c r="AB970" s="230" t="e">
        <f>T970-HLOOKUP(V970,Minimas!$C$3:$CD$12,2,FALSE)</f>
        <v>#N/A</v>
      </c>
      <c r="AC970" s="230" t="e">
        <f>T970-HLOOKUP(V970,Minimas!$C$3:$CD$12,3,FALSE)</f>
        <v>#N/A</v>
      </c>
      <c r="AD970" s="230" t="e">
        <f>T970-HLOOKUP(V970,Minimas!$C$3:$CD$12,4,FALSE)</f>
        <v>#N/A</v>
      </c>
      <c r="AE970" s="230" t="e">
        <f>T970-HLOOKUP(V970,Minimas!$C$3:$CD$12,5,FALSE)</f>
        <v>#N/A</v>
      </c>
      <c r="AF970" s="230" t="e">
        <f>T970-HLOOKUP(V970,Minimas!$C$3:$CD$12,6,FALSE)</f>
        <v>#N/A</v>
      </c>
      <c r="AG970" s="230" t="e">
        <f>T970-HLOOKUP(V970,Minimas!$C$3:$CD$12,7,FALSE)</f>
        <v>#N/A</v>
      </c>
      <c r="AH970" s="230" t="e">
        <f>T970-HLOOKUP(V970,Minimas!$C$3:$CD$12,8,FALSE)</f>
        <v>#N/A</v>
      </c>
      <c r="AI970" s="230" t="e">
        <f>T970-HLOOKUP(V970,Minimas!$C$3:$CD$12,9,FALSE)</f>
        <v>#N/A</v>
      </c>
      <c r="AJ970" s="230" t="e">
        <f>T970-HLOOKUP(V970,Minimas!$C$3:$CD$12,10,FALSE)</f>
        <v>#N/A</v>
      </c>
      <c r="AK970" s="231" t="str">
        <f t="shared" si="123"/>
        <v xml:space="preserve"> </v>
      </c>
      <c r="AL970" s="232"/>
      <c r="AM970" s="232" t="str">
        <f t="shared" si="124"/>
        <v xml:space="preserve"> </v>
      </c>
      <c r="AN970" s="232" t="str">
        <f t="shared" si="125"/>
        <v xml:space="preserve"> </v>
      </c>
    </row>
    <row r="971" spans="28:40" x14ac:dyDescent="0.25">
      <c r="AB971" s="230" t="e">
        <f>T971-HLOOKUP(V971,Minimas!$C$3:$CD$12,2,FALSE)</f>
        <v>#N/A</v>
      </c>
      <c r="AC971" s="230" t="e">
        <f>T971-HLOOKUP(V971,Minimas!$C$3:$CD$12,3,FALSE)</f>
        <v>#N/A</v>
      </c>
      <c r="AD971" s="230" t="e">
        <f>T971-HLOOKUP(V971,Minimas!$C$3:$CD$12,4,FALSE)</f>
        <v>#N/A</v>
      </c>
      <c r="AE971" s="230" t="e">
        <f>T971-HLOOKUP(V971,Minimas!$C$3:$CD$12,5,FALSE)</f>
        <v>#N/A</v>
      </c>
      <c r="AF971" s="230" t="e">
        <f>T971-HLOOKUP(V971,Minimas!$C$3:$CD$12,6,FALSE)</f>
        <v>#N/A</v>
      </c>
      <c r="AG971" s="230" t="e">
        <f>T971-HLOOKUP(V971,Minimas!$C$3:$CD$12,7,FALSE)</f>
        <v>#N/A</v>
      </c>
      <c r="AH971" s="230" t="e">
        <f>T971-HLOOKUP(V971,Minimas!$C$3:$CD$12,8,FALSE)</f>
        <v>#N/A</v>
      </c>
      <c r="AI971" s="230" t="e">
        <f>T971-HLOOKUP(V971,Minimas!$C$3:$CD$12,9,FALSE)</f>
        <v>#N/A</v>
      </c>
      <c r="AJ971" s="230" t="e">
        <f>T971-HLOOKUP(V971,Minimas!$C$3:$CD$12,10,FALSE)</f>
        <v>#N/A</v>
      </c>
      <c r="AK971" s="231" t="str">
        <f t="shared" si="123"/>
        <v xml:space="preserve"> </v>
      </c>
      <c r="AL971" s="232"/>
      <c r="AM971" s="232" t="str">
        <f t="shared" si="124"/>
        <v xml:space="preserve"> </v>
      </c>
      <c r="AN971" s="232" t="str">
        <f t="shared" si="125"/>
        <v xml:space="preserve"> </v>
      </c>
    </row>
    <row r="972" spans="28:40" x14ac:dyDescent="0.25">
      <c r="AB972" s="230" t="e">
        <f>T972-HLOOKUP(V972,Minimas!$C$3:$CD$12,2,FALSE)</f>
        <v>#N/A</v>
      </c>
      <c r="AC972" s="230" t="e">
        <f>T972-HLOOKUP(V972,Minimas!$C$3:$CD$12,3,FALSE)</f>
        <v>#N/A</v>
      </c>
      <c r="AD972" s="230" t="e">
        <f>T972-HLOOKUP(V972,Minimas!$C$3:$CD$12,4,FALSE)</f>
        <v>#N/A</v>
      </c>
      <c r="AE972" s="230" t="e">
        <f>T972-HLOOKUP(V972,Minimas!$C$3:$CD$12,5,FALSE)</f>
        <v>#N/A</v>
      </c>
      <c r="AF972" s="230" t="e">
        <f>T972-HLOOKUP(V972,Minimas!$C$3:$CD$12,6,FALSE)</f>
        <v>#N/A</v>
      </c>
      <c r="AG972" s="230" t="e">
        <f>T972-HLOOKUP(V972,Minimas!$C$3:$CD$12,7,FALSE)</f>
        <v>#N/A</v>
      </c>
      <c r="AH972" s="230" t="e">
        <f>T972-HLOOKUP(V972,Minimas!$C$3:$CD$12,8,FALSE)</f>
        <v>#N/A</v>
      </c>
      <c r="AI972" s="230" t="e">
        <f>T972-HLOOKUP(V972,Minimas!$C$3:$CD$12,9,FALSE)</f>
        <v>#N/A</v>
      </c>
      <c r="AJ972" s="230" t="e">
        <f>T972-HLOOKUP(V972,Minimas!$C$3:$CD$12,10,FALSE)</f>
        <v>#N/A</v>
      </c>
      <c r="AK972" s="231" t="str">
        <f t="shared" si="123"/>
        <v xml:space="preserve"> </v>
      </c>
      <c r="AL972" s="232"/>
      <c r="AM972" s="232" t="str">
        <f t="shared" si="124"/>
        <v xml:space="preserve"> </v>
      </c>
      <c r="AN972" s="232" t="str">
        <f t="shared" si="125"/>
        <v xml:space="preserve"> </v>
      </c>
    </row>
    <row r="973" spans="28:40" x14ac:dyDescent="0.25">
      <c r="AB973" s="230" t="e">
        <f>T973-HLOOKUP(V973,Minimas!$C$3:$CD$12,2,FALSE)</f>
        <v>#N/A</v>
      </c>
      <c r="AC973" s="230" t="e">
        <f>T973-HLOOKUP(V973,Minimas!$C$3:$CD$12,3,FALSE)</f>
        <v>#N/A</v>
      </c>
      <c r="AD973" s="230" t="e">
        <f>T973-HLOOKUP(V973,Minimas!$C$3:$CD$12,4,FALSE)</f>
        <v>#N/A</v>
      </c>
      <c r="AE973" s="230" t="e">
        <f>T973-HLOOKUP(V973,Minimas!$C$3:$CD$12,5,FALSE)</f>
        <v>#N/A</v>
      </c>
      <c r="AF973" s="230" t="e">
        <f>T973-HLOOKUP(V973,Minimas!$C$3:$CD$12,6,FALSE)</f>
        <v>#N/A</v>
      </c>
      <c r="AG973" s="230" t="e">
        <f>T973-HLOOKUP(V973,Minimas!$C$3:$CD$12,7,FALSE)</f>
        <v>#N/A</v>
      </c>
      <c r="AH973" s="230" t="e">
        <f>T973-HLOOKUP(V973,Minimas!$C$3:$CD$12,8,FALSE)</f>
        <v>#N/A</v>
      </c>
      <c r="AI973" s="230" t="e">
        <f>T973-HLOOKUP(V973,Minimas!$C$3:$CD$12,9,FALSE)</f>
        <v>#N/A</v>
      </c>
      <c r="AJ973" s="230" t="e">
        <f>T973-HLOOKUP(V973,Minimas!$C$3:$CD$12,10,FALSE)</f>
        <v>#N/A</v>
      </c>
      <c r="AK973" s="231" t="str">
        <f t="shared" si="123"/>
        <v xml:space="preserve"> </v>
      </c>
      <c r="AL973" s="232"/>
      <c r="AM973" s="232" t="str">
        <f t="shared" si="124"/>
        <v xml:space="preserve"> </v>
      </c>
      <c r="AN973" s="232" t="str">
        <f t="shared" si="125"/>
        <v xml:space="preserve"> </v>
      </c>
    </row>
    <row r="974" spans="28:40" x14ac:dyDescent="0.25">
      <c r="AB974" s="230" t="e">
        <f>T974-HLOOKUP(V974,Minimas!$C$3:$CD$12,2,FALSE)</f>
        <v>#N/A</v>
      </c>
      <c r="AC974" s="230" t="e">
        <f>T974-HLOOKUP(V974,Minimas!$C$3:$CD$12,3,FALSE)</f>
        <v>#N/A</v>
      </c>
      <c r="AD974" s="230" t="e">
        <f>T974-HLOOKUP(V974,Minimas!$C$3:$CD$12,4,FALSE)</f>
        <v>#N/A</v>
      </c>
      <c r="AE974" s="230" t="e">
        <f>T974-HLOOKUP(V974,Minimas!$C$3:$CD$12,5,FALSE)</f>
        <v>#N/A</v>
      </c>
      <c r="AF974" s="230" t="e">
        <f>T974-HLOOKUP(V974,Minimas!$C$3:$CD$12,6,FALSE)</f>
        <v>#N/A</v>
      </c>
      <c r="AG974" s="230" t="e">
        <f>T974-HLOOKUP(V974,Minimas!$C$3:$CD$12,7,FALSE)</f>
        <v>#N/A</v>
      </c>
      <c r="AH974" s="230" t="e">
        <f>T974-HLOOKUP(V974,Minimas!$C$3:$CD$12,8,FALSE)</f>
        <v>#N/A</v>
      </c>
      <c r="AI974" s="230" t="e">
        <f>T974-HLOOKUP(V974,Minimas!$C$3:$CD$12,9,FALSE)</f>
        <v>#N/A</v>
      </c>
      <c r="AJ974" s="230" t="e">
        <f>T974-HLOOKUP(V974,Minimas!$C$3:$CD$12,10,FALSE)</f>
        <v>#N/A</v>
      </c>
      <c r="AK974" s="231" t="str">
        <f t="shared" si="123"/>
        <v xml:space="preserve"> </v>
      </c>
      <c r="AL974" s="232"/>
      <c r="AM974" s="232" t="str">
        <f t="shared" si="124"/>
        <v xml:space="preserve"> </v>
      </c>
      <c r="AN974" s="232" t="str">
        <f t="shared" si="125"/>
        <v xml:space="preserve"> </v>
      </c>
    </row>
    <row r="975" spans="28:40" x14ac:dyDescent="0.25">
      <c r="AB975" s="230" t="e">
        <f>T975-HLOOKUP(V975,Minimas!$C$3:$CD$12,2,FALSE)</f>
        <v>#N/A</v>
      </c>
      <c r="AC975" s="230" t="e">
        <f>T975-HLOOKUP(V975,Minimas!$C$3:$CD$12,3,FALSE)</f>
        <v>#N/A</v>
      </c>
      <c r="AD975" s="230" t="e">
        <f>T975-HLOOKUP(V975,Minimas!$C$3:$CD$12,4,FALSE)</f>
        <v>#N/A</v>
      </c>
      <c r="AE975" s="230" t="e">
        <f>T975-HLOOKUP(V975,Minimas!$C$3:$CD$12,5,FALSE)</f>
        <v>#N/A</v>
      </c>
      <c r="AF975" s="230" t="e">
        <f>T975-HLOOKUP(V975,Minimas!$C$3:$CD$12,6,FALSE)</f>
        <v>#N/A</v>
      </c>
      <c r="AG975" s="230" t="e">
        <f>T975-HLOOKUP(V975,Minimas!$C$3:$CD$12,7,FALSE)</f>
        <v>#N/A</v>
      </c>
      <c r="AH975" s="230" t="e">
        <f>T975-HLOOKUP(V975,Minimas!$C$3:$CD$12,8,FALSE)</f>
        <v>#N/A</v>
      </c>
      <c r="AI975" s="230" t="e">
        <f>T975-HLOOKUP(V975,Minimas!$C$3:$CD$12,9,FALSE)</f>
        <v>#N/A</v>
      </c>
      <c r="AJ975" s="230" t="e">
        <f>T975-HLOOKUP(V975,Minimas!$C$3:$CD$12,10,FALSE)</f>
        <v>#N/A</v>
      </c>
      <c r="AK975" s="231" t="str">
        <f t="shared" si="123"/>
        <v xml:space="preserve"> </v>
      </c>
      <c r="AL975" s="232"/>
      <c r="AM975" s="232" t="str">
        <f t="shared" si="124"/>
        <v xml:space="preserve"> </v>
      </c>
      <c r="AN975" s="232" t="str">
        <f t="shared" si="125"/>
        <v xml:space="preserve"> </v>
      </c>
    </row>
    <row r="976" spans="28:40" x14ac:dyDescent="0.25">
      <c r="AB976" s="230" t="e">
        <f>T976-HLOOKUP(V976,Minimas!$C$3:$CD$12,2,FALSE)</f>
        <v>#N/A</v>
      </c>
      <c r="AC976" s="230" t="e">
        <f>T976-HLOOKUP(V976,Minimas!$C$3:$CD$12,3,FALSE)</f>
        <v>#N/A</v>
      </c>
      <c r="AD976" s="230" t="e">
        <f>T976-HLOOKUP(V976,Minimas!$C$3:$CD$12,4,FALSE)</f>
        <v>#N/A</v>
      </c>
      <c r="AE976" s="230" t="e">
        <f>T976-HLOOKUP(V976,Minimas!$C$3:$CD$12,5,FALSE)</f>
        <v>#N/A</v>
      </c>
      <c r="AF976" s="230" t="e">
        <f>T976-HLOOKUP(V976,Minimas!$C$3:$CD$12,6,FALSE)</f>
        <v>#N/A</v>
      </c>
      <c r="AG976" s="230" t="e">
        <f>T976-HLOOKUP(V976,Minimas!$C$3:$CD$12,7,FALSE)</f>
        <v>#N/A</v>
      </c>
      <c r="AH976" s="230" t="e">
        <f>T976-HLOOKUP(V976,Minimas!$C$3:$CD$12,8,FALSE)</f>
        <v>#N/A</v>
      </c>
      <c r="AI976" s="230" t="e">
        <f>T976-HLOOKUP(V976,Minimas!$C$3:$CD$12,9,FALSE)</f>
        <v>#N/A</v>
      </c>
      <c r="AJ976" s="230" t="e">
        <f>T976-HLOOKUP(V976,Minimas!$C$3:$CD$12,10,FALSE)</f>
        <v>#N/A</v>
      </c>
      <c r="AK976" s="231" t="str">
        <f t="shared" si="123"/>
        <v xml:space="preserve"> </v>
      </c>
      <c r="AL976" s="232"/>
      <c r="AM976" s="232" t="str">
        <f t="shared" si="124"/>
        <v xml:space="preserve"> </v>
      </c>
      <c r="AN976" s="232" t="str">
        <f t="shared" si="125"/>
        <v xml:space="preserve"> </v>
      </c>
    </row>
    <row r="977" spans="28:40" x14ac:dyDescent="0.25">
      <c r="AB977" s="230" t="e">
        <f>T977-HLOOKUP(V977,Minimas!$C$3:$CD$12,2,FALSE)</f>
        <v>#N/A</v>
      </c>
      <c r="AC977" s="230" t="e">
        <f>T977-HLOOKUP(V977,Minimas!$C$3:$CD$12,3,FALSE)</f>
        <v>#N/A</v>
      </c>
      <c r="AD977" s="230" t="e">
        <f>T977-HLOOKUP(V977,Minimas!$C$3:$CD$12,4,FALSE)</f>
        <v>#N/A</v>
      </c>
      <c r="AE977" s="230" t="e">
        <f>T977-HLOOKUP(V977,Minimas!$C$3:$CD$12,5,FALSE)</f>
        <v>#N/A</v>
      </c>
      <c r="AF977" s="230" t="e">
        <f>T977-HLOOKUP(V977,Minimas!$C$3:$CD$12,6,FALSE)</f>
        <v>#N/A</v>
      </c>
      <c r="AG977" s="230" t="e">
        <f>T977-HLOOKUP(V977,Minimas!$C$3:$CD$12,7,FALSE)</f>
        <v>#N/A</v>
      </c>
      <c r="AH977" s="230" t="e">
        <f>T977-HLOOKUP(V977,Minimas!$C$3:$CD$12,8,FALSE)</f>
        <v>#N/A</v>
      </c>
      <c r="AI977" s="230" t="e">
        <f>T977-HLOOKUP(V977,Minimas!$C$3:$CD$12,9,FALSE)</f>
        <v>#N/A</v>
      </c>
      <c r="AJ977" s="230" t="e">
        <f>T977-HLOOKUP(V977,Minimas!$C$3:$CD$12,10,FALSE)</f>
        <v>#N/A</v>
      </c>
      <c r="AK977" s="231" t="str">
        <f t="shared" si="123"/>
        <v xml:space="preserve"> </v>
      </c>
      <c r="AL977" s="232"/>
      <c r="AM977" s="232" t="str">
        <f t="shared" si="124"/>
        <v xml:space="preserve"> </v>
      </c>
      <c r="AN977" s="232" t="str">
        <f t="shared" si="125"/>
        <v xml:space="preserve"> </v>
      </c>
    </row>
    <row r="978" spans="28:40" x14ac:dyDescent="0.25">
      <c r="AB978" s="230" t="e">
        <f>T978-HLOOKUP(V978,Minimas!$C$3:$CD$12,2,FALSE)</f>
        <v>#N/A</v>
      </c>
      <c r="AC978" s="230" t="e">
        <f>T978-HLOOKUP(V978,Minimas!$C$3:$CD$12,3,FALSE)</f>
        <v>#N/A</v>
      </c>
      <c r="AD978" s="230" t="e">
        <f>T978-HLOOKUP(V978,Minimas!$C$3:$CD$12,4,FALSE)</f>
        <v>#N/A</v>
      </c>
      <c r="AE978" s="230" t="e">
        <f>T978-HLOOKUP(V978,Minimas!$C$3:$CD$12,5,FALSE)</f>
        <v>#N/A</v>
      </c>
      <c r="AF978" s="230" t="e">
        <f>T978-HLOOKUP(V978,Minimas!$C$3:$CD$12,6,FALSE)</f>
        <v>#N/A</v>
      </c>
      <c r="AG978" s="230" t="e">
        <f>T978-HLOOKUP(V978,Minimas!$C$3:$CD$12,7,FALSE)</f>
        <v>#N/A</v>
      </c>
      <c r="AH978" s="230" t="e">
        <f>T978-HLOOKUP(V978,Minimas!$C$3:$CD$12,8,FALSE)</f>
        <v>#N/A</v>
      </c>
      <c r="AI978" s="230" t="e">
        <f>T978-HLOOKUP(V978,Minimas!$C$3:$CD$12,9,FALSE)</f>
        <v>#N/A</v>
      </c>
      <c r="AJ978" s="230" t="e">
        <f>T978-HLOOKUP(V978,Minimas!$C$3:$CD$12,10,FALSE)</f>
        <v>#N/A</v>
      </c>
      <c r="AK978" s="231" t="str">
        <f t="shared" si="123"/>
        <v xml:space="preserve"> </v>
      </c>
      <c r="AL978" s="232"/>
      <c r="AM978" s="232" t="str">
        <f t="shared" si="124"/>
        <v xml:space="preserve"> </v>
      </c>
      <c r="AN978" s="232" t="str">
        <f t="shared" si="125"/>
        <v xml:space="preserve"> </v>
      </c>
    </row>
    <row r="979" spans="28:40" x14ac:dyDescent="0.25">
      <c r="AB979" s="230" t="e">
        <f>T979-HLOOKUP(V979,Minimas!$C$3:$CD$12,2,FALSE)</f>
        <v>#N/A</v>
      </c>
      <c r="AC979" s="230" t="e">
        <f>T979-HLOOKUP(V979,Minimas!$C$3:$CD$12,3,FALSE)</f>
        <v>#N/A</v>
      </c>
      <c r="AD979" s="230" t="e">
        <f>T979-HLOOKUP(V979,Minimas!$C$3:$CD$12,4,FALSE)</f>
        <v>#N/A</v>
      </c>
      <c r="AE979" s="230" t="e">
        <f>T979-HLOOKUP(V979,Minimas!$C$3:$CD$12,5,FALSE)</f>
        <v>#N/A</v>
      </c>
      <c r="AF979" s="230" t="e">
        <f>T979-HLOOKUP(V979,Minimas!$C$3:$CD$12,6,FALSE)</f>
        <v>#N/A</v>
      </c>
      <c r="AG979" s="230" t="e">
        <f>T979-HLOOKUP(V979,Minimas!$C$3:$CD$12,7,FALSE)</f>
        <v>#N/A</v>
      </c>
      <c r="AH979" s="230" t="e">
        <f>T979-HLOOKUP(V979,Minimas!$C$3:$CD$12,8,FALSE)</f>
        <v>#N/A</v>
      </c>
      <c r="AI979" s="230" t="e">
        <f>T979-HLOOKUP(V979,Minimas!$C$3:$CD$12,9,FALSE)</f>
        <v>#N/A</v>
      </c>
      <c r="AJ979" s="230" t="e">
        <f>T979-HLOOKUP(V979,Minimas!$C$3:$CD$12,10,FALSE)</f>
        <v>#N/A</v>
      </c>
      <c r="AK979" s="231" t="str">
        <f t="shared" si="123"/>
        <v xml:space="preserve"> </v>
      </c>
      <c r="AL979" s="232"/>
      <c r="AM979" s="232" t="str">
        <f t="shared" si="124"/>
        <v xml:space="preserve"> </v>
      </c>
      <c r="AN979" s="232" t="str">
        <f t="shared" si="125"/>
        <v xml:space="preserve"> </v>
      </c>
    </row>
    <row r="980" spans="28:40" x14ac:dyDescent="0.25">
      <c r="AB980" s="230" t="e">
        <f>T980-HLOOKUP(V980,Minimas!$C$3:$CD$12,2,FALSE)</f>
        <v>#N/A</v>
      </c>
      <c r="AC980" s="230" t="e">
        <f>T980-HLOOKUP(V980,Minimas!$C$3:$CD$12,3,FALSE)</f>
        <v>#N/A</v>
      </c>
      <c r="AD980" s="230" t="e">
        <f>T980-HLOOKUP(V980,Minimas!$C$3:$CD$12,4,FALSE)</f>
        <v>#N/A</v>
      </c>
      <c r="AE980" s="230" t="e">
        <f>T980-HLOOKUP(V980,Minimas!$C$3:$CD$12,5,FALSE)</f>
        <v>#N/A</v>
      </c>
      <c r="AF980" s="230" t="e">
        <f>T980-HLOOKUP(V980,Minimas!$C$3:$CD$12,6,FALSE)</f>
        <v>#N/A</v>
      </c>
      <c r="AG980" s="230" t="e">
        <f>T980-HLOOKUP(V980,Minimas!$C$3:$CD$12,7,FALSE)</f>
        <v>#N/A</v>
      </c>
      <c r="AH980" s="230" t="e">
        <f>T980-HLOOKUP(V980,Minimas!$C$3:$CD$12,8,FALSE)</f>
        <v>#N/A</v>
      </c>
      <c r="AI980" s="230" t="e">
        <f>T980-HLOOKUP(V980,Minimas!$C$3:$CD$12,9,FALSE)</f>
        <v>#N/A</v>
      </c>
      <c r="AJ980" s="230" t="e">
        <f>T980-HLOOKUP(V980,Minimas!$C$3:$CD$12,10,FALSE)</f>
        <v>#N/A</v>
      </c>
      <c r="AK980" s="231" t="str">
        <f t="shared" si="123"/>
        <v xml:space="preserve"> </v>
      </c>
      <c r="AL980" s="232"/>
      <c r="AM980" s="232" t="str">
        <f t="shared" si="124"/>
        <v xml:space="preserve"> </v>
      </c>
      <c r="AN980" s="232" t="str">
        <f t="shared" si="125"/>
        <v xml:space="preserve"> </v>
      </c>
    </row>
    <row r="981" spans="28:40" x14ac:dyDescent="0.25">
      <c r="AB981" s="230" t="e">
        <f>T981-HLOOKUP(V981,Minimas!$C$3:$CD$12,2,FALSE)</f>
        <v>#N/A</v>
      </c>
      <c r="AC981" s="230" t="e">
        <f>T981-HLOOKUP(V981,Minimas!$C$3:$CD$12,3,FALSE)</f>
        <v>#N/A</v>
      </c>
      <c r="AD981" s="230" t="e">
        <f>T981-HLOOKUP(V981,Minimas!$C$3:$CD$12,4,FALSE)</f>
        <v>#N/A</v>
      </c>
      <c r="AE981" s="230" t="e">
        <f>T981-HLOOKUP(V981,Minimas!$C$3:$CD$12,5,FALSE)</f>
        <v>#N/A</v>
      </c>
      <c r="AF981" s="230" t="e">
        <f>T981-HLOOKUP(V981,Minimas!$C$3:$CD$12,6,FALSE)</f>
        <v>#N/A</v>
      </c>
      <c r="AG981" s="230" t="e">
        <f>T981-HLOOKUP(V981,Minimas!$C$3:$CD$12,7,FALSE)</f>
        <v>#N/A</v>
      </c>
      <c r="AH981" s="230" t="e">
        <f>T981-HLOOKUP(V981,Minimas!$C$3:$CD$12,8,FALSE)</f>
        <v>#N/A</v>
      </c>
      <c r="AI981" s="230" t="e">
        <f>T981-HLOOKUP(V981,Minimas!$C$3:$CD$12,9,FALSE)</f>
        <v>#N/A</v>
      </c>
      <c r="AJ981" s="230" t="e">
        <f>T981-HLOOKUP(V981,Minimas!$C$3:$CD$12,10,FALSE)</f>
        <v>#N/A</v>
      </c>
      <c r="AK981" s="231" t="str">
        <f t="shared" si="123"/>
        <v xml:space="preserve"> </v>
      </c>
      <c r="AL981" s="232"/>
      <c r="AM981" s="232" t="str">
        <f t="shared" si="124"/>
        <v xml:space="preserve"> </v>
      </c>
      <c r="AN981" s="232" t="str">
        <f t="shared" si="125"/>
        <v xml:space="preserve"> </v>
      </c>
    </row>
    <row r="982" spans="28:40" x14ac:dyDescent="0.25">
      <c r="AB982" s="230" t="e">
        <f>T982-HLOOKUP(V982,Minimas!$C$3:$CD$12,2,FALSE)</f>
        <v>#N/A</v>
      </c>
      <c r="AC982" s="230" t="e">
        <f>T982-HLOOKUP(V982,Minimas!$C$3:$CD$12,3,FALSE)</f>
        <v>#N/A</v>
      </c>
      <c r="AD982" s="230" t="e">
        <f>T982-HLOOKUP(V982,Minimas!$C$3:$CD$12,4,FALSE)</f>
        <v>#N/A</v>
      </c>
      <c r="AE982" s="230" t="e">
        <f>T982-HLOOKUP(V982,Minimas!$C$3:$CD$12,5,FALSE)</f>
        <v>#N/A</v>
      </c>
      <c r="AF982" s="230" t="e">
        <f>T982-HLOOKUP(V982,Minimas!$C$3:$CD$12,6,FALSE)</f>
        <v>#N/A</v>
      </c>
      <c r="AG982" s="230" t="e">
        <f>T982-HLOOKUP(V982,Minimas!$C$3:$CD$12,7,FALSE)</f>
        <v>#N/A</v>
      </c>
      <c r="AH982" s="230" t="e">
        <f>T982-HLOOKUP(V982,Minimas!$C$3:$CD$12,8,FALSE)</f>
        <v>#N/A</v>
      </c>
      <c r="AI982" s="230" t="e">
        <f>T982-HLOOKUP(V982,Minimas!$C$3:$CD$12,9,FALSE)</f>
        <v>#N/A</v>
      </c>
      <c r="AJ982" s="230" t="e">
        <f>T982-HLOOKUP(V982,Minimas!$C$3:$CD$12,10,FALSE)</f>
        <v>#N/A</v>
      </c>
      <c r="AK982" s="231" t="str">
        <f t="shared" si="123"/>
        <v xml:space="preserve"> </v>
      </c>
      <c r="AL982" s="232"/>
      <c r="AM982" s="232" t="str">
        <f t="shared" si="124"/>
        <v xml:space="preserve"> </v>
      </c>
      <c r="AN982" s="232" t="str">
        <f t="shared" si="125"/>
        <v xml:space="preserve"> </v>
      </c>
    </row>
    <row r="983" spans="28:40" x14ac:dyDescent="0.25">
      <c r="AB983" s="230" t="e">
        <f>T983-HLOOKUP(V983,Minimas!$C$3:$CD$12,2,FALSE)</f>
        <v>#N/A</v>
      </c>
      <c r="AC983" s="230" t="e">
        <f>T983-HLOOKUP(V983,Minimas!$C$3:$CD$12,3,FALSE)</f>
        <v>#N/A</v>
      </c>
      <c r="AD983" s="230" t="e">
        <f>T983-HLOOKUP(V983,Minimas!$C$3:$CD$12,4,FALSE)</f>
        <v>#N/A</v>
      </c>
      <c r="AE983" s="230" t="e">
        <f>T983-HLOOKUP(V983,Minimas!$C$3:$CD$12,5,FALSE)</f>
        <v>#N/A</v>
      </c>
      <c r="AF983" s="230" t="e">
        <f>T983-HLOOKUP(V983,Minimas!$C$3:$CD$12,6,FALSE)</f>
        <v>#N/A</v>
      </c>
      <c r="AG983" s="230" t="e">
        <f>T983-HLOOKUP(V983,Minimas!$C$3:$CD$12,7,FALSE)</f>
        <v>#N/A</v>
      </c>
      <c r="AH983" s="230" t="e">
        <f>T983-HLOOKUP(V983,Minimas!$C$3:$CD$12,8,FALSE)</f>
        <v>#N/A</v>
      </c>
      <c r="AI983" s="230" t="e">
        <f>T983-HLOOKUP(V983,Minimas!$C$3:$CD$12,9,FALSE)</f>
        <v>#N/A</v>
      </c>
      <c r="AJ983" s="230" t="e">
        <f>T983-HLOOKUP(V983,Minimas!$C$3:$CD$12,10,FALSE)</f>
        <v>#N/A</v>
      </c>
      <c r="AK983" s="231" t="str">
        <f t="shared" si="123"/>
        <v xml:space="preserve"> </v>
      </c>
      <c r="AL983" s="232"/>
      <c r="AM983" s="232" t="str">
        <f t="shared" si="124"/>
        <v xml:space="preserve"> </v>
      </c>
      <c r="AN983" s="232" t="str">
        <f t="shared" si="125"/>
        <v xml:space="preserve"> </v>
      </c>
    </row>
    <row r="984" spans="28:40" x14ac:dyDescent="0.25">
      <c r="AB984" s="230" t="e">
        <f>T984-HLOOKUP(V984,Minimas!$C$3:$CD$12,2,FALSE)</f>
        <v>#N/A</v>
      </c>
      <c r="AC984" s="230" t="e">
        <f>T984-HLOOKUP(V984,Minimas!$C$3:$CD$12,3,FALSE)</f>
        <v>#N/A</v>
      </c>
      <c r="AD984" s="230" t="e">
        <f>T984-HLOOKUP(V984,Minimas!$C$3:$CD$12,4,FALSE)</f>
        <v>#N/A</v>
      </c>
      <c r="AE984" s="230" t="e">
        <f>T984-HLOOKUP(V984,Minimas!$C$3:$CD$12,5,FALSE)</f>
        <v>#N/A</v>
      </c>
      <c r="AF984" s="230" t="e">
        <f>T984-HLOOKUP(V984,Minimas!$C$3:$CD$12,6,FALSE)</f>
        <v>#N/A</v>
      </c>
      <c r="AG984" s="230" t="e">
        <f>T984-HLOOKUP(V984,Minimas!$C$3:$CD$12,7,FALSE)</f>
        <v>#N/A</v>
      </c>
      <c r="AH984" s="230" t="e">
        <f>T984-HLOOKUP(V984,Minimas!$C$3:$CD$12,8,FALSE)</f>
        <v>#N/A</v>
      </c>
      <c r="AI984" s="230" t="e">
        <f>T984-HLOOKUP(V984,Minimas!$C$3:$CD$12,9,FALSE)</f>
        <v>#N/A</v>
      </c>
      <c r="AJ984" s="230" t="e">
        <f>T984-HLOOKUP(V984,Minimas!$C$3:$CD$12,10,FALSE)</f>
        <v>#N/A</v>
      </c>
      <c r="AK984" s="231" t="str">
        <f t="shared" si="123"/>
        <v xml:space="preserve"> </v>
      </c>
      <c r="AL984" s="232"/>
      <c r="AM984" s="232" t="str">
        <f t="shared" si="124"/>
        <v xml:space="preserve"> </v>
      </c>
      <c r="AN984" s="232" t="str">
        <f t="shared" si="125"/>
        <v xml:space="preserve"> </v>
      </c>
    </row>
    <row r="985" spans="28:40" x14ac:dyDescent="0.25">
      <c r="AB985" s="230" t="e">
        <f>T985-HLOOKUP(V985,Minimas!$C$3:$CD$12,2,FALSE)</f>
        <v>#N/A</v>
      </c>
      <c r="AC985" s="230" t="e">
        <f>T985-HLOOKUP(V985,Minimas!$C$3:$CD$12,3,FALSE)</f>
        <v>#N/A</v>
      </c>
      <c r="AD985" s="230" t="e">
        <f>T985-HLOOKUP(V985,Minimas!$C$3:$CD$12,4,FALSE)</f>
        <v>#N/A</v>
      </c>
      <c r="AE985" s="230" t="e">
        <f>T985-HLOOKUP(V985,Minimas!$C$3:$CD$12,5,FALSE)</f>
        <v>#N/A</v>
      </c>
      <c r="AF985" s="230" t="e">
        <f>T985-HLOOKUP(V985,Minimas!$C$3:$CD$12,6,FALSE)</f>
        <v>#N/A</v>
      </c>
      <c r="AG985" s="230" t="e">
        <f>T985-HLOOKUP(V985,Minimas!$C$3:$CD$12,7,FALSE)</f>
        <v>#N/A</v>
      </c>
      <c r="AH985" s="230" t="e">
        <f>T985-HLOOKUP(V985,Minimas!$C$3:$CD$12,8,FALSE)</f>
        <v>#N/A</v>
      </c>
      <c r="AI985" s="230" t="e">
        <f>T985-HLOOKUP(V985,Minimas!$C$3:$CD$12,9,FALSE)</f>
        <v>#N/A</v>
      </c>
      <c r="AJ985" s="230" t="e">
        <f>T985-HLOOKUP(V985,Minimas!$C$3:$CD$12,10,FALSE)</f>
        <v>#N/A</v>
      </c>
      <c r="AK985" s="231" t="str">
        <f t="shared" si="123"/>
        <v xml:space="preserve"> </v>
      </c>
      <c r="AL985" s="232"/>
      <c r="AM985" s="232" t="str">
        <f t="shared" si="124"/>
        <v xml:space="preserve"> </v>
      </c>
      <c r="AN985" s="232" t="str">
        <f t="shared" si="125"/>
        <v xml:space="preserve"> </v>
      </c>
    </row>
    <row r="986" spans="28:40" x14ac:dyDescent="0.25">
      <c r="AB986" s="230" t="e">
        <f>T986-HLOOKUP(V986,Minimas!$C$3:$CD$12,2,FALSE)</f>
        <v>#N/A</v>
      </c>
      <c r="AC986" s="230" t="e">
        <f>T986-HLOOKUP(V986,Minimas!$C$3:$CD$12,3,FALSE)</f>
        <v>#N/A</v>
      </c>
      <c r="AD986" s="230" t="e">
        <f>T986-HLOOKUP(V986,Minimas!$C$3:$CD$12,4,FALSE)</f>
        <v>#N/A</v>
      </c>
      <c r="AE986" s="230" t="e">
        <f>T986-HLOOKUP(V986,Minimas!$C$3:$CD$12,5,FALSE)</f>
        <v>#N/A</v>
      </c>
      <c r="AF986" s="230" t="e">
        <f>T986-HLOOKUP(V986,Minimas!$C$3:$CD$12,6,FALSE)</f>
        <v>#N/A</v>
      </c>
      <c r="AG986" s="230" t="e">
        <f>T986-HLOOKUP(V986,Minimas!$C$3:$CD$12,7,FALSE)</f>
        <v>#N/A</v>
      </c>
      <c r="AH986" s="230" t="e">
        <f>T986-HLOOKUP(V986,Minimas!$C$3:$CD$12,8,FALSE)</f>
        <v>#N/A</v>
      </c>
      <c r="AI986" s="230" t="e">
        <f>T986-HLOOKUP(V986,Minimas!$C$3:$CD$12,9,FALSE)</f>
        <v>#N/A</v>
      </c>
      <c r="AJ986" s="230" t="e">
        <f>T986-HLOOKUP(V986,Minimas!$C$3:$CD$12,10,FALSE)</f>
        <v>#N/A</v>
      </c>
      <c r="AK986" s="231" t="str">
        <f t="shared" si="123"/>
        <v xml:space="preserve"> </v>
      </c>
      <c r="AL986" s="232"/>
      <c r="AM986" s="232" t="str">
        <f t="shared" si="124"/>
        <v xml:space="preserve"> </v>
      </c>
      <c r="AN986" s="232" t="str">
        <f t="shared" si="125"/>
        <v xml:space="preserve"> </v>
      </c>
    </row>
    <row r="987" spans="28:40" x14ac:dyDescent="0.25">
      <c r="AB987" s="230" t="e">
        <f>T987-HLOOKUP(V987,Minimas!$C$3:$CD$12,2,FALSE)</f>
        <v>#N/A</v>
      </c>
      <c r="AC987" s="230" t="e">
        <f>T987-HLOOKUP(V987,Minimas!$C$3:$CD$12,3,FALSE)</f>
        <v>#N/A</v>
      </c>
      <c r="AD987" s="230" t="e">
        <f>T987-HLOOKUP(V987,Minimas!$C$3:$CD$12,4,FALSE)</f>
        <v>#N/A</v>
      </c>
      <c r="AE987" s="230" t="e">
        <f>T987-HLOOKUP(V987,Minimas!$C$3:$CD$12,5,FALSE)</f>
        <v>#N/A</v>
      </c>
      <c r="AF987" s="230" t="e">
        <f>T987-HLOOKUP(V987,Minimas!$C$3:$CD$12,6,FALSE)</f>
        <v>#N/A</v>
      </c>
      <c r="AG987" s="230" t="e">
        <f>T987-HLOOKUP(V987,Minimas!$C$3:$CD$12,7,FALSE)</f>
        <v>#N/A</v>
      </c>
      <c r="AH987" s="230" t="e">
        <f>T987-HLOOKUP(V987,Minimas!$C$3:$CD$12,8,FALSE)</f>
        <v>#N/A</v>
      </c>
      <c r="AI987" s="230" t="e">
        <f>T987-HLOOKUP(V987,Minimas!$C$3:$CD$12,9,FALSE)</f>
        <v>#N/A</v>
      </c>
      <c r="AJ987" s="230" t="e">
        <f>T987-HLOOKUP(V987,Minimas!$C$3:$CD$12,10,FALSE)</f>
        <v>#N/A</v>
      </c>
      <c r="AK987" s="231" t="str">
        <f t="shared" si="123"/>
        <v xml:space="preserve"> </v>
      </c>
      <c r="AL987" s="232"/>
      <c r="AM987" s="232" t="str">
        <f t="shared" si="124"/>
        <v xml:space="preserve"> </v>
      </c>
      <c r="AN987" s="232" t="str">
        <f t="shared" si="125"/>
        <v xml:space="preserve"> </v>
      </c>
    </row>
    <row r="988" spans="28:40" x14ac:dyDescent="0.25">
      <c r="AB988" s="230" t="e">
        <f>T988-HLOOKUP(V988,Minimas!$C$3:$CD$12,2,FALSE)</f>
        <v>#N/A</v>
      </c>
      <c r="AC988" s="230" t="e">
        <f>T988-HLOOKUP(V988,Minimas!$C$3:$CD$12,3,FALSE)</f>
        <v>#N/A</v>
      </c>
      <c r="AD988" s="230" t="e">
        <f>T988-HLOOKUP(V988,Minimas!$C$3:$CD$12,4,FALSE)</f>
        <v>#N/A</v>
      </c>
      <c r="AE988" s="230" t="e">
        <f>T988-HLOOKUP(V988,Minimas!$C$3:$CD$12,5,FALSE)</f>
        <v>#N/A</v>
      </c>
      <c r="AF988" s="230" t="e">
        <f>T988-HLOOKUP(V988,Minimas!$C$3:$CD$12,6,FALSE)</f>
        <v>#N/A</v>
      </c>
      <c r="AG988" s="230" t="e">
        <f>T988-HLOOKUP(V988,Minimas!$C$3:$CD$12,7,FALSE)</f>
        <v>#N/A</v>
      </c>
      <c r="AH988" s="230" t="e">
        <f>T988-HLOOKUP(V988,Minimas!$C$3:$CD$12,8,FALSE)</f>
        <v>#N/A</v>
      </c>
      <c r="AI988" s="230" t="e">
        <f>T988-HLOOKUP(V988,Minimas!$C$3:$CD$12,9,FALSE)</f>
        <v>#N/A</v>
      </c>
      <c r="AJ988" s="230" t="e">
        <f>T988-HLOOKUP(V988,Minimas!$C$3:$CD$12,10,FALSE)</f>
        <v>#N/A</v>
      </c>
      <c r="AK988" s="231" t="str">
        <f t="shared" si="123"/>
        <v xml:space="preserve"> </v>
      </c>
      <c r="AL988" s="232"/>
      <c r="AM988" s="232" t="str">
        <f t="shared" si="124"/>
        <v xml:space="preserve"> </v>
      </c>
      <c r="AN988" s="232" t="str">
        <f t="shared" si="125"/>
        <v xml:space="preserve"> </v>
      </c>
    </row>
    <row r="989" spans="28:40" x14ac:dyDescent="0.25">
      <c r="AB989" s="230" t="e">
        <f>T989-HLOOKUP(V989,Minimas!$C$3:$CD$12,2,FALSE)</f>
        <v>#N/A</v>
      </c>
      <c r="AC989" s="230" t="e">
        <f>T989-HLOOKUP(V989,Minimas!$C$3:$CD$12,3,FALSE)</f>
        <v>#N/A</v>
      </c>
      <c r="AD989" s="230" t="e">
        <f>T989-HLOOKUP(V989,Minimas!$C$3:$CD$12,4,FALSE)</f>
        <v>#N/A</v>
      </c>
      <c r="AE989" s="230" t="e">
        <f>T989-HLOOKUP(V989,Minimas!$C$3:$CD$12,5,FALSE)</f>
        <v>#N/A</v>
      </c>
      <c r="AF989" s="230" t="e">
        <f>T989-HLOOKUP(V989,Minimas!$C$3:$CD$12,6,FALSE)</f>
        <v>#N/A</v>
      </c>
      <c r="AG989" s="230" t="e">
        <f>T989-HLOOKUP(V989,Minimas!$C$3:$CD$12,7,FALSE)</f>
        <v>#N/A</v>
      </c>
      <c r="AH989" s="230" t="e">
        <f>T989-HLOOKUP(V989,Minimas!$C$3:$CD$12,8,FALSE)</f>
        <v>#N/A</v>
      </c>
      <c r="AI989" s="230" t="e">
        <f>T989-HLOOKUP(V989,Minimas!$C$3:$CD$12,9,FALSE)</f>
        <v>#N/A</v>
      </c>
      <c r="AJ989" s="230" t="e">
        <f>T989-HLOOKUP(V989,Minimas!$C$3:$CD$12,10,FALSE)</f>
        <v>#N/A</v>
      </c>
      <c r="AK989" s="231" t="str">
        <f t="shared" si="123"/>
        <v xml:space="preserve"> </v>
      </c>
      <c r="AL989" s="232"/>
      <c r="AM989" s="232" t="str">
        <f t="shared" si="124"/>
        <v xml:space="preserve"> </v>
      </c>
      <c r="AN989" s="232" t="str">
        <f t="shared" si="125"/>
        <v xml:space="preserve"> </v>
      </c>
    </row>
    <row r="990" spans="28:40" x14ac:dyDescent="0.25">
      <c r="AB990" s="230" t="e">
        <f>T990-HLOOKUP(V990,Minimas!$C$3:$CD$12,2,FALSE)</f>
        <v>#N/A</v>
      </c>
      <c r="AC990" s="230" t="e">
        <f>T990-HLOOKUP(V990,Minimas!$C$3:$CD$12,3,FALSE)</f>
        <v>#N/A</v>
      </c>
      <c r="AD990" s="230" t="e">
        <f>T990-HLOOKUP(V990,Minimas!$C$3:$CD$12,4,FALSE)</f>
        <v>#N/A</v>
      </c>
      <c r="AE990" s="230" t="e">
        <f>T990-HLOOKUP(V990,Minimas!$C$3:$CD$12,5,FALSE)</f>
        <v>#N/A</v>
      </c>
      <c r="AF990" s="230" t="e">
        <f>T990-HLOOKUP(V990,Minimas!$C$3:$CD$12,6,FALSE)</f>
        <v>#N/A</v>
      </c>
      <c r="AG990" s="230" t="e">
        <f>T990-HLOOKUP(V990,Minimas!$C$3:$CD$12,7,FALSE)</f>
        <v>#N/A</v>
      </c>
      <c r="AH990" s="230" t="e">
        <f>T990-HLOOKUP(V990,Minimas!$C$3:$CD$12,8,FALSE)</f>
        <v>#N/A</v>
      </c>
      <c r="AI990" s="230" t="e">
        <f>T990-HLOOKUP(V990,Minimas!$C$3:$CD$12,9,FALSE)</f>
        <v>#N/A</v>
      </c>
      <c r="AJ990" s="230" t="e">
        <f>T990-HLOOKUP(V990,Minimas!$C$3:$CD$12,10,FALSE)</f>
        <v>#N/A</v>
      </c>
      <c r="AK990" s="231" t="str">
        <f t="shared" si="123"/>
        <v xml:space="preserve"> </v>
      </c>
      <c r="AL990" s="232"/>
      <c r="AM990" s="232" t="str">
        <f t="shared" si="124"/>
        <v xml:space="preserve"> </v>
      </c>
      <c r="AN990" s="232" t="str">
        <f t="shared" si="125"/>
        <v xml:space="preserve"> </v>
      </c>
    </row>
    <row r="991" spans="28:40" x14ac:dyDescent="0.25">
      <c r="AB991" s="230" t="e">
        <f>T991-HLOOKUP(V991,Minimas!$C$3:$CD$12,2,FALSE)</f>
        <v>#N/A</v>
      </c>
      <c r="AC991" s="230" t="e">
        <f>T991-HLOOKUP(V991,Minimas!$C$3:$CD$12,3,FALSE)</f>
        <v>#N/A</v>
      </c>
      <c r="AD991" s="230" t="e">
        <f>T991-HLOOKUP(V991,Minimas!$C$3:$CD$12,4,FALSE)</f>
        <v>#N/A</v>
      </c>
      <c r="AE991" s="230" t="e">
        <f>T991-HLOOKUP(V991,Minimas!$C$3:$CD$12,5,FALSE)</f>
        <v>#N/A</v>
      </c>
      <c r="AF991" s="230" t="e">
        <f>T991-HLOOKUP(V991,Minimas!$C$3:$CD$12,6,FALSE)</f>
        <v>#N/A</v>
      </c>
      <c r="AG991" s="230" t="e">
        <f>T991-HLOOKUP(V991,Minimas!$C$3:$CD$12,7,FALSE)</f>
        <v>#N/A</v>
      </c>
      <c r="AH991" s="230" t="e">
        <f>T991-HLOOKUP(V991,Minimas!$C$3:$CD$12,8,FALSE)</f>
        <v>#N/A</v>
      </c>
      <c r="AI991" s="230" t="e">
        <f>T991-HLOOKUP(V991,Minimas!$C$3:$CD$12,9,FALSE)</f>
        <v>#N/A</v>
      </c>
      <c r="AJ991" s="230" t="e">
        <f>T991-HLOOKUP(V991,Minimas!$C$3:$CD$12,10,FALSE)</f>
        <v>#N/A</v>
      </c>
      <c r="AK991" s="231" t="str">
        <f t="shared" si="123"/>
        <v xml:space="preserve"> </v>
      </c>
      <c r="AL991" s="232"/>
      <c r="AM991" s="232" t="str">
        <f t="shared" si="124"/>
        <v xml:space="preserve"> </v>
      </c>
      <c r="AN991" s="232" t="str">
        <f t="shared" si="125"/>
        <v xml:space="preserve"> </v>
      </c>
    </row>
    <row r="992" spans="28:40" x14ac:dyDescent="0.25">
      <c r="AB992" s="230" t="e">
        <f>T992-HLOOKUP(V992,Minimas!$C$3:$CD$12,2,FALSE)</f>
        <v>#N/A</v>
      </c>
      <c r="AC992" s="230" t="e">
        <f>T992-HLOOKUP(V992,Minimas!$C$3:$CD$12,3,FALSE)</f>
        <v>#N/A</v>
      </c>
      <c r="AD992" s="230" t="e">
        <f>T992-HLOOKUP(V992,Minimas!$C$3:$CD$12,4,FALSE)</f>
        <v>#N/A</v>
      </c>
      <c r="AE992" s="230" t="e">
        <f>T992-HLOOKUP(V992,Minimas!$C$3:$CD$12,5,FALSE)</f>
        <v>#N/A</v>
      </c>
      <c r="AF992" s="230" t="e">
        <f>T992-HLOOKUP(V992,Minimas!$C$3:$CD$12,6,FALSE)</f>
        <v>#N/A</v>
      </c>
      <c r="AG992" s="230" t="e">
        <f>T992-HLOOKUP(V992,Minimas!$C$3:$CD$12,7,FALSE)</f>
        <v>#N/A</v>
      </c>
      <c r="AH992" s="230" t="e">
        <f>T992-HLOOKUP(V992,Minimas!$C$3:$CD$12,8,FALSE)</f>
        <v>#N/A</v>
      </c>
      <c r="AI992" s="230" t="e">
        <f>T992-HLOOKUP(V992,Minimas!$C$3:$CD$12,9,FALSE)</f>
        <v>#N/A</v>
      </c>
      <c r="AJ992" s="230" t="e">
        <f>T992-HLOOKUP(V992,Minimas!$C$3:$CD$12,10,FALSE)</f>
        <v>#N/A</v>
      </c>
      <c r="AK992" s="231" t="str">
        <f t="shared" si="123"/>
        <v xml:space="preserve"> </v>
      </c>
      <c r="AL992" s="232"/>
      <c r="AM992" s="232" t="str">
        <f t="shared" si="124"/>
        <v xml:space="preserve"> </v>
      </c>
      <c r="AN992" s="232" t="str">
        <f t="shared" si="125"/>
        <v xml:space="preserve"> </v>
      </c>
    </row>
    <row r="993" spans="28:40" x14ac:dyDescent="0.25">
      <c r="AB993" s="230" t="e">
        <f>T993-HLOOKUP(V993,Minimas!$C$3:$CD$12,2,FALSE)</f>
        <v>#N/A</v>
      </c>
      <c r="AC993" s="230" t="e">
        <f>T993-HLOOKUP(V993,Minimas!$C$3:$CD$12,3,FALSE)</f>
        <v>#N/A</v>
      </c>
      <c r="AD993" s="230" t="e">
        <f>T993-HLOOKUP(V993,Minimas!$C$3:$CD$12,4,FALSE)</f>
        <v>#N/A</v>
      </c>
      <c r="AE993" s="230" t="e">
        <f>T993-HLOOKUP(V993,Minimas!$C$3:$CD$12,5,FALSE)</f>
        <v>#N/A</v>
      </c>
      <c r="AF993" s="230" t="e">
        <f>T993-HLOOKUP(V993,Minimas!$C$3:$CD$12,6,FALSE)</f>
        <v>#N/A</v>
      </c>
      <c r="AG993" s="230" t="e">
        <f>T993-HLOOKUP(V993,Minimas!$C$3:$CD$12,7,FALSE)</f>
        <v>#N/A</v>
      </c>
      <c r="AH993" s="230" t="e">
        <f>T993-HLOOKUP(V993,Minimas!$C$3:$CD$12,8,FALSE)</f>
        <v>#N/A</v>
      </c>
      <c r="AI993" s="230" t="e">
        <f>T993-HLOOKUP(V993,Minimas!$C$3:$CD$12,9,FALSE)</f>
        <v>#N/A</v>
      </c>
      <c r="AJ993" s="230" t="e">
        <f>T993-HLOOKUP(V993,Minimas!$C$3:$CD$12,10,FALSE)</f>
        <v>#N/A</v>
      </c>
      <c r="AK993" s="231" t="str">
        <f t="shared" si="123"/>
        <v xml:space="preserve"> </v>
      </c>
      <c r="AL993" s="232"/>
      <c r="AM993" s="232" t="str">
        <f t="shared" si="124"/>
        <v xml:space="preserve"> </v>
      </c>
      <c r="AN993" s="232" t="str">
        <f t="shared" si="125"/>
        <v xml:space="preserve"> </v>
      </c>
    </row>
    <row r="994" spans="28:40" x14ac:dyDescent="0.25">
      <c r="AB994" s="230" t="e">
        <f>T994-HLOOKUP(V994,Minimas!$C$3:$CD$12,2,FALSE)</f>
        <v>#N/A</v>
      </c>
      <c r="AC994" s="230" t="e">
        <f>T994-HLOOKUP(V994,Minimas!$C$3:$CD$12,3,FALSE)</f>
        <v>#N/A</v>
      </c>
      <c r="AD994" s="230" t="e">
        <f>T994-HLOOKUP(V994,Minimas!$C$3:$CD$12,4,FALSE)</f>
        <v>#N/A</v>
      </c>
      <c r="AE994" s="230" t="e">
        <f>T994-HLOOKUP(V994,Minimas!$C$3:$CD$12,5,FALSE)</f>
        <v>#N/A</v>
      </c>
      <c r="AF994" s="230" t="e">
        <f>T994-HLOOKUP(V994,Minimas!$C$3:$CD$12,6,FALSE)</f>
        <v>#N/A</v>
      </c>
      <c r="AG994" s="230" t="e">
        <f>T994-HLOOKUP(V994,Minimas!$C$3:$CD$12,7,FALSE)</f>
        <v>#N/A</v>
      </c>
      <c r="AH994" s="230" t="e">
        <f>T994-HLOOKUP(V994,Minimas!$C$3:$CD$12,8,FALSE)</f>
        <v>#N/A</v>
      </c>
      <c r="AI994" s="230" t="e">
        <f>T994-HLOOKUP(V994,Minimas!$C$3:$CD$12,9,FALSE)</f>
        <v>#N/A</v>
      </c>
      <c r="AJ994" s="230" t="e">
        <f>T994-HLOOKUP(V994,Minimas!$C$3:$CD$12,10,FALSE)</f>
        <v>#N/A</v>
      </c>
      <c r="AK994" s="231" t="str">
        <f t="shared" si="123"/>
        <v xml:space="preserve"> </v>
      </c>
      <c r="AL994" s="232"/>
      <c r="AM994" s="232" t="str">
        <f t="shared" si="124"/>
        <v xml:space="preserve"> </v>
      </c>
      <c r="AN994" s="232" t="str">
        <f t="shared" si="125"/>
        <v xml:space="preserve"> </v>
      </c>
    </row>
    <row r="995" spans="28:40" x14ac:dyDescent="0.25">
      <c r="AB995" s="230" t="e">
        <f>T995-HLOOKUP(V995,Minimas!$C$3:$CD$12,2,FALSE)</f>
        <v>#N/A</v>
      </c>
      <c r="AC995" s="230" t="e">
        <f>T995-HLOOKUP(V995,Minimas!$C$3:$CD$12,3,FALSE)</f>
        <v>#N/A</v>
      </c>
      <c r="AD995" s="230" t="e">
        <f>T995-HLOOKUP(V995,Minimas!$C$3:$CD$12,4,FALSE)</f>
        <v>#N/A</v>
      </c>
      <c r="AE995" s="230" t="e">
        <f>T995-HLOOKUP(V995,Minimas!$C$3:$CD$12,5,FALSE)</f>
        <v>#N/A</v>
      </c>
      <c r="AF995" s="230" t="e">
        <f>T995-HLOOKUP(V995,Minimas!$C$3:$CD$12,6,FALSE)</f>
        <v>#N/A</v>
      </c>
      <c r="AG995" s="230" t="e">
        <f>T995-HLOOKUP(V995,Minimas!$C$3:$CD$12,7,FALSE)</f>
        <v>#N/A</v>
      </c>
      <c r="AH995" s="230" t="e">
        <f>T995-HLOOKUP(V995,Minimas!$C$3:$CD$12,8,FALSE)</f>
        <v>#N/A</v>
      </c>
      <c r="AI995" s="230" t="e">
        <f>T995-HLOOKUP(V995,Minimas!$C$3:$CD$12,9,FALSE)</f>
        <v>#N/A</v>
      </c>
      <c r="AJ995" s="230" t="e">
        <f>T995-HLOOKUP(V995,Minimas!$C$3:$CD$12,10,FALSE)</f>
        <v>#N/A</v>
      </c>
      <c r="AK995" s="231" t="str">
        <f t="shared" si="123"/>
        <v xml:space="preserve"> </v>
      </c>
      <c r="AL995" s="232"/>
      <c r="AM995" s="232" t="str">
        <f t="shared" si="124"/>
        <v xml:space="preserve"> </v>
      </c>
      <c r="AN995" s="232" t="str">
        <f t="shared" si="125"/>
        <v xml:space="preserve"> </v>
      </c>
    </row>
    <row r="996" spans="28:40" x14ac:dyDescent="0.25">
      <c r="AB996" s="230" t="e">
        <f>T996-HLOOKUP(V996,Minimas!$C$3:$CD$12,2,FALSE)</f>
        <v>#N/A</v>
      </c>
      <c r="AC996" s="230" t="e">
        <f>T996-HLOOKUP(V996,Minimas!$C$3:$CD$12,3,FALSE)</f>
        <v>#N/A</v>
      </c>
      <c r="AD996" s="230" t="e">
        <f>T996-HLOOKUP(V996,Minimas!$C$3:$CD$12,4,FALSE)</f>
        <v>#N/A</v>
      </c>
      <c r="AE996" s="230" t="e">
        <f>T996-HLOOKUP(V996,Minimas!$C$3:$CD$12,5,FALSE)</f>
        <v>#N/A</v>
      </c>
      <c r="AF996" s="230" t="e">
        <f>T996-HLOOKUP(V996,Minimas!$C$3:$CD$12,6,FALSE)</f>
        <v>#N/A</v>
      </c>
      <c r="AG996" s="230" t="e">
        <f>T996-HLOOKUP(V996,Minimas!$C$3:$CD$12,7,FALSE)</f>
        <v>#N/A</v>
      </c>
      <c r="AH996" s="230" t="e">
        <f>T996-HLOOKUP(V996,Minimas!$C$3:$CD$12,8,FALSE)</f>
        <v>#N/A</v>
      </c>
      <c r="AI996" s="230" t="e">
        <f>T996-HLOOKUP(V996,Minimas!$C$3:$CD$12,9,FALSE)</f>
        <v>#N/A</v>
      </c>
      <c r="AJ996" s="230" t="e">
        <f>T996-HLOOKUP(V996,Minimas!$C$3:$CD$12,10,FALSE)</f>
        <v>#N/A</v>
      </c>
      <c r="AK996" s="231" t="str">
        <f t="shared" si="123"/>
        <v xml:space="preserve"> </v>
      </c>
      <c r="AL996" s="232"/>
      <c r="AM996" s="232" t="str">
        <f t="shared" si="124"/>
        <v xml:space="preserve"> </v>
      </c>
      <c r="AN996" s="232" t="str">
        <f t="shared" si="125"/>
        <v xml:space="preserve"> </v>
      </c>
    </row>
    <row r="997" spans="28:40" x14ac:dyDescent="0.25">
      <c r="AB997" s="230" t="e">
        <f>T997-HLOOKUP(V997,Minimas!$C$3:$CD$12,2,FALSE)</f>
        <v>#N/A</v>
      </c>
      <c r="AC997" s="230" t="e">
        <f>T997-HLOOKUP(V997,Minimas!$C$3:$CD$12,3,FALSE)</f>
        <v>#N/A</v>
      </c>
      <c r="AD997" s="230" t="e">
        <f>T997-HLOOKUP(V997,Minimas!$C$3:$CD$12,4,FALSE)</f>
        <v>#N/A</v>
      </c>
      <c r="AE997" s="230" t="e">
        <f>T997-HLOOKUP(V997,Minimas!$C$3:$CD$12,5,FALSE)</f>
        <v>#N/A</v>
      </c>
      <c r="AF997" s="230" t="e">
        <f>T997-HLOOKUP(V997,Minimas!$C$3:$CD$12,6,FALSE)</f>
        <v>#N/A</v>
      </c>
      <c r="AG997" s="230" t="e">
        <f>T997-HLOOKUP(V997,Minimas!$C$3:$CD$12,7,FALSE)</f>
        <v>#N/A</v>
      </c>
      <c r="AH997" s="230" t="e">
        <f>T997-HLOOKUP(V997,Minimas!$C$3:$CD$12,8,FALSE)</f>
        <v>#N/A</v>
      </c>
      <c r="AI997" s="230" t="e">
        <f>T997-HLOOKUP(V997,Minimas!$C$3:$CD$12,9,FALSE)</f>
        <v>#N/A</v>
      </c>
      <c r="AJ997" s="230" t="e">
        <f>T997-HLOOKUP(V997,Minimas!$C$3:$CD$12,10,FALSE)</f>
        <v>#N/A</v>
      </c>
      <c r="AK997" s="231" t="str">
        <f t="shared" si="123"/>
        <v xml:space="preserve"> </v>
      </c>
      <c r="AL997" s="232"/>
      <c r="AM997" s="232" t="str">
        <f t="shared" si="124"/>
        <v xml:space="preserve"> </v>
      </c>
      <c r="AN997" s="232" t="str">
        <f t="shared" si="125"/>
        <v xml:space="preserve"> </v>
      </c>
    </row>
    <row r="998" spans="28:40" x14ac:dyDescent="0.25">
      <c r="AB998" s="230" t="e">
        <f>T998-HLOOKUP(V998,Minimas!$C$3:$CD$12,2,FALSE)</f>
        <v>#N/A</v>
      </c>
      <c r="AC998" s="230" t="e">
        <f>T998-HLOOKUP(V998,Minimas!$C$3:$CD$12,3,FALSE)</f>
        <v>#N/A</v>
      </c>
      <c r="AD998" s="230" t="e">
        <f>T998-HLOOKUP(V998,Minimas!$C$3:$CD$12,4,FALSE)</f>
        <v>#N/A</v>
      </c>
      <c r="AE998" s="230" t="e">
        <f>T998-HLOOKUP(V998,Minimas!$C$3:$CD$12,5,FALSE)</f>
        <v>#N/A</v>
      </c>
      <c r="AF998" s="230" t="e">
        <f>T998-HLOOKUP(V998,Minimas!$C$3:$CD$12,6,FALSE)</f>
        <v>#N/A</v>
      </c>
      <c r="AG998" s="230" t="e">
        <f>T998-HLOOKUP(V998,Minimas!$C$3:$CD$12,7,FALSE)</f>
        <v>#N/A</v>
      </c>
      <c r="AH998" s="230" t="e">
        <f>T998-HLOOKUP(V998,Minimas!$C$3:$CD$12,8,FALSE)</f>
        <v>#N/A</v>
      </c>
      <c r="AI998" s="230" t="e">
        <f>T998-HLOOKUP(V998,Minimas!$C$3:$CD$12,9,FALSE)</f>
        <v>#N/A</v>
      </c>
      <c r="AJ998" s="230" t="e">
        <f>T998-HLOOKUP(V998,Minimas!$C$3:$CD$12,10,FALSE)</f>
        <v>#N/A</v>
      </c>
      <c r="AK998" s="231" t="str">
        <f t="shared" si="123"/>
        <v xml:space="preserve"> </v>
      </c>
      <c r="AL998" s="232"/>
      <c r="AM998" s="232" t="str">
        <f t="shared" si="124"/>
        <v xml:space="preserve"> </v>
      </c>
      <c r="AN998" s="232" t="str">
        <f t="shared" si="125"/>
        <v xml:space="preserve"> </v>
      </c>
    </row>
    <row r="999" spans="28:40" x14ac:dyDescent="0.25">
      <c r="AB999" s="230" t="e">
        <f>T999-HLOOKUP(V999,Minimas!$C$3:$CD$12,2,FALSE)</f>
        <v>#N/A</v>
      </c>
      <c r="AC999" s="230" t="e">
        <f>T999-HLOOKUP(V999,Minimas!$C$3:$CD$12,3,FALSE)</f>
        <v>#N/A</v>
      </c>
      <c r="AD999" s="230" t="e">
        <f>T999-HLOOKUP(V999,Minimas!$C$3:$CD$12,4,FALSE)</f>
        <v>#N/A</v>
      </c>
      <c r="AE999" s="230" t="e">
        <f>T999-HLOOKUP(V999,Minimas!$C$3:$CD$12,5,FALSE)</f>
        <v>#N/A</v>
      </c>
      <c r="AF999" s="230" t="e">
        <f>T999-HLOOKUP(V999,Minimas!$C$3:$CD$12,6,FALSE)</f>
        <v>#N/A</v>
      </c>
      <c r="AG999" s="230" t="e">
        <f>T999-HLOOKUP(V999,Minimas!$C$3:$CD$12,7,FALSE)</f>
        <v>#N/A</v>
      </c>
      <c r="AH999" s="230" t="e">
        <f>T999-HLOOKUP(V999,Minimas!$C$3:$CD$12,8,FALSE)</f>
        <v>#N/A</v>
      </c>
      <c r="AI999" s="230" t="e">
        <f>T999-HLOOKUP(V999,Minimas!$C$3:$CD$12,9,FALSE)</f>
        <v>#N/A</v>
      </c>
      <c r="AJ999" s="230" t="e">
        <f>T999-HLOOKUP(V999,Minimas!$C$3:$CD$12,10,FALSE)</f>
        <v>#N/A</v>
      </c>
      <c r="AK999" s="231" t="str">
        <f t="shared" si="123"/>
        <v xml:space="preserve"> </v>
      </c>
      <c r="AL999" s="232"/>
      <c r="AM999" s="232" t="str">
        <f t="shared" si="124"/>
        <v xml:space="preserve"> </v>
      </c>
      <c r="AN999" s="232" t="str">
        <f t="shared" si="125"/>
        <v xml:space="preserve"> </v>
      </c>
    </row>
    <row r="1000" spans="28:40" x14ac:dyDescent="0.25">
      <c r="AB1000" s="230" t="e">
        <f>T1000-HLOOKUP(V1000,Minimas!$C$3:$CD$12,2,FALSE)</f>
        <v>#N/A</v>
      </c>
      <c r="AC1000" s="230" t="e">
        <f>T1000-HLOOKUP(V1000,Minimas!$C$3:$CD$12,3,FALSE)</f>
        <v>#N/A</v>
      </c>
      <c r="AD1000" s="230" t="e">
        <f>T1000-HLOOKUP(V1000,Minimas!$C$3:$CD$12,4,FALSE)</f>
        <v>#N/A</v>
      </c>
      <c r="AE1000" s="230" t="e">
        <f>T1000-HLOOKUP(V1000,Minimas!$C$3:$CD$12,5,FALSE)</f>
        <v>#N/A</v>
      </c>
      <c r="AF1000" s="230" t="e">
        <f>T1000-HLOOKUP(V1000,Minimas!$C$3:$CD$12,6,FALSE)</f>
        <v>#N/A</v>
      </c>
      <c r="AG1000" s="230" t="e">
        <f>T1000-HLOOKUP(V1000,Minimas!$C$3:$CD$12,7,FALSE)</f>
        <v>#N/A</v>
      </c>
      <c r="AH1000" s="230" t="e">
        <f>T1000-HLOOKUP(V1000,Minimas!$C$3:$CD$12,8,FALSE)</f>
        <v>#N/A</v>
      </c>
      <c r="AI1000" s="230" t="e">
        <f>T1000-HLOOKUP(V1000,Minimas!$C$3:$CD$12,9,FALSE)</f>
        <v>#N/A</v>
      </c>
      <c r="AJ1000" s="230" t="e">
        <f>T1000-HLOOKUP(V1000,Minimas!$C$3:$CD$12,10,FALSE)</f>
        <v>#N/A</v>
      </c>
      <c r="AK1000" s="231" t="str">
        <f t="shared" si="123"/>
        <v xml:space="preserve"> </v>
      </c>
      <c r="AL1000" s="232"/>
      <c r="AM1000" s="232" t="str">
        <f t="shared" si="124"/>
        <v xml:space="preserve"> </v>
      </c>
      <c r="AN1000" s="232" t="str">
        <f t="shared" si="125"/>
        <v xml:space="preserve"> </v>
      </c>
    </row>
    <row r="1001" spans="28:40" x14ac:dyDescent="0.25">
      <c r="AB1001" s="230" t="e">
        <f>T1001-HLOOKUP(V1001,Minimas!$C$3:$CD$12,2,FALSE)</f>
        <v>#N/A</v>
      </c>
      <c r="AC1001" s="230" t="e">
        <f>T1001-HLOOKUP(V1001,Minimas!$C$3:$CD$12,3,FALSE)</f>
        <v>#N/A</v>
      </c>
      <c r="AD1001" s="230" t="e">
        <f>T1001-HLOOKUP(V1001,Minimas!$C$3:$CD$12,4,FALSE)</f>
        <v>#N/A</v>
      </c>
      <c r="AE1001" s="230" t="e">
        <f>T1001-HLOOKUP(V1001,Minimas!$C$3:$CD$12,5,FALSE)</f>
        <v>#N/A</v>
      </c>
      <c r="AF1001" s="230" t="e">
        <f>T1001-HLOOKUP(V1001,Minimas!$C$3:$CD$12,6,FALSE)</f>
        <v>#N/A</v>
      </c>
      <c r="AG1001" s="230" t="e">
        <f>T1001-HLOOKUP(V1001,Minimas!$C$3:$CD$12,7,FALSE)</f>
        <v>#N/A</v>
      </c>
      <c r="AH1001" s="230" t="e">
        <f>T1001-HLOOKUP(V1001,Minimas!$C$3:$CD$12,8,FALSE)</f>
        <v>#N/A</v>
      </c>
      <c r="AI1001" s="230" t="e">
        <f>T1001-HLOOKUP(V1001,Minimas!$C$3:$CD$12,9,FALSE)</f>
        <v>#N/A</v>
      </c>
      <c r="AJ1001" s="230" t="e">
        <f>T1001-HLOOKUP(V1001,Minimas!$C$3:$CD$12,10,FALSE)</f>
        <v>#N/A</v>
      </c>
      <c r="AK1001" s="231" t="str">
        <f t="shared" si="123"/>
        <v xml:space="preserve"> </v>
      </c>
      <c r="AL1001" s="232"/>
      <c r="AM1001" s="232" t="str">
        <f t="shared" si="124"/>
        <v xml:space="preserve"> </v>
      </c>
      <c r="AN1001" s="232" t="str">
        <f t="shared" si="125"/>
        <v xml:space="preserve"> </v>
      </c>
    </row>
    <row r="1002" spans="28:40" x14ac:dyDescent="0.25">
      <c r="AB1002" s="230" t="e">
        <f>T1002-HLOOKUP(V1002,Minimas!$C$3:$CD$12,2,FALSE)</f>
        <v>#N/A</v>
      </c>
      <c r="AC1002" s="230" t="e">
        <f>T1002-HLOOKUP(V1002,Minimas!$C$3:$CD$12,3,FALSE)</f>
        <v>#N/A</v>
      </c>
      <c r="AD1002" s="230" t="e">
        <f>T1002-HLOOKUP(V1002,Minimas!$C$3:$CD$12,4,FALSE)</f>
        <v>#N/A</v>
      </c>
      <c r="AE1002" s="230" t="e">
        <f>T1002-HLOOKUP(V1002,Minimas!$C$3:$CD$12,5,FALSE)</f>
        <v>#N/A</v>
      </c>
      <c r="AF1002" s="230" t="e">
        <f>T1002-HLOOKUP(V1002,Minimas!$C$3:$CD$12,6,FALSE)</f>
        <v>#N/A</v>
      </c>
      <c r="AG1002" s="230" t="e">
        <f>T1002-HLOOKUP(V1002,Minimas!$C$3:$CD$12,7,FALSE)</f>
        <v>#N/A</v>
      </c>
      <c r="AH1002" s="230" t="e">
        <f>T1002-HLOOKUP(V1002,Minimas!$C$3:$CD$12,8,FALSE)</f>
        <v>#N/A</v>
      </c>
      <c r="AI1002" s="230" t="e">
        <f>T1002-HLOOKUP(V1002,Minimas!$C$3:$CD$12,9,FALSE)</f>
        <v>#N/A</v>
      </c>
      <c r="AJ1002" s="230" t="e">
        <f>T1002-HLOOKUP(V1002,Minimas!$C$3:$CD$12,10,FALSE)</f>
        <v>#N/A</v>
      </c>
      <c r="AK1002" s="231" t="str">
        <f t="shared" si="123"/>
        <v xml:space="preserve"> </v>
      </c>
      <c r="AL1002" s="232"/>
      <c r="AM1002" s="232" t="str">
        <f t="shared" si="124"/>
        <v xml:space="preserve"> </v>
      </c>
      <c r="AN1002" s="232" t="str">
        <f t="shared" si="125"/>
        <v xml:space="preserve"> </v>
      </c>
    </row>
    <row r="1003" spans="28:40" x14ac:dyDescent="0.25">
      <c r="AB1003" s="230" t="e">
        <f>T1003-HLOOKUP(V1003,Minimas!$C$3:$CD$12,2,FALSE)</f>
        <v>#N/A</v>
      </c>
      <c r="AC1003" s="230" t="e">
        <f>T1003-HLOOKUP(V1003,Minimas!$C$3:$CD$12,3,FALSE)</f>
        <v>#N/A</v>
      </c>
      <c r="AD1003" s="230" t="e">
        <f>T1003-HLOOKUP(V1003,Minimas!$C$3:$CD$12,4,FALSE)</f>
        <v>#N/A</v>
      </c>
      <c r="AE1003" s="230" t="e">
        <f>T1003-HLOOKUP(V1003,Minimas!$C$3:$CD$12,5,FALSE)</f>
        <v>#N/A</v>
      </c>
      <c r="AF1003" s="230" t="e">
        <f>T1003-HLOOKUP(V1003,Minimas!$C$3:$CD$12,6,FALSE)</f>
        <v>#N/A</v>
      </c>
      <c r="AG1003" s="230" t="e">
        <f>T1003-HLOOKUP(V1003,Minimas!$C$3:$CD$12,7,FALSE)</f>
        <v>#N/A</v>
      </c>
      <c r="AH1003" s="230" t="e">
        <f>T1003-HLOOKUP(V1003,Minimas!$C$3:$CD$12,8,FALSE)</f>
        <v>#N/A</v>
      </c>
      <c r="AI1003" s="230" t="e">
        <f>T1003-HLOOKUP(V1003,Minimas!$C$3:$CD$12,9,FALSE)</f>
        <v>#N/A</v>
      </c>
      <c r="AJ1003" s="230" t="e">
        <f>T1003-HLOOKUP(V1003,Minimas!$C$3:$CD$12,10,FALSE)</f>
        <v>#N/A</v>
      </c>
      <c r="AK1003" s="231" t="str">
        <f t="shared" si="123"/>
        <v xml:space="preserve"> </v>
      </c>
      <c r="AL1003" s="232"/>
      <c r="AM1003" s="232" t="str">
        <f t="shared" si="124"/>
        <v xml:space="preserve"> </v>
      </c>
      <c r="AN1003" s="232" t="str">
        <f t="shared" si="125"/>
        <v xml:space="preserve"> </v>
      </c>
    </row>
    <row r="1004" spans="28:40" x14ac:dyDescent="0.25">
      <c r="AB1004" s="230" t="e">
        <f>T1004-HLOOKUP(V1004,Minimas!$C$3:$CD$12,2,FALSE)</f>
        <v>#N/A</v>
      </c>
      <c r="AC1004" s="230" t="e">
        <f>T1004-HLOOKUP(V1004,Minimas!$C$3:$CD$12,3,FALSE)</f>
        <v>#N/A</v>
      </c>
      <c r="AD1004" s="230" t="e">
        <f>T1004-HLOOKUP(V1004,Minimas!$C$3:$CD$12,4,FALSE)</f>
        <v>#N/A</v>
      </c>
      <c r="AE1004" s="230" t="e">
        <f>T1004-HLOOKUP(V1004,Minimas!$C$3:$CD$12,5,FALSE)</f>
        <v>#N/A</v>
      </c>
      <c r="AF1004" s="230" t="e">
        <f>T1004-HLOOKUP(V1004,Minimas!$C$3:$CD$12,6,FALSE)</f>
        <v>#N/A</v>
      </c>
      <c r="AG1004" s="230" t="e">
        <f>T1004-HLOOKUP(V1004,Minimas!$C$3:$CD$12,7,FALSE)</f>
        <v>#N/A</v>
      </c>
      <c r="AH1004" s="230" t="e">
        <f>T1004-HLOOKUP(V1004,Minimas!$C$3:$CD$12,8,FALSE)</f>
        <v>#N/A</v>
      </c>
      <c r="AI1004" s="230" t="e">
        <f>T1004-HLOOKUP(V1004,Minimas!$C$3:$CD$12,9,FALSE)</f>
        <v>#N/A</v>
      </c>
      <c r="AJ1004" s="230" t="e">
        <f>T1004-HLOOKUP(V1004,Minimas!$C$3:$CD$12,10,FALSE)</f>
        <v>#N/A</v>
      </c>
      <c r="AK1004" s="231" t="str">
        <f t="shared" si="123"/>
        <v xml:space="preserve"> </v>
      </c>
      <c r="AL1004" s="232"/>
      <c r="AM1004" s="232" t="str">
        <f t="shared" si="124"/>
        <v xml:space="preserve"> </v>
      </c>
      <c r="AN1004" s="232" t="str">
        <f t="shared" si="125"/>
        <v xml:space="preserve"> </v>
      </c>
    </row>
    <row r="1005" spans="28:40" x14ac:dyDescent="0.25">
      <c r="AB1005" s="230" t="e">
        <f>T1005-HLOOKUP(V1005,Minimas!$C$3:$CD$12,2,FALSE)</f>
        <v>#N/A</v>
      </c>
      <c r="AC1005" s="230" t="e">
        <f>T1005-HLOOKUP(V1005,Minimas!$C$3:$CD$12,3,FALSE)</f>
        <v>#N/A</v>
      </c>
      <c r="AD1005" s="230" t="e">
        <f>T1005-HLOOKUP(V1005,Minimas!$C$3:$CD$12,4,FALSE)</f>
        <v>#N/A</v>
      </c>
      <c r="AE1005" s="230" t="e">
        <f>T1005-HLOOKUP(V1005,Minimas!$C$3:$CD$12,5,FALSE)</f>
        <v>#N/A</v>
      </c>
      <c r="AF1005" s="230" t="e">
        <f>T1005-HLOOKUP(V1005,Minimas!$C$3:$CD$12,6,FALSE)</f>
        <v>#N/A</v>
      </c>
      <c r="AG1005" s="230" t="e">
        <f>T1005-HLOOKUP(V1005,Minimas!$C$3:$CD$12,7,FALSE)</f>
        <v>#N/A</v>
      </c>
      <c r="AH1005" s="230" t="e">
        <f>T1005-HLOOKUP(V1005,Minimas!$C$3:$CD$12,8,FALSE)</f>
        <v>#N/A</v>
      </c>
      <c r="AI1005" s="230" t="e">
        <f>T1005-HLOOKUP(V1005,Minimas!$C$3:$CD$12,9,FALSE)</f>
        <v>#N/A</v>
      </c>
      <c r="AJ1005" s="230" t="e">
        <f>T1005-HLOOKUP(V1005,Minimas!$C$3:$CD$12,10,FALSE)</f>
        <v>#N/A</v>
      </c>
      <c r="AK1005" s="231" t="str">
        <f t="shared" si="123"/>
        <v xml:space="preserve"> </v>
      </c>
      <c r="AL1005" s="232"/>
      <c r="AM1005" s="232" t="str">
        <f t="shared" si="124"/>
        <v xml:space="preserve"> </v>
      </c>
      <c r="AN1005" s="232" t="str">
        <f t="shared" si="125"/>
        <v xml:space="preserve"> </v>
      </c>
    </row>
    <row r="1006" spans="28:40" x14ac:dyDescent="0.25">
      <c r="AB1006" s="230" t="e">
        <f>T1006-HLOOKUP(V1006,Minimas!$C$3:$CD$12,2,FALSE)</f>
        <v>#N/A</v>
      </c>
      <c r="AC1006" s="230" t="e">
        <f>T1006-HLOOKUP(V1006,Minimas!$C$3:$CD$12,3,FALSE)</f>
        <v>#N/A</v>
      </c>
      <c r="AD1006" s="230" t="e">
        <f>T1006-HLOOKUP(V1006,Minimas!$C$3:$CD$12,4,FALSE)</f>
        <v>#N/A</v>
      </c>
      <c r="AE1006" s="230" t="e">
        <f>T1006-HLOOKUP(V1006,Minimas!$C$3:$CD$12,5,FALSE)</f>
        <v>#N/A</v>
      </c>
      <c r="AF1006" s="230" t="e">
        <f>T1006-HLOOKUP(V1006,Minimas!$C$3:$CD$12,6,FALSE)</f>
        <v>#N/A</v>
      </c>
      <c r="AG1006" s="230" t="e">
        <f>T1006-HLOOKUP(V1006,Minimas!$C$3:$CD$12,7,FALSE)</f>
        <v>#N/A</v>
      </c>
      <c r="AH1006" s="230" t="e">
        <f>T1006-HLOOKUP(V1006,Minimas!$C$3:$CD$12,8,FALSE)</f>
        <v>#N/A</v>
      </c>
      <c r="AI1006" s="230" t="e">
        <f>T1006-HLOOKUP(V1006,Minimas!$C$3:$CD$12,9,FALSE)</f>
        <v>#N/A</v>
      </c>
      <c r="AJ1006" s="230" t="e">
        <f>T1006-HLOOKUP(V1006,Minimas!$C$3:$CD$12,10,FALSE)</f>
        <v>#N/A</v>
      </c>
      <c r="AK1006" s="231" t="str">
        <f t="shared" si="123"/>
        <v xml:space="preserve"> </v>
      </c>
      <c r="AL1006" s="232"/>
      <c r="AM1006" s="232" t="str">
        <f t="shared" si="124"/>
        <v xml:space="preserve"> </v>
      </c>
      <c r="AN1006" s="232" t="str">
        <f t="shared" si="125"/>
        <v xml:space="preserve"> </v>
      </c>
    </row>
    <row r="1007" spans="28:40" x14ac:dyDescent="0.25">
      <c r="AB1007" s="230" t="e">
        <f>T1007-HLOOKUP(V1007,Minimas!$C$3:$CD$12,2,FALSE)</f>
        <v>#N/A</v>
      </c>
      <c r="AC1007" s="230" t="e">
        <f>T1007-HLOOKUP(V1007,Minimas!$C$3:$CD$12,3,FALSE)</f>
        <v>#N/A</v>
      </c>
      <c r="AD1007" s="230" t="e">
        <f>T1007-HLOOKUP(V1007,Minimas!$C$3:$CD$12,4,FALSE)</f>
        <v>#N/A</v>
      </c>
      <c r="AE1007" s="230" t="e">
        <f>T1007-HLOOKUP(V1007,Minimas!$C$3:$CD$12,5,FALSE)</f>
        <v>#N/A</v>
      </c>
      <c r="AF1007" s="230" t="e">
        <f>T1007-HLOOKUP(V1007,Minimas!$C$3:$CD$12,6,FALSE)</f>
        <v>#N/A</v>
      </c>
      <c r="AG1007" s="230" t="e">
        <f>T1007-HLOOKUP(V1007,Minimas!$C$3:$CD$12,7,FALSE)</f>
        <v>#N/A</v>
      </c>
      <c r="AH1007" s="230" t="e">
        <f>T1007-HLOOKUP(V1007,Minimas!$C$3:$CD$12,8,FALSE)</f>
        <v>#N/A</v>
      </c>
      <c r="AI1007" s="230" t="e">
        <f>T1007-HLOOKUP(V1007,Minimas!$C$3:$CD$12,9,FALSE)</f>
        <v>#N/A</v>
      </c>
      <c r="AJ1007" s="230" t="e">
        <f>T1007-HLOOKUP(V1007,Minimas!$C$3:$CD$12,10,FALSE)</f>
        <v>#N/A</v>
      </c>
      <c r="AK1007" s="231" t="str">
        <f t="shared" si="123"/>
        <v xml:space="preserve"> </v>
      </c>
      <c r="AL1007" s="232"/>
      <c r="AM1007" s="232" t="str">
        <f t="shared" si="124"/>
        <v xml:space="preserve"> </v>
      </c>
      <c r="AN1007" s="232" t="str">
        <f t="shared" si="125"/>
        <v xml:space="preserve"> </v>
      </c>
    </row>
    <row r="1008" spans="28:40" x14ac:dyDescent="0.25">
      <c r="AB1008" s="230" t="e">
        <f>T1008-HLOOKUP(V1008,Minimas!$C$3:$CD$12,2,FALSE)</f>
        <v>#N/A</v>
      </c>
      <c r="AC1008" s="230" t="e">
        <f>T1008-HLOOKUP(V1008,Minimas!$C$3:$CD$12,3,FALSE)</f>
        <v>#N/A</v>
      </c>
      <c r="AD1008" s="230" t="e">
        <f>T1008-HLOOKUP(V1008,Minimas!$C$3:$CD$12,4,FALSE)</f>
        <v>#N/A</v>
      </c>
      <c r="AE1008" s="230" t="e">
        <f>T1008-HLOOKUP(V1008,Minimas!$C$3:$CD$12,5,FALSE)</f>
        <v>#N/A</v>
      </c>
      <c r="AF1008" s="230" t="e">
        <f>T1008-HLOOKUP(V1008,Minimas!$C$3:$CD$12,6,FALSE)</f>
        <v>#N/A</v>
      </c>
      <c r="AG1008" s="230" t="e">
        <f>T1008-HLOOKUP(V1008,Minimas!$C$3:$CD$12,7,FALSE)</f>
        <v>#N/A</v>
      </c>
      <c r="AH1008" s="230" t="e">
        <f>T1008-HLOOKUP(V1008,Minimas!$C$3:$CD$12,8,FALSE)</f>
        <v>#N/A</v>
      </c>
      <c r="AI1008" s="230" t="e">
        <f>T1008-HLOOKUP(V1008,Minimas!$C$3:$CD$12,9,FALSE)</f>
        <v>#N/A</v>
      </c>
      <c r="AJ1008" s="230" t="e">
        <f>T1008-HLOOKUP(V1008,Minimas!$C$3:$CD$12,10,FALSE)</f>
        <v>#N/A</v>
      </c>
      <c r="AK1008" s="231" t="str">
        <f t="shared" si="123"/>
        <v xml:space="preserve"> </v>
      </c>
      <c r="AL1008" s="232"/>
      <c r="AM1008" s="232" t="str">
        <f t="shared" si="124"/>
        <v xml:space="preserve"> </v>
      </c>
      <c r="AN1008" s="232" t="str">
        <f t="shared" si="125"/>
        <v xml:space="preserve"> </v>
      </c>
    </row>
    <row r="1009" spans="28:40" x14ac:dyDescent="0.25">
      <c r="AB1009" s="230" t="e">
        <f>T1009-HLOOKUP(V1009,Minimas!$C$3:$CD$12,2,FALSE)</f>
        <v>#N/A</v>
      </c>
      <c r="AC1009" s="230" t="e">
        <f>T1009-HLOOKUP(V1009,Minimas!$C$3:$CD$12,3,FALSE)</f>
        <v>#N/A</v>
      </c>
      <c r="AD1009" s="230" t="e">
        <f>T1009-HLOOKUP(V1009,Minimas!$C$3:$CD$12,4,FALSE)</f>
        <v>#N/A</v>
      </c>
      <c r="AE1009" s="230" t="e">
        <f>T1009-HLOOKUP(V1009,Minimas!$C$3:$CD$12,5,FALSE)</f>
        <v>#N/A</v>
      </c>
      <c r="AF1009" s="230" t="e">
        <f>T1009-HLOOKUP(V1009,Minimas!$C$3:$CD$12,6,FALSE)</f>
        <v>#N/A</v>
      </c>
      <c r="AG1009" s="230" t="e">
        <f>T1009-HLOOKUP(V1009,Minimas!$C$3:$CD$12,7,FALSE)</f>
        <v>#N/A</v>
      </c>
      <c r="AH1009" s="230" t="e">
        <f>T1009-HLOOKUP(V1009,Minimas!$C$3:$CD$12,8,FALSE)</f>
        <v>#N/A</v>
      </c>
      <c r="AI1009" s="230" t="e">
        <f>T1009-HLOOKUP(V1009,Minimas!$C$3:$CD$12,9,FALSE)</f>
        <v>#N/A</v>
      </c>
      <c r="AJ1009" s="230" t="e">
        <f>T1009-HLOOKUP(V1009,Minimas!$C$3:$CD$12,10,FALSE)</f>
        <v>#N/A</v>
      </c>
      <c r="AK1009" s="231" t="str">
        <f t="shared" si="123"/>
        <v xml:space="preserve"> </v>
      </c>
      <c r="AL1009" s="232"/>
      <c r="AM1009" s="232" t="str">
        <f t="shared" si="124"/>
        <v xml:space="preserve"> </v>
      </c>
      <c r="AN1009" s="232" t="str">
        <f t="shared" si="125"/>
        <v xml:space="preserve"> </v>
      </c>
    </row>
    <row r="1010" spans="28:40" x14ac:dyDescent="0.25">
      <c r="AB1010" s="230" t="e">
        <f>T1010-HLOOKUP(V1010,Minimas!$C$3:$CD$12,2,FALSE)</f>
        <v>#N/A</v>
      </c>
      <c r="AC1010" s="230" t="e">
        <f>T1010-HLOOKUP(V1010,Minimas!$C$3:$CD$12,3,FALSE)</f>
        <v>#N/A</v>
      </c>
      <c r="AD1010" s="230" t="e">
        <f>T1010-HLOOKUP(V1010,Minimas!$C$3:$CD$12,4,FALSE)</f>
        <v>#N/A</v>
      </c>
      <c r="AE1010" s="230" t="e">
        <f>T1010-HLOOKUP(V1010,Minimas!$C$3:$CD$12,5,FALSE)</f>
        <v>#N/A</v>
      </c>
      <c r="AF1010" s="230" t="e">
        <f>T1010-HLOOKUP(V1010,Minimas!$C$3:$CD$12,6,FALSE)</f>
        <v>#N/A</v>
      </c>
      <c r="AG1010" s="230" t="e">
        <f>T1010-HLOOKUP(V1010,Minimas!$C$3:$CD$12,7,FALSE)</f>
        <v>#N/A</v>
      </c>
      <c r="AH1010" s="230" t="e">
        <f>T1010-HLOOKUP(V1010,Minimas!$C$3:$CD$12,8,FALSE)</f>
        <v>#N/A</v>
      </c>
      <c r="AI1010" s="230" t="e">
        <f>T1010-HLOOKUP(V1010,Minimas!$C$3:$CD$12,9,FALSE)</f>
        <v>#N/A</v>
      </c>
      <c r="AJ1010" s="230" t="e">
        <f>T1010-HLOOKUP(V1010,Minimas!$C$3:$CD$12,10,FALSE)</f>
        <v>#N/A</v>
      </c>
      <c r="AK1010" s="231" t="str">
        <f t="shared" si="123"/>
        <v xml:space="preserve"> </v>
      </c>
      <c r="AL1010" s="232"/>
      <c r="AM1010" s="232" t="str">
        <f t="shared" si="124"/>
        <v xml:space="preserve"> </v>
      </c>
      <c r="AN1010" s="232" t="str">
        <f t="shared" si="125"/>
        <v xml:space="preserve"> </v>
      </c>
    </row>
    <row r="1011" spans="28:40" x14ac:dyDescent="0.25">
      <c r="AB1011" s="230" t="e">
        <f>T1011-HLOOKUP(V1011,Minimas!$C$3:$CD$12,2,FALSE)</f>
        <v>#N/A</v>
      </c>
      <c r="AC1011" s="230" t="e">
        <f>T1011-HLOOKUP(V1011,Minimas!$C$3:$CD$12,3,FALSE)</f>
        <v>#N/A</v>
      </c>
      <c r="AD1011" s="230" t="e">
        <f>T1011-HLOOKUP(V1011,Minimas!$C$3:$CD$12,4,FALSE)</f>
        <v>#N/A</v>
      </c>
      <c r="AE1011" s="230" t="e">
        <f>T1011-HLOOKUP(V1011,Minimas!$C$3:$CD$12,5,FALSE)</f>
        <v>#N/A</v>
      </c>
      <c r="AF1011" s="230" t="e">
        <f>T1011-HLOOKUP(V1011,Minimas!$C$3:$CD$12,6,FALSE)</f>
        <v>#N/A</v>
      </c>
      <c r="AG1011" s="230" t="e">
        <f>T1011-HLOOKUP(V1011,Minimas!$C$3:$CD$12,7,FALSE)</f>
        <v>#N/A</v>
      </c>
      <c r="AH1011" s="230" t="e">
        <f>T1011-HLOOKUP(V1011,Minimas!$C$3:$CD$12,8,FALSE)</f>
        <v>#N/A</v>
      </c>
      <c r="AI1011" s="230" t="e">
        <f>T1011-HLOOKUP(V1011,Minimas!$C$3:$CD$12,9,FALSE)</f>
        <v>#N/A</v>
      </c>
      <c r="AJ1011" s="230" t="e">
        <f>T1011-HLOOKUP(V1011,Minimas!$C$3:$CD$12,10,FALSE)</f>
        <v>#N/A</v>
      </c>
      <c r="AK1011" s="231" t="str">
        <f t="shared" si="123"/>
        <v xml:space="preserve"> </v>
      </c>
      <c r="AL1011" s="232"/>
      <c r="AM1011" s="232" t="str">
        <f t="shared" si="124"/>
        <v xml:space="preserve"> </v>
      </c>
      <c r="AN1011" s="232" t="str">
        <f t="shared" si="125"/>
        <v xml:space="preserve"> </v>
      </c>
    </row>
    <row r="1012" spans="28:40" x14ac:dyDescent="0.25">
      <c r="AB1012" s="230" t="e">
        <f>T1012-HLOOKUP(V1012,Minimas!$C$3:$CD$12,2,FALSE)</f>
        <v>#N/A</v>
      </c>
      <c r="AC1012" s="230" t="e">
        <f>T1012-HLOOKUP(V1012,Minimas!$C$3:$CD$12,3,FALSE)</f>
        <v>#N/A</v>
      </c>
      <c r="AD1012" s="230" t="e">
        <f>T1012-HLOOKUP(V1012,Minimas!$C$3:$CD$12,4,FALSE)</f>
        <v>#N/A</v>
      </c>
      <c r="AE1012" s="230" t="e">
        <f>T1012-HLOOKUP(V1012,Minimas!$C$3:$CD$12,5,FALSE)</f>
        <v>#N/A</v>
      </c>
      <c r="AF1012" s="230" t="e">
        <f>T1012-HLOOKUP(V1012,Minimas!$C$3:$CD$12,6,FALSE)</f>
        <v>#N/A</v>
      </c>
      <c r="AG1012" s="230" t="e">
        <f>T1012-HLOOKUP(V1012,Minimas!$C$3:$CD$12,7,FALSE)</f>
        <v>#N/A</v>
      </c>
      <c r="AH1012" s="230" t="e">
        <f>T1012-HLOOKUP(V1012,Minimas!$C$3:$CD$12,8,FALSE)</f>
        <v>#N/A</v>
      </c>
      <c r="AI1012" s="230" t="e">
        <f>T1012-HLOOKUP(V1012,Minimas!$C$3:$CD$12,9,FALSE)</f>
        <v>#N/A</v>
      </c>
      <c r="AJ1012" s="230" t="e">
        <f>T1012-HLOOKUP(V1012,Minimas!$C$3:$CD$12,10,FALSE)</f>
        <v>#N/A</v>
      </c>
      <c r="AK1012" s="231" t="str">
        <f t="shared" si="123"/>
        <v xml:space="preserve"> </v>
      </c>
      <c r="AL1012" s="232"/>
      <c r="AM1012" s="232" t="str">
        <f t="shared" si="124"/>
        <v xml:space="preserve"> </v>
      </c>
      <c r="AN1012" s="232" t="str">
        <f t="shared" si="125"/>
        <v xml:space="preserve"> </v>
      </c>
    </row>
    <row r="1013" spans="28:40" x14ac:dyDescent="0.25">
      <c r="AB1013" s="230" t="e">
        <f>T1013-HLOOKUP(V1013,Minimas!$C$3:$CD$12,2,FALSE)</f>
        <v>#N/A</v>
      </c>
      <c r="AC1013" s="230" t="e">
        <f>T1013-HLOOKUP(V1013,Minimas!$C$3:$CD$12,3,FALSE)</f>
        <v>#N/A</v>
      </c>
      <c r="AD1013" s="230" t="e">
        <f>T1013-HLOOKUP(V1013,Minimas!$C$3:$CD$12,4,FALSE)</f>
        <v>#N/A</v>
      </c>
      <c r="AE1013" s="230" t="e">
        <f>T1013-HLOOKUP(V1013,Minimas!$C$3:$CD$12,5,FALSE)</f>
        <v>#N/A</v>
      </c>
      <c r="AF1013" s="230" t="e">
        <f>T1013-HLOOKUP(V1013,Minimas!$C$3:$CD$12,6,FALSE)</f>
        <v>#N/A</v>
      </c>
      <c r="AG1013" s="230" t="e">
        <f>T1013-HLOOKUP(V1013,Minimas!$C$3:$CD$12,7,FALSE)</f>
        <v>#N/A</v>
      </c>
      <c r="AH1013" s="230" t="e">
        <f>T1013-HLOOKUP(V1013,Minimas!$C$3:$CD$12,8,FALSE)</f>
        <v>#N/A</v>
      </c>
      <c r="AI1013" s="230" t="e">
        <f>T1013-HLOOKUP(V1013,Minimas!$C$3:$CD$12,9,FALSE)</f>
        <v>#N/A</v>
      </c>
      <c r="AJ1013" s="230" t="e">
        <f>T1013-HLOOKUP(V1013,Minimas!$C$3:$CD$12,10,FALSE)</f>
        <v>#N/A</v>
      </c>
      <c r="AK1013" s="231" t="str">
        <f t="shared" si="123"/>
        <v xml:space="preserve"> </v>
      </c>
      <c r="AL1013" s="232"/>
      <c r="AM1013" s="232" t="str">
        <f t="shared" si="124"/>
        <v xml:space="preserve"> </v>
      </c>
      <c r="AN1013" s="232" t="str">
        <f t="shared" si="125"/>
        <v xml:space="preserve"> </v>
      </c>
    </row>
    <row r="1014" spans="28:40" x14ac:dyDescent="0.25">
      <c r="AB1014" s="230" t="e">
        <f>T1014-HLOOKUP(V1014,Minimas!$C$3:$CD$12,2,FALSE)</f>
        <v>#N/A</v>
      </c>
      <c r="AC1014" s="230" t="e">
        <f>T1014-HLOOKUP(V1014,Minimas!$C$3:$CD$12,3,FALSE)</f>
        <v>#N/A</v>
      </c>
      <c r="AD1014" s="230" t="e">
        <f>T1014-HLOOKUP(V1014,Minimas!$C$3:$CD$12,4,FALSE)</f>
        <v>#N/A</v>
      </c>
      <c r="AE1014" s="230" t="e">
        <f>T1014-HLOOKUP(V1014,Minimas!$C$3:$CD$12,5,FALSE)</f>
        <v>#N/A</v>
      </c>
      <c r="AF1014" s="230" t="e">
        <f>T1014-HLOOKUP(V1014,Minimas!$C$3:$CD$12,6,FALSE)</f>
        <v>#N/A</v>
      </c>
      <c r="AG1014" s="230" t="e">
        <f>T1014-HLOOKUP(V1014,Minimas!$C$3:$CD$12,7,FALSE)</f>
        <v>#N/A</v>
      </c>
      <c r="AH1014" s="230" t="e">
        <f>T1014-HLOOKUP(V1014,Minimas!$C$3:$CD$12,8,FALSE)</f>
        <v>#N/A</v>
      </c>
      <c r="AI1014" s="230" t="e">
        <f>T1014-HLOOKUP(V1014,Minimas!$C$3:$CD$12,9,FALSE)</f>
        <v>#N/A</v>
      </c>
      <c r="AJ1014" s="230" t="e">
        <f>T1014-HLOOKUP(V1014,Minimas!$C$3:$CD$12,10,FALSE)</f>
        <v>#N/A</v>
      </c>
      <c r="AK1014" s="231" t="str">
        <f t="shared" si="123"/>
        <v xml:space="preserve"> </v>
      </c>
      <c r="AL1014" s="232"/>
      <c r="AM1014" s="232" t="str">
        <f t="shared" si="124"/>
        <v xml:space="preserve"> </v>
      </c>
      <c r="AN1014" s="232" t="str">
        <f t="shared" si="125"/>
        <v xml:space="preserve"> </v>
      </c>
    </row>
    <row r="1015" spans="28:40" x14ac:dyDescent="0.25">
      <c r="AB1015" s="230" t="e">
        <f>T1015-HLOOKUP(V1015,Minimas!$C$3:$CD$12,2,FALSE)</f>
        <v>#N/A</v>
      </c>
      <c r="AC1015" s="230" t="e">
        <f>T1015-HLOOKUP(V1015,Minimas!$C$3:$CD$12,3,FALSE)</f>
        <v>#N/A</v>
      </c>
      <c r="AD1015" s="230" t="e">
        <f>T1015-HLOOKUP(V1015,Minimas!$C$3:$CD$12,4,FALSE)</f>
        <v>#N/A</v>
      </c>
      <c r="AE1015" s="230" t="e">
        <f>T1015-HLOOKUP(V1015,Minimas!$C$3:$CD$12,5,FALSE)</f>
        <v>#N/A</v>
      </c>
      <c r="AF1015" s="230" t="e">
        <f>T1015-HLOOKUP(V1015,Minimas!$C$3:$CD$12,6,FALSE)</f>
        <v>#N/A</v>
      </c>
      <c r="AG1015" s="230" t="e">
        <f>T1015-HLOOKUP(V1015,Minimas!$C$3:$CD$12,7,FALSE)</f>
        <v>#N/A</v>
      </c>
      <c r="AH1015" s="230" t="e">
        <f>T1015-HLOOKUP(V1015,Minimas!$C$3:$CD$12,8,FALSE)</f>
        <v>#N/A</v>
      </c>
      <c r="AI1015" s="230" t="e">
        <f>T1015-HLOOKUP(V1015,Minimas!$C$3:$CD$12,9,FALSE)</f>
        <v>#N/A</v>
      </c>
      <c r="AJ1015" s="230" t="e">
        <f>T1015-HLOOKUP(V1015,Minimas!$C$3:$CD$12,10,FALSE)</f>
        <v>#N/A</v>
      </c>
      <c r="AK1015" s="231" t="str">
        <f t="shared" si="123"/>
        <v xml:space="preserve"> </v>
      </c>
      <c r="AL1015" s="232"/>
      <c r="AM1015" s="232" t="str">
        <f t="shared" si="124"/>
        <v xml:space="preserve"> </v>
      </c>
      <c r="AN1015" s="232" t="str">
        <f t="shared" si="125"/>
        <v xml:space="preserve"> </v>
      </c>
    </row>
    <row r="1016" spans="28:40" x14ac:dyDescent="0.25">
      <c r="AB1016" s="230" t="e">
        <f>T1016-HLOOKUP(V1016,Minimas!$C$3:$CD$12,2,FALSE)</f>
        <v>#N/A</v>
      </c>
      <c r="AC1016" s="230" t="e">
        <f>T1016-HLOOKUP(V1016,Minimas!$C$3:$CD$12,3,FALSE)</f>
        <v>#N/A</v>
      </c>
      <c r="AD1016" s="230" t="e">
        <f>T1016-HLOOKUP(V1016,Minimas!$C$3:$CD$12,4,FALSE)</f>
        <v>#N/A</v>
      </c>
      <c r="AE1016" s="230" t="e">
        <f>T1016-HLOOKUP(V1016,Minimas!$C$3:$CD$12,5,FALSE)</f>
        <v>#N/A</v>
      </c>
      <c r="AF1016" s="230" t="e">
        <f>T1016-HLOOKUP(V1016,Minimas!$C$3:$CD$12,6,FALSE)</f>
        <v>#N/A</v>
      </c>
      <c r="AG1016" s="230" t="e">
        <f>T1016-HLOOKUP(V1016,Minimas!$C$3:$CD$12,7,FALSE)</f>
        <v>#N/A</v>
      </c>
      <c r="AH1016" s="230" t="e">
        <f>T1016-HLOOKUP(V1016,Minimas!$C$3:$CD$12,8,FALSE)</f>
        <v>#N/A</v>
      </c>
      <c r="AI1016" s="230" t="e">
        <f>T1016-HLOOKUP(V1016,Minimas!$C$3:$CD$12,9,FALSE)</f>
        <v>#N/A</v>
      </c>
      <c r="AJ1016" s="230" t="e">
        <f>T1016-HLOOKUP(V1016,Minimas!$C$3:$CD$12,10,FALSE)</f>
        <v>#N/A</v>
      </c>
      <c r="AK1016" s="231" t="str">
        <f t="shared" si="123"/>
        <v xml:space="preserve"> </v>
      </c>
      <c r="AL1016" s="232"/>
      <c r="AM1016" s="232" t="str">
        <f t="shared" si="124"/>
        <v xml:space="preserve"> </v>
      </c>
      <c r="AN1016" s="232" t="str">
        <f t="shared" si="125"/>
        <v xml:space="preserve"> </v>
      </c>
    </row>
    <row r="1017" spans="28:40" x14ac:dyDescent="0.25">
      <c r="AB1017" s="230" t="e">
        <f>T1017-HLOOKUP(V1017,Minimas!$C$3:$CD$12,2,FALSE)</f>
        <v>#N/A</v>
      </c>
      <c r="AC1017" s="230" t="e">
        <f>T1017-HLOOKUP(V1017,Minimas!$C$3:$CD$12,3,FALSE)</f>
        <v>#N/A</v>
      </c>
      <c r="AD1017" s="230" t="e">
        <f>T1017-HLOOKUP(V1017,Minimas!$C$3:$CD$12,4,FALSE)</f>
        <v>#N/A</v>
      </c>
      <c r="AE1017" s="230" t="e">
        <f>T1017-HLOOKUP(V1017,Minimas!$C$3:$CD$12,5,FALSE)</f>
        <v>#N/A</v>
      </c>
      <c r="AF1017" s="230" t="e">
        <f>T1017-HLOOKUP(V1017,Minimas!$C$3:$CD$12,6,FALSE)</f>
        <v>#N/A</v>
      </c>
      <c r="AG1017" s="230" t="e">
        <f>T1017-HLOOKUP(V1017,Minimas!$C$3:$CD$12,7,FALSE)</f>
        <v>#N/A</v>
      </c>
      <c r="AH1017" s="230" t="e">
        <f>T1017-HLOOKUP(V1017,Minimas!$C$3:$CD$12,8,FALSE)</f>
        <v>#N/A</v>
      </c>
      <c r="AI1017" s="230" t="e">
        <f>T1017-HLOOKUP(V1017,Minimas!$C$3:$CD$12,9,FALSE)</f>
        <v>#N/A</v>
      </c>
      <c r="AJ1017" s="230" t="e">
        <f>T1017-HLOOKUP(V1017,Minimas!$C$3:$CD$12,10,FALSE)</f>
        <v>#N/A</v>
      </c>
      <c r="AK1017" s="231" t="str">
        <f t="shared" si="123"/>
        <v xml:space="preserve"> </v>
      </c>
      <c r="AL1017" s="232"/>
      <c r="AM1017" s="232" t="str">
        <f t="shared" si="124"/>
        <v xml:space="preserve"> </v>
      </c>
      <c r="AN1017" s="232" t="str">
        <f t="shared" si="125"/>
        <v xml:space="preserve"> </v>
      </c>
    </row>
    <row r="1018" spans="28:40" x14ac:dyDescent="0.25">
      <c r="AB1018" s="230" t="e">
        <f>T1018-HLOOKUP(V1018,Minimas!$C$3:$CD$12,2,FALSE)</f>
        <v>#N/A</v>
      </c>
      <c r="AC1018" s="230" t="e">
        <f>T1018-HLOOKUP(V1018,Minimas!$C$3:$CD$12,3,FALSE)</f>
        <v>#N/A</v>
      </c>
      <c r="AD1018" s="230" t="e">
        <f>T1018-HLOOKUP(V1018,Minimas!$C$3:$CD$12,4,FALSE)</f>
        <v>#N/A</v>
      </c>
      <c r="AE1018" s="230" t="e">
        <f>T1018-HLOOKUP(V1018,Minimas!$C$3:$CD$12,5,FALSE)</f>
        <v>#N/A</v>
      </c>
      <c r="AF1018" s="230" t="e">
        <f>T1018-HLOOKUP(V1018,Minimas!$C$3:$CD$12,6,FALSE)</f>
        <v>#N/A</v>
      </c>
      <c r="AG1018" s="230" t="e">
        <f>T1018-HLOOKUP(V1018,Minimas!$C$3:$CD$12,7,FALSE)</f>
        <v>#N/A</v>
      </c>
      <c r="AH1018" s="230" t="e">
        <f>T1018-HLOOKUP(V1018,Minimas!$C$3:$CD$12,8,FALSE)</f>
        <v>#N/A</v>
      </c>
      <c r="AI1018" s="230" t="e">
        <f>T1018-HLOOKUP(V1018,Minimas!$C$3:$CD$12,9,FALSE)</f>
        <v>#N/A</v>
      </c>
      <c r="AJ1018" s="230" t="e">
        <f>T1018-HLOOKUP(V1018,Minimas!$C$3:$CD$12,10,FALSE)</f>
        <v>#N/A</v>
      </c>
      <c r="AK1018" s="231" t="str">
        <f t="shared" si="123"/>
        <v xml:space="preserve"> </v>
      </c>
      <c r="AL1018" s="232"/>
      <c r="AM1018" s="232" t="str">
        <f t="shared" si="124"/>
        <v xml:space="preserve"> </v>
      </c>
      <c r="AN1018" s="232" t="str">
        <f t="shared" si="125"/>
        <v xml:space="preserve"> </v>
      </c>
    </row>
    <row r="1019" spans="28:40" x14ac:dyDescent="0.25">
      <c r="AB1019" s="230" t="e">
        <f>T1019-HLOOKUP(V1019,Minimas!$C$3:$CD$12,2,FALSE)</f>
        <v>#N/A</v>
      </c>
      <c r="AC1019" s="230" t="e">
        <f>T1019-HLOOKUP(V1019,Minimas!$C$3:$CD$12,3,FALSE)</f>
        <v>#N/A</v>
      </c>
      <c r="AD1019" s="230" t="e">
        <f>T1019-HLOOKUP(V1019,Minimas!$C$3:$CD$12,4,FALSE)</f>
        <v>#N/A</v>
      </c>
      <c r="AE1019" s="230" t="e">
        <f>T1019-HLOOKUP(V1019,Minimas!$C$3:$CD$12,5,FALSE)</f>
        <v>#N/A</v>
      </c>
      <c r="AF1019" s="230" t="e">
        <f>T1019-HLOOKUP(V1019,Minimas!$C$3:$CD$12,6,FALSE)</f>
        <v>#N/A</v>
      </c>
      <c r="AG1019" s="230" t="e">
        <f>T1019-HLOOKUP(V1019,Minimas!$C$3:$CD$12,7,FALSE)</f>
        <v>#N/A</v>
      </c>
      <c r="AH1019" s="230" t="e">
        <f>T1019-HLOOKUP(V1019,Minimas!$C$3:$CD$12,8,FALSE)</f>
        <v>#N/A</v>
      </c>
      <c r="AI1019" s="230" t="e">
        <f>T1019-HLOOKUP(V1019,Minimas!$C$3:$CD$12,9,FALSE)</f>
        <v>#N/A</v>
      </c>
      <c r="AJ1019" s="230" t="e">
        <f>T1019-HLOOKUP(V1019,Minimas!$C$3:$CD$12,10,FALSE)</f>
        <v>#N/A</v>
      </c>
      <c r="AK1019" s="231" t="str">
        <f t="shared" si="123"/>
        <v xml:space="preserve"> </v>
      </c>
      <c r="AL1019" s="232"/>
      <c r="AM1019" s="232" t="str">
        <f t="shared" si="124"/>
        <v xml:space="preserve"> </v>
      </c>
      <c r="AN1019" s="232" t="str">
        <f t="shared" si="125"/>
        <v xml:space="preserve"> </v>
      </c>
    </row>
    <row r="1020" spans="28:40" x14ac:dyDescent="0.25">
      <c r="AB1020" s="230" t="e">
        <f>T1020-HLOOKUP(V1020,Minimas!$C$3:$CD$12,2,FALSE)</f>
        <v>#N/A</v>
      </c>
      <c r="AC1020" s="230" t="e">
        <f>T1020-HLOOKUP(V1020,Minimas!$C$3:$CD$12,3,FALSE)</f>
        <v>#N/A</v>
      </c>
      <c r="AD1020" s="230" t="e">
        <f>T1020-HLOOKUP(V1020,Minimas!$C$3:$CD$12,4,FALSE)</f>
        <v>#N/A</v>
      </c>
      <c r="AE1020" s="230" t="e">
        <f>T1020-HLOOKUP(V1020,Minimas!$C$3:$CD$12,5,FALSE)</f>
        <v>#N/A</v>
      </c>
      <c r="AF1020" s="230" t="e">
        <f>T1020-HLOOKUP(V1020,Minimas!$C$3:$CD$12,6,FALSE)</f>
        <v>#N/A</v>
      </c>
      <c r="AG1020" s="230" t="e">
        <f>T1020-HLOOKUP(V1020,Minimas!$C$3:$CD$12,7,FALSE)</f>
        <v>#N/A</v>
      </c>
      <c r="AH1020" s="230" t="e">
        <f>T1020-HLOOKUP(V1020,Minimas!$C$3:$CD$12,8,FALSE)</f>
        <v>#N/A</v>
      </c>
      <c r="AI1020" s="230" t="e">
        <f>T1020-HLOOKUP(V1020,Minimas!$C$3:$CD$12,9,FALSE)</f>
        <v>#N/A</v>
      </c>
      <c r="AJ1020" s="230" t="e">
        <f>T1020-HLOOKUP(V1020,Minimas!$C$3:$CD$12,10,FALSE)</f>
        <v>#N/A</v>
      </c>
      <c r="AK1020" s="231" t="str">
        <f t="shared" si="123"/>
        <v xml:space="preserve"> </v>
      </c>
      <c r="AL1020" s="232"/>
      <c r="AM1020" s="232" t="str">
        <f t="shared" si="124"/>
        <v xml:space="preserve"> </v>
      </c>
      <c r="AN1020" s="232" t="str">
        <f t="shared" si="125"/>
        <v xml:space="preserve"> </v>
      </c>
    </row>
    <row r="1021" spans="28:40" x14ac:dyDescent="0.25">
      <c r="AB1021" s="230" t="e">
        <f>T1021-HLOOKUP(V1021,Minimas!$C$3:$CD$12,2,FALSE)</f>
        <v>#N/A</v>
      </c>
      <c r="AC1021" s="230" t="e">
        <f>T1021-HLOOKUP(V1021,Minimas!$C$3:$CD$12,3,FALSE)</f>
        <v>#N/A</v>
      </c>
      <c r="AD1021" s="230" t="e">
        <f>T1021-HLOOKUP(V1021,Minimas!$C$3:$CD$12,4,FALSE)</f>
        <v>#N/A</v>
      </c>
      <c r="AE1021" s="230" t="e">
        <f>T1021-HLOOKUP(V1021,Minimas!$C$3:$CD$12,5,FALSE)</f>
        <v>#N/A</v>
      </c>
      <c r="AF1021" s="230" t="e">
        <f>T1021-HLOOKUP(V1021,Minimas!$C$3:$CD$12,6,FALSE)</f>
        <v>#N/A</v>
      </c>
      <c r="AG1021" s="230" t="e">
        <f>T1021-HLOOKUP(V1021,Minimas!$C$3:$CD$12,7,FALSE)</f>
        <v>#N/A</v>
      </c>
      <c r="AH1021" s="230" t="e">
        <f>T1021-HLOOKUP(V1021,Minimas!$C$3:$CD$12,8,FALSE)</f>
        <v>#N/A</v>
      </c>
      <c r="AI1021" s="230" t="e">
        <f>T1021-HLOOKUP(V1021,Minimas!$C$3:$CD$12,9,FALSE)</f>
        <v>#N/A</v>
      </c>
      <c r="AJ1021" s="230" t="e">
        <f>T1021-HLOOKUP(V1021,Minimas!$C$3:$CD$12,10,FALSE)</f>
        <v>#N/A</v>
      </c>
      <c r="AK1021" s="231" t="str">
        <f t="shared" si="123"/>
        <v xml:space="preserve"> </v>
      </c>
      <c r="AL1021" s="232"/>
      <c r="AM1021" s="232" t="str">
        <f t="shared" si="124"/>
        <v xml:space="preserve"> </v>
      </c>
      <c r="AN1021" s="232" t="str">
        <f t="shared" si="125"/>
        <v xml:space="preserve"> </v>
      </c>
    </row>
    <row r="1022" spans="28:40" x14ac:dyDescent="0.25">
      <c r="AB1022" s="230" t="e">
        <f>T1022-HLOOKUP(V1022,Minimas!$C$3:$CD$12,2,FALSE)</f>
        <v>#N/A</v>
      </c>
      <c r="AC1022" s="230" t="e">
        <f>T1022-HLOOKUP(V1022,Minimas!$C$3:$CD$12,3,FALSE)</f>
        <v>#N/A</v>
      </c>
      <c r="AD1022" s="230" t="e">
        <f>T1022-HLOOKUP(V1022,Minimas!$C$3:$CD$12,4,FALSE)</f>
        <v>#N/A</v>
      </c>
      <c r="AE1022" s="230" t="e">
        <f>T1022-HLOOKUP(V1022,Minimas!$C$3:$CD$12,5,FALSE)</f>
        <v>#N/A</v>
      </c>
      <c r="AF1022" s="230" t="e">
        <f>T1022-HLOOKUP(V1022,Minimas!$C$3:$CD$12,6,FALSE)</f>
        <v>#N/A</v>
      </c>
      <c r="AG1022" s="230" t="e">
        <f>T1022-HLOOKUP(V1022,Minimas!$C$3:$CD$12,7,FALSE)</f>
        <v>#N/A</v>
      </c>
      <c r="AH1022" s="230" t="e">
        <f>T1022-HLOOKUP(V1022,Minimas!$C$3:$CD$12,8,FALSE)</f>
        <v>#N/A</v>
      </c>
      <c r="AI1022" s="230" t="e">
        <f>T1022-HLOOKUP(V1022,Minimas!$C$3:$CD$12,9,FALSE)</f>
        <v>#N/A</v>
      </c>
      <c r="AJ1022" s="230" t="e">
        <f>T1022-HLOOKUP(V1022,Minimas!$C$3:$CD$12,10,FALSE)</f>
        <v>#N/A</v>
      </c>
      <c r="AK1022" s="231" t="str">
        <f t="shared" si="123"/>
        <v xml:space="preserve"> </v>
      </c>
      <c r="AL1022" s="232"/>
      <c r="AM1022" s="232" t="str">
        <f t="shared" si="124"/>
        <v xml:space="preserve"> </v>
      </c>
      <c r="AN1022" s="232" t="str">
        <f t="shared" si="125"/>
        <v xml:space="preserve"> </v>
      </c>
    </row>
    <row r="1023" spans="28:40" x14ac:dyDescent="0.25">
      <c r="AB1023" s="230" t="e">
        <f>T1023-HLOOKUP(V1023,Minimas!$C$3:$CD$12,2,FALSE)</f>
        <v>#N/A</v>
      </c>
      <c r="AC1023" s="230" t="e">
        <f>T1023-HLOOKUP(V1023,Minimas!$C$3:$CD$12,3,FALSE)</f>
        <v>#N/A</v>
      </c>
      <c r="AD1023" s="230" t="e">
        <f>T1023-HLOOKUP(V1023,Minimas!$C$3:$CD$12,4,FALSE)</f>
        <v>#N/A</v>
      </c>
      <c r="AE1023" s="230" t="e">
        <f>T1023-HLOOKUP(V1023,Minimas!$C$3:$CD$12,5,FALSE)</f>
        <v>#N/A</v>
      </c>
      <c r="AF1023" s="230" t="e">
        <f>T1023-HLOOKUP(V1023,Minimas!$C$3:$CD$12,6,FALSE)</f>
        <v>#N/A</v>
      </c>
      <c r="AG1023" s="230" t="e">
        <f>T1023-HLOOKUP(V1023,Minimas!$C$3:$CD$12,7,FALSE)</f>
        <v>#N/A</v>
      </c>
      <c r="AH1023" s="230" t="e">
        <f>T1023-HLOOKUP(V1023,Minimas!$C$3:$CD$12,8,FALSE)</f>
        <v>#N/A</v>
      </c>
      <c r="AI1023" s="230" t="e">
        <f>T1023-HLOOKUP(V1023,Minimas!$C$3:$CD$12,9,FALSE)</f>
        <v>#N/A</v>
      </c>
      <c r="AJ1023" s="230" t="e">
        <f>T1023-HLOOKUP(V1023,Minimas!$C$3:$CD$12,10,FALSE)</f>
        <v>#N/A</v>
      </c>
      <c r="AK1023" s="231" t="str">
        <f t="shared" si="123"/>
        <v xml:space="preserve"> </v>
      </c>
      <c r="AL1023" s="232"/>
      <c r="AM1023" s="232" t="str">
        <f t="shared" si="124"/>
        <v xml:space="preserve"> </v>
      </c>
      <c r="AN1023" s="232" t="str">
        <f t="shared" si="125"/>
        <v xml:space="preserve"> </v>
      </c>
    </row>
    <row r="1024" spans="28:40" x14ac:dyDescent="0.25">
      <c r="AB1024" s="230" t="e">
        <f>T1024-HLOOKUP(V1024,Minimas!$C$3:$CD$12,2,FALSE)</f>
        <v>#N/A</v>
      </c>
      <c r="AC1024" s="230" t="e">
        <f>T1024-HLOOKUP(V1024,Minimas!$C$3:$CD$12,3,FALSE)</f>
        <v>#N/A</v>
      </c>
      <c r="AD1024" s="230" t="e">
        <f>T1024-HLOOKUP(V1024,Minimas!$C$3:$CD$12,4,FALSE)</f>
        <v>#N/A</v>
      </c>
      <c r="AE1024" s="230" t="e">
        <f>T1024-HLOOKUP(V1024,Minimas!$C$3:$CD$12,5,FALSE)</f>
        <v>#N/A</v>
      </c>
      <c r="AF1024" s="230" t="e">
        <f>T1024-HLOOKUP(V1024,Minimas!$C$3:$CD$12,6,FALSE)</f>
        <v>#N/A</v>
      </c>
      <c r="AG1024" s="230" t="e">
        <f>T1024-HLOOKUP(V1024,Minimas!$C$3:$CD$12,7,FALSE)</f>
        <v>#N/A</v>
      </c>
      <c r="AH1024" s="230" t="e">
        <f>T1024-HLOOKUP(V1024,Minimas!$C$3:$CD$12,8,FALSE)</f>
        <v>#N/A</v>
      </c>
      <c r="AI1024" s="230" t="e">
        <f>T1024-HLOOKUP(V1024,Minimas!$C$3:$CD$12,9,FALSE)</f>
        <v>#N/A</v>
      </c>
      <c r="AJ1024" s="230" t="e">
        <f>T1024-HLOOKUP(V1024,Minimas!$C$3:$CD$12,10,FALSE)</f>
        <v>#N/A</v>
      </c>
      <c r="AK1024" s="231" t="str">
        <f t="shared" si="123"/>
        <v xml:space="preserve"> </v>
      </c>
      <c r="AL1024" s="232"/>
      <c r="AM1024" s="232" t="str">
        <f t="shared" si="124"/>
        <v xml:space="preserve"> </v>
      </c>
      <c r="AN1024" s="232" t="str">
        <f t="shared" si="125"/>
        <v xml:space="preserve"> </v>
      </c>
    </row>
    <row r="1025" spans="28:40" x14ac:dyDescent="0.25">
      <c r="AB1025" s="230" t="e">
        <f>T1025-HLOOKUP(V1025,Minimas!$C$3:$CD$12,2,FALSE)</f>
        <v>#N/A</v>
      </c>
      <c r="AC1025" s="230" t="e">
        <f>T1025-HLOOKUP(V1025,Minimas!$C$3:$CD$12,3,FALSE)</f>
        <v>#N/A</v>
      </c>
      <c r="AD1025" s="230" t="e">
        <f>T1025-HLOOKUP(V1025,Minimas!$C$3:$CD$12,4,FALSE)</f>
        <v>#N/A</v>
      </c>
      <c r="AE1025" s="230" t="e">
        <f>T1025-HLOOKUP(V1025,Minimas!$C$3:$CD$12,5,FALSE)</f>
        <v>#N/A</v>
      </c>
      <c r="AF1025" s="230" t="e">
        <f>T1025-HLOOKUP(V1025,Minimas!$C$3:$CD$12,6,FALSE)</f>
        <v>#N/A</v>
      </c>
      <c r="AG1025" s="230" t="e">
        <f>T1025-HLOOKUP(V1025,Minimas!$C$3:$CD$12,7,FALSE)</f>
        <v>#N/A</v>
      </c>
      <c r="AH1025" s="230" t="e">
        <f>T1025-HLOOKUP(V1025,Minimas!$C$3:$CD$12,8,FALSE)</f>
        <v>#N/A</v>
      </c>
      <c r="AI1025" s="230" t="e">
        <f>T1025-HLOOKUP(V1025,Minimas!$C$3:$CD$12,9,FALSE)</f>
        <v>#N/A</v>
      </c>
      <c r="AJ1025" s="230" t="e">
        <f>T1025-HLOOKUP(V1025,Minimas!$C$3:$CD$12,10,FALSE)</f>
        <v>#N/A</v>
      </c>
      <c r="AK1025" s="231" t="str">
        <f t="shared" si="123"/>
        <v xml:space="preserve"> </v>
      </c>
      <c r="AL1025" s="232"/>
      <c r="AM1025" s="232" t="str">
        <f t="shared" si="124"/>
        <v xml:space="preserve"> </v>
      </c>
      <c r="AN1025" s="232" t="str">
        <f t="shared" si="125"/>
        <v xml:space="preserve"> </v>
      </c>
    </row>
    <row r="1026" spans="28:40" x14ac:dyDescent="0.25">
      <c r="AB1026" s="230" t="e">
        <f>T1026-HLOOKUP(V1026,Minimas!$C$3:$CD$12,2,FALSE)</f>
        <v>#N/A</v>
      </c>
      <c r="AC1026" s="230" t="e">
        <f>T1026-HLOOKUP(V1026,Minimas!$C$3:$CD$12,3,FALSE)</f>
        <v>#N/A</v>
      </c>
      <c r="AD1026" s="230" t="e">
        <f>T1026-HLOOKUP(V1026,Minimas!$C$3:$CD$12,4,FALSE)</f>
        <v>#N/A</v>
      </c>
      <c r="AE1026" s="230" t="e">
        <f>T1026-HLOOKUP(V1026,Minimas!$C$3:$CD$12,5,FALSE)</f>
        <v>#N/A</v>
      </c>
      <c r="AF1026" s="230" t="e">
        <f>T1026-HLOOKUP(V1026,Minimas!$C$3:$CD$12,6,FALSE)</f>
        <v>#N/A</v>
      </c>
      <c r="AG1026" s="230" t="e">
        <f>T1026-HLOOKUP(V1026,Minimas!$C$3:$CD$12,7,FALSE)</f>
        <v>#N/A</v>
      </c>
      <c r="AH1026" s="230" t="e">
        <f>T1026-HLOOKUP(V1026,Minimas!$C$3:$CD$12,8,FALSE)</f>
        <v>#N/A</v>
      </c>
      <c r="AI1026" s="230" t="e">
        <f>T1026-HLOOKUP(V1026,Minimas!$C$3:$CD$12,9,FALSE)</f>
        <v>#N/A</v>
      </c>
      <c r="AJ1026" s="230" t="e">
        <f>T1026-HLOOKUP(V1026,Minimas!$C$3:$CD$12,10,FALSE)</f>
        <v>#N/A</v>
      </c>
      <c r="AK1026" s="231" t="str">
        <f t="shared" si="123"/>
        <v xml:space="preserve"> </v>
      </c>
      <c r="AL1026" s="232"/>
      <c r="AM1026" s="232" t="str">
        <f t="shared" si="124"/>
        <v xml:space="preserve"> </v>
      </c>
      <c r="AN1026" s="232" t="str">
        <f t="shared" si="125"/>
        <v xml:space="preserve"> </v>
      </c>
    </row>
    <row r="1027" spans="28:40" x14ac:dyDescent="0.25">
      <c r="AB1027" s="230" t="e">
        <f>T1027-HLOOKUP(V1027,Minimas!$C$3:$CD$12,2,FALSE)</f>
        <v>#N/A</v>
      </c>
      <c r="AC1027" s="230" t="e">
        <f>T1027-HLOOKUP(V1027,Minimas!$C$3:$CD$12,3,FALSE)</f>
        <v>#N/A</v>
      </c>
      <c r="AD1027" s="230" t="e">
        <f>T1027-HLOOKUP(V1027,Minimas!$C$3:$CD$12,4,FALSE)</f>
        <v>#N/A</v>
      </c>
      <c r="AE1027" s="230" t="e">
        <f>T1027-HLOOKUP(V1027,Minimas!$C$3:$CD$12,5,FALSE)</f>
        <v>#N/A</v>
      </c>
      <c r="AF1027" s="230" t="e">
        <f>T1027-HLOOKUP(V1027,Minimas!$C$3:$CD$12,6,FALSE)</f>
        <v>#N/A</v>
      </c>
      <c r="AG1027" s="230" t="e">
        <f>T1027-HLOOKUP(V1027,Minimas!$C$3:$CD$12,7,FALSE)</f>
        <v>#N/A</v>
      </c>
      <c r="AH1027" s="230" t="e">
        <f>T1027-HLOOKUP(V1027,Minimas!$C$3:$CD$12,8,FALSE)</f>
        <v>#N/A</v>
      </c>
      <c r="AI1027" s="230" t="e">
        <f>T1027-HLOOKUP(V1027,Minimas!$C$3:$CD$12,9,FALSE)</f>
        <v>#N/A</v>
      </c>
      <c r="AJ1027" s="230" t="e">
        <f>T1027-HLOOKUP(V1027,Minimas!$C$3:$CD$12,10,FALSE)</f>
        <v>#N/A</v>
      </c>
      <c r="AK1027" s="231" t="str">
        <f t="shared" si="123"/>
        <v xml:space="preserve"> </v>
      </c>
      <c r="AL1027" s="232"/>
      <c r="AM1027" s="232" t="str">
        <f t="shared" si="124"/>
        <v xml:space="preserve"> </v>
      </c>
      <c r="AN1027" s="232" t="str">
        <f t="shared" si="125"/>
        <v xml:space="preserve"> </v>
      </c>
    </row>
    <row r="1028" spans="28:40" x14ac:dyDescent="0.25">
      <c r="AB1028" s="230" t="e">
        <f>T1028-HLOOKUP(V1028,Minimas!$C$3:$CD$12,2,FALSE)</f>
        <v>#N/A</v>
      </c>
      <c r="AC1028" s="230" t="e">
        <f>T1028-HLOOKUP(V1028,Minimas!$C$3:$CD$12,3,FALSE)</f>
        <v>#N/A</v>
      </c>
      <c r="AD1028" s="230" t="e">
        <f>T1028-HLOOKUP(V1028,Minimas!$C$3:$CD$12,4,FALSE)</f>
        <v>#N/A</v>
      </c>
      <c r="AE1028" s="230" t="e">
        <f>T1028-HLOOKUP(V1028,Minimas!$C$3:$CD$12,5,FALSE)</f>
        <v>#N/A</v>
      </c>
      <c r="AF1028" s="230" t="e">
        <f>T1028-HLOOKUP(V1028,Minimas!$C$3:$CD$12,6,FALSE)</f>
        <v>#N/A</v>
      </c>
      <c r="AG1028" s="230" t="e">
        <f>T1028-HLOOKUP(V1028,Minimas!$C$3:$CD$12,7,FALSE)</f>
        <v>#N/A</v>
      </c>
      <c r="AH1028" s="230" t="e">
        <f>T1028-HLOOKUP(V1028,Minimas!$C$3:$CD$12,8,FALSE)</f>
        <v>#N/A</v>
      </c>
      <c r="AI1028" s="230" t="e">
        <f>T1028-HLOOKUP(V1028,Minimas!$C$3:$CD$12,9,FALSE)</f>
        <v>#N/A</v>
      </c>
      <c r="AJ1028" s="230" t="e">
        <f>T1028-HLOOKUP(V1028,Minimas!$C$3:$CD$12,10,FALSE)</f>
        <v>#N/A</v>
      </c>
      <c r="AK1028" s="231" t="str">
        <f t="shared" ref="AK1028:AK1091" si="126">IF(E1028=0," ",IF(AJ1028&gt;=0,$AJ$5,IF(AI1028&gt;=0,$AI$5,IF(AH1028&gt;=0,$AH$5,IF(AG1028&gt;=0,$AG$5,IF(AF1028&gt;=0,$AF$5,IF(AE1028&gt;=0,$AE$5,IF(AD1028&gt;=0,$AD$5,IF(AC1028&gt;=0,$AC$5,$AB$5)))))))))</f>
        <v xml:space="preserve"> </v>
      </c>
      <c r="AL1028" s="232"/>
      <c r="AM1028" s="232" t="str">
        <f t="shared" ref="AM1028:AM1091" si="127">IF(AK1028="","",AK1028)</f>
        <v xml:space="preserve"> </v>
      </c>
      <c r="AN1028" s="232" t="str">
        <f t="shared" ref="AN1028:AN1091" si="128">IF(E1028=0," ",IF(AJ1028&gt;=0,AJ1028,IF(AI1028&gt;=0,AI1028,IF(AH1028&gt;=0,AH1028,IF(AG1028&gt;=0,AG1028,IF(AF1028&gt;=0,AF1028,IF(AE1028&gt;=0,AE1028,IF(AD1028&gt;=0,AD1028,IF(AC1028&gt;=0,AC1028,AB1028)))))))))</f>
        <v xml:space="preserve"> </v>
      </c>
    </row>
    <row r="1029" spans="28:40" x14ac:dyDescent="0.25">
      <c r="AB1029" s="230" t="e">
        <f>T1029-HLOOKUP(V1029,Minimas!$C$3:$CD$12,2,FALSE)</f>
        <v>#N/A</v>
      </c>
      <c r="AC1029" s="230" t="e">
        <f>T1029-HLOOKUP(V1029,Minimas!$C$3:$CD$12,3,FALSE)</f>
        <v>#N/A</v>
      </c>
      <c r="AD1029" s="230" t="e">
        <f>T1029-HLOOKUP(V1029,Minimas!$C$3:$CD$12,4,FALSE)</f>
        <v>#N/A</v>
      </c>
      <c r="AE1029" s="230" t="e">
        <f>T1029-HLOOKUP(V1029,Minimas!$C$3:$CD$12,5,FALSE)</f>
        <v>#N/A</v>
      </c>
      <c r="AF1029" s="230" t="e">
        <f>T1029-HLOOKUP(V1029,Minimas!$C$3:$CD$12,6,FALSE)</f>
        <v>#N/A</v>
      </c>
      <c r="AG1029" s="230" t="e">
        <f>T1029-HLOOKUP(V1029,Minimas!$C$3:$CD$12,7,FALSE)</f>
        <v>#N/A</v>
      </c>
      <c r="AH1029" s="230" t="e">
        <f>T1029-HLOOKUP(V1029,Minimas!$C$3:$CD$12,8,FALSE)</f>
        <v>#N/A</v>
      </c>
      <c r="AI1029" s="230" t="e">
        <f>T1029-HLOOKUP(V1029,Minimas!$C$3:$CD$12,9,FALSE)</f>
        <v>#N/A</v>
      </c>
      <c r="AJ1029" s="230" t="e">
        <f>T1029-HLOOKUP(V1029,Minimas!$C$3:$CD$12,10,FALSE)</f>
        <v>#N/A</v>
      </c>
      <c r="AK1029" s="231" t="str">
        <f t="shared" si="126"/>
        <v xml:space="preserve"> </v>
      </c>
      <c r="AL1029" s="232"/>
      <c r="AM1029" s="232" t="str">
        <f t="shared" si="127"/>
        <v xml:space="preserve"> </v>
      </c>
      <c r="AN1029" s="232" t="str">
        <f t="shared" si="128"/>
        <v xml:space="preserve"> </v>
      </c>
    </row>
    <row r="1030" spans="28:40" x14ac:dyDescent="0.25">
      <c r="AB1030" s="230" t="e">
        <f>T1030-HLOOKUP(V1030,Minimas!$C$3:$CD$12,2,FALSE)</f>
        <v>#N/A</v>
      </c>
      <c r="AC1030" s="230" t="e">
        <f>T1030-HLOOKUP(V1030,Minimas!$C$3:$CD$12,3,FALSE)</f>
        <v>#N/A</v>
      </c>
      <c r="AD1030" s="230" t="e">
        <f>T1030-HLOOKUP(V1030,Minimas!$C$3:$CD$12,4,FALSE)</f>
        <v>#N/A</v>
      </c>
      <c r="AE1030" s="230" t="e">
        <f>T1030-HLOOKUP(V1030,Minimas!$C$3:$CD$12,5,FALSE)</f>
        <v>#N/A</v>
      </c>
      <c r="AF1030" s="230" t="e">
        <f>T1030-HLOOKUP(V1030,Minimas!$C$3:$CD$12,6,FALSE)</f>
        <v>#N/A</v>
      </c>
      <c r="AG1030" s="230" t="e">
        <f>T1030-HLOOKUP(V1030,Minimas!$C$3:$CD$12,7,FALSE)</f>
        <v>#N/A</v>
      </c>
      <c r="AH1030" s="230" t="e">
        <f>T1030-HLOOKUP(V1030,Minimas!$C$3:$CD$12,8,FALSE)</f>
        <v>#N/A</v>
      </c>
      <c r="AI1030" s="230" t="e">
        <f>T1030-HLOOKUP(V1030,Minimas!$C$3:$CD$12,9,FALSE)</f>
        <v>#N/A</v>
      </c>
      <c r="AJ1030" s="230" t="e">
        <f>T1030-HLOOKUP(V1030,Minimas!$C$3:$CD$12,10,FALSE)</f>
        <v>#N/A</v>
      </c>
      <c r="AK1030" s="231" t="str">
        <f t="shared" si="126"/>
        <v xml:space="preserve"> </v>
      </c>
      <c r="AL1030" s="232"/>
      <c r="AM1030" s="232" t="str">
        <f t="shared" si="127"/>
        <v xml:space="preserve"> </v>
      </c>
      <c r="AN1030" s="232" t="str">
        <f t="shared" si="128"/>
        <v xml:space="preserve"> </v>
      </c>
    </row>
    <row r="1031" spans="28:40" x14ac:dyDescent="0.25">
      <c r="AB1031" s="230" t="e">
        <f>T1031-HLOOKUP(V1031,Minimas!$C$3:$CD$12,2,FALSE)</f>
        <v>#N/A</v>
      </c>
      <c r="AC1031" s="230" t="e">
        <f>T1031-HLOOKUP(V1031,Minimas!$C$3:$CD$12,3,FALSE)</f>
        <v>#N/A</v>
      </c>
      <c r="AD1031" s="230" t="e">
        <f>T1031-HLOOKUP(V1031,Minimas!$C$3:$CD$12,4,FALSE)</f>
        <v>#N/A</v>
      </c>
      <c r="AE1031" s="230" t="e">
        <f>T1031-HLOOKUP(V1031,Minimas!$C$3:$CD$12,5,FALSE)</f>
        <v>#N/A</v>
      </c>
      <c r="AF1031" s="230" t="e">
        <f>T1031-HLOOKUP(V1031,Minimas!$C$3:$CD$12,6,FALSE)</f>
        <v>#N/A</v>
      </c>
      <c r="AG1031" s="230" t="e">
        <f>T1031-HLOOKUP(V1031,Minimas!$C$3:$CD$12,7,FALSE)</f>
        <v>#N/A</v>
      </c>
      <c r="AH1031" s="230" t="e">
        <f>T1031-HLOOKUP(V1031,Minimas!$C$3:$CD$12,8,FALSE)</f>
        <v>#N/A</v>
      </c>
      <c r="AI1031" s="230" t="e">
        <f>T1031-HLOOKUP(V1031,Minimas!$C$3:$CD$12,9,FALSE)</f>
        <v>#N/A</v>
      </c>
      <c r="AJ1031" s="230" t="e">
        <f>T1031-HLOOKUP(V1031,Minimas!$C$3:$CD$12,10,FALSE)</f>
        <v>#N/A</v>
      </c>
      <c r="AK1031" s="231" t="str">
        <f t="shared" si="126"/>
        <v xml:space="preserve"> </v>
      </c>
      <c r="AL1031" s="232"/>
      <c r="AM1031" s="232" t="str">
        <f t="shared" si="127"/>
        <v xml:space="preserve"> </v>
      </c>
      <c r="AN1031" s="232" t="str">
        <f t="shared" si="128"/>
        <v xml:space="preserve"> </v>
      </c>
    </row>
    <row r="1032" spans="28:40" x14ac:dyDescent="0.25">
      <c r="AB1032" s="230" t="e">
        <f>T1032-HLOOKUP(V1032,Minimas!$C$3:$CD$12,2,FALSE)</f>
        <v>#N/A</v>
      </c>
      <c r="AC1032" s="230" t="e">
        <f>T1032-HLOOKUP(V1032,Minimas!$C$3:$CD$12,3,FALSE)</f>
        <v>#N/A</v>
      </c>
      <c r="AD1032" s="230" t="e">
        <f>T1032-HLOOKUP(V1032,Minimas!$C$3:$CD$12,4,FALSE)</f>
        <v>#N/A</v>
      </c>
      <c r="AE1032" s="230" t="e">
        <f>T1032-HLOOKUP(V1032,Minimas!$C$3:$CD$12,5,FALSE)</f>
        <v>#N/A</v>
      </c>
      <c r="AF1032" s="230" t="e">
        <f>T1032-HLOOKUP(V1032,Minimas!$C$3:$CD$12,6,FALSE)</f>
        <v>#N/A</v>
      </c>
      <c r="AG1032" s="230" t="e">
        <f>T1032-HLOOKUP(V1032,Minimas!$C$3:$CD$12,7,FALSE)</f>
        <v>#N/A</v>
      </c>
      <c r="AH1032" s="230" t="e">
        <f>T1032-HLOOKUP(V1032,Minimas!$C$3:$CD$12,8,FALSE)</f>
        <v>#N/A</v>
      </c>
      <c r="AI1032" s="230" t="e">
        <f>T1032-HLOOKUP(V1032,Minimas!$C$3:$CD$12,9,FALSE)</f>
        <v>#N/A</v>
      </c>
      <c r="AJ1032" s="230" t="e">
        <f>T1032-HLOOKUP(V1032,Minimas!$C$3:$CD$12,10,FALSE)</f>
        <v>#N/A</v>
      </c>
      <c r="AK1032" s="231" t="str">
        <f t="shared" si="126"/>
        <v xml:space="preserve"> </v>
      </c>
      <c r="AL1032" s="232"/>
      <c r="AM1032" s="232" t="str">
        <f t="shared" si="127"/>
        <v xml:space="preserve"> </v>
      </c>
      <c r="AN1032" s="232" t="str">
        <f t="shared" si="128"/>
        <v xml:space="preserve"> </v>
      </c>
    </row>
    <row r="1033" spans="28:40" x14ac:dyDescent="0.25">
      <c r="AB1033" s="230" t="e">
        <f>T1033-HLOOKUP(V1033,Minimas!$C$3:$CD$12,2,FALSE)</f>
        <v>#N/A</v>
      </c>
      <c r="AC1033" s="230" t="e">
        <f>T1033-HLOOKUP(V1033,Minimas!$C$3:$CD$12,3,FALSE)</f>
        <v>#N/A</v>
      </c>
      <c r="AD1033" s="230" t="e">
        <f>T1033-HLOOKUP(V1033,Minimas!$C$3:$CD$12,4,FALSE)</f>
        <v>#N/A</v>
      </c>
      <c r="AE1033" s="230" t="e">
        <f>T1033-HLOOKUP(V1033,Minimas!$C$3:$CD$12,5,FALSE)</f>
        <v>#N/A</v>
      </c>
      <c r="AF1033" s="230" t="e">
        <f>T1033-HLOOKUP(V1033,Minimas!$C$3:$CD$12,6,FALSE)</f>
        <v>#N/A</v>
      </c>
      <c r="AG1033" s="230" t="e">
        <f>T1033-HLOOKUP(V1033,Minimas!$C$3:$CD$12,7,FALSE)</f>
        <v>#N/A</v>
      </c>
      <c r="AH1033" s="230" t="e">
        <f>T1033-HLOOKUP(V1033,Minimas!$C$3:$CD$12,8,FALSE)</f>
        <v>#N/A</v>
      </c>
      <c r="AI1033" s="230" t="e">
        <f>T1033-HLOOKUP(V1033,Minimas!$C$3:$CD$12,9,FALSE)</f>
        <v>#N/A</v>
      </c>
      <c r="AJ1033" s="230" t="e">
        <f>T1033-HLOOKUP(V1033,Minimas!$C$3:$CD$12,10,FALSE)</f>
        <v>#N/A</v>
      </c>
      <c r="AK1033" s="231" t="str">
        <f t="shared" si="126"/>
        <v xml:space="preserve"> </v>
      </c>
      <c r="AL1033" s="232"/>
      <c r="AM1033" s="232" t="str">
        <f t="shared" si="127"/>
        <v xml:space="preserve"> </v>
      </c>
      <c r="AN1033" s="232" t="str">
        <f t="shared" si="128"/>
        <v xml:space="preserve"> </v>
      </c>
    </row>
    <row r="1034" spans="28:40" x14ac:dyDescent="0.25">
      <c r="AB1034" s="230" t="e">
        <f>T1034-HLOOKUP(V1034,Minimas!$C$3:$CD$12,2,FALSE)</f>
        <v>#N/A</v>
      </c>
      <c r="AC1034" s="230" t="e">
        <f>T1034-HLOOKUP(V1034,Minimas!$C$3:$CD$12,3,FALSE)</f>
        <v>#N/A</v>
      </c>
      <c r="AD1034" s="230" t="e">
        <f>T1034-HLOOKUP(V1034,Minimas!$C$3:$CD$12,4,FALSE)</f>
        <v>#N/A</v>
      </c>
      <c r="AE1034" s="230" t="e">
        <f>T1034-HLOOKUP(V1034,Minimas!$C$3:$CD$12,5,FALSE)</f>
        <v>#N/A</v>
      </c>
      <c r="AF1034" s="230" t="e">
        <f>T1034-HLOOKUP(V1034,Minimas!$C$3:$CD$12,6,FALSE)</f>
        <v>#N/A</v>
      </c>
      <c r="AG1034" s="230" t="e">
        <f>T1034-HLOOKUP(V1034,Minimas!$C$3:$CD$12,7,FALSE)</f>
        <v>#N/A</v>
      </c>
      <c r="AH1034" s="230" t="e">
        <f>T1034-HLOOKUP(V1034,Minimas!$C$3:$CD$12,8,FALSE)</f>
        <v>#N/A</v>
      </c>
      <c r="AI1034" s="230" t="e">
        <f>T1034-HLOOKUP(V1034,Minimas!$C$3:$CD$12,9,FALSE)</f>
        <v>#N/A</v>
      </c>
      <c r="AJ1034" s="230" t="e">
        <f>T1034-HLOOKUP(V1034,Minimas!$C$3:$CD$12,10,FALSE)</f>
        <v>#N/A</v>
      </c>
      <c r="AK1034" s="231" t="str">
        <f t="shared" si="126"/>
        <v xml:space="preserve"> </v>
      </c>
      <c r="AL1034" s="232"/>
      <c r="AM1034" s="232" t="str">
        <f t="shared" si="127"/>
        <v xml:space="preserve"> </v>
      </c>
      <c r="AN1034" s="232" t="str">
        <f t="shared" si="128"/>
        <v xml:space="preserve"> </v>
      </c>
    </row>
    <row r="1035" spans="28:40" x14ac:dyDescent="0.25">
      <c r="AB1035" s="230" t="e">
        <f>T1035-HLOOKUP(V1035,Minimas!$C$3:$CD$12,2,FALSE)</f>
        <v>#N/A</v>
      </c>
      <c r="AC1035" s="230" t="e">
        <f>T1035-HLOOKUP(V1035,Minimas!$C$3:$CD$12,3,FALSE)</f>
        <v>#N/A</v>
      </c>
      <c r="AD1035" s="230" t="e">
        <f>T1035-HLOOKUP(V1035,Minimas!$C$3:$CD$12,4,FALSE)</f>
        <v>#N/A</v>
      </c>
      <c r="AE1035" s="230" t="e">
        <f>T1035-HLOOKUP(V1035,Minimas!$C$3:$CD$12,5,FALSE)</f>
        <v>#N/A</v>
      </c>
      <c r="AF1035" s="230" t="e">
        <f>T1035-HLOOKUP(V1035,Minimas!$C$3:$CD$12,6,FALSE)</f>
        <v>#N/A</v>
      </c>
      <c r="AG1035" s="230" t="e">
        <f>T1035-HLOOKUP(V1035,Minimas!$C$3:$CD$12,7,FALSE)</f>
        <v>#N/A</v>
      </c>
      <c r="AH1035" s="230" t="e">
        <f>T1035-HLOOKUP(V1035,Minimas!$C$3:$CD$12,8,FALSE)</f>
        <v>#N/A</v>
      </c>
      <c r="AI1035" s="230" t="e">
        <f>T1035-HLOOKUP(V1035,Minimas!$C$3:$CD$12,9,FALSE)</f>
        <v>#N/A</v>
      </c>
      <c r="AJ1035" s="230" t="e">
        <f>T1035-HLOOKUP(V1035,Minimas!$C$3:$CD$12,10,FALSE)</f>
        <v>#N/A</v>
      </c>
      <c r="AK1035" s="231" t="str">
        <f t="shared" si="126"/>
        <v xml:space="preserve"> </v>
      </c>
      <c r="AL1035" s="232"/>
      <c r="AM1035" s="232" t="str">
        <f t="shared" si="127"/>
        <v xml:space="preserve"> </v>
      </c>
      <c r="AN1035" s="232" t="str">
        <f t="shared" si="128"/>
        <v xml:space="preserve"> </v>
      </c>
    </row>
    <row r="1036" spans="28:40" x14ac:dyDescent="0.25">
      <c r="AB1036" s="230" t="e">
        <f>T1036-HLOOKUP(V1036,Minimas!$C$3:$CD$12,2,FALSE)</f>
        <v>#N/A</v>
      </c>
      <c r="AC1036" s="230" t="e">
        <f>T1036-HLOOKUP(V1036,Minimas!$C$3:$CD$12,3,FALSE)</f>
        <v>#N/A</v>
      </c>
      <c r="AD1036" s="230" t="e">
        <f>T1036-HLOOKUP(V1036,Minimas!$C$3:$CD$12,4,FALSE)</f>
        <v>#N/A</v>
      </c>
      <c r="AE1036" s="230" t="e">
        <f>T1036-HLOOKUP(V1036,Minimas!$C$3:$CD$12,5,FALSE)</f>
        <v>#N/A</v>
      </c>
      <c r="AF1036" s="230" t="e">
        <f>T1036-HLOOKUP(V1036,Minimas!$C$3:$CD$12,6,FALSE)</f>
        <v>#N/A</v>
      </c>
      <c r="AG1036" s="230" t="e">
        <f>T1036-HLOOKUP(V1036,Minimas!$C$3:$CD$12,7,FALSE)</f>
        <v>#N/A</v>
      </c>
      <c r="AH1036" s="230" t="e">
        <f>T1036-HLOOKUP(V1036,Minimas!$C$3:$CD$12,8,FALSE)</f>
        <v>#N/A</v>
      </c>
      <c r="AI1036" s="230" t="e">
        <f>T1036-HLOOKUP(V1036,Minimas!$C$3:$CD$12,9,FALSE)</f>
        <v>#N/A</v>
      </c>
      <c r="AJ1036" s="230" t="e">
        <f>T1036-HLOOKUP(V1036,Minimas!$C$3:$CD$12,10,FALSE)</f>
        <v>#N/A</v>
      </c>
      <c r="AK1036" s="231" t="str">
        <f t="shared" si="126"/>
        <v xml:space="preserve"> </v>
      </c>
      <c r="AL1036" s="232"/>
      <c r="AM1036" s="232" t="str">
        <f t="shared" si="127"/>
        <v xml:space="preserve"> </v>
      </c>
      <c r="AN1036" s="232" t="str">
        <f t="shared" si="128"/>
        <v xml:space="preserve"> </v>
      </c>
    </row>
    <row r="1037" spans="28:40" x14ac:dyDescent="0.25">
      <c r="AB1037" s="230" t="e">
        <f>T1037-HLOOKUP(V1037,Minimas!$C$3:$CD$12,2,FALSE)</f>
        <v>#N/A</v>
      </c>
      <c r="AC1037" s="230" t="e">
        <f>T1037-HLOOKUP(V1037,Minimas!$C$3:$CD$12,3,FALSE)</f>
        <v>#N/A</v>
      </c>
      <c r="AD1037" s="230" t="e">
        <f>T1037-HLOOKUP(V1037,Minimas!$C$3:$CD$12,4,FALSE)</f>
        <v>#N/A</v>
      </c>
      <c r="AE1037" s="230" t="e">
        <f>T1037-HLOOKUP(V1037,Minimas!$C$3:$CD$12,5,FALSE)</f>
        <v>#N/A</v>
      </c>
      <c r="AF1037" s="230" t="e">
        <f>T1037-HLOOKUP(V1037,Minimas!$C$3:$CD$12,6,FALSE)</f>
        <v>#N/A</v>
      </c>
      <c r="AG1037" s="230" t="e">
        <f>T1037-HLOOKUP(V1037,Minimas!$C$3:$CD$12,7,FALSE)</f>
        <v>#N/A</v>
      </c>
      <c r="AH1037" s="230" t="e">
        <f>T1037-HLOOKUP(V1037,Minimas!$C$3:$CD$12,8,FALSE)</f>
        <v>#N/A</v>
      </c>
      <c r="AI1037" s="230" t="e">
        <f>T1037-HLOOKUP(V1037,Minimas!$C$3:$CD$12,9,FALSE)</f>
        <v>#N/A</v>
      </c>
      <c r="AJ1037" s="230" t="e">
        <f>T1037-HLOOKUP(V1037,Minimas!$C$3:$CD$12,10,FALSE)</f>
        <v>#N/A</v>
      </c>
      <c r="AK1037" s="231" t="str">
        <f t="shared" si="126"/>
        <v xml:space="preserve"> </v>
      </c>
      <c r="AL1037" s="232"/>
      <c r="AM1037" s="232" t="str">
        <f t="shared" si="127"/>
        <v xml:space="preserve"> </v>
      </c>
      <c r="AN1037" s="232" t="str">
        <f t="shared" si="128"/>
        <v xml:space="preserve"> </v>
      </c>
    </row>
    <row r="1038" spans="28:40" x14ac:dyDescent="0.25">
      <c r="AB1038" s="230" t="e">
        <f>T1038-HLOOKUP(V1038,Minimas!$C$3:$CD$12,2,FALSE)</f>
        <v>#N/A</v>
      </c>
      <c r="AC1038" s="230" t="e">
        <f>T1038-HLOOKUP(V1038,Minimas!$C$3:$CD$12,3,FALSE)</f>
        <v>#N/A</v>
      </c>
      <c r="AD1038" s="230" t="e">
        <f>T1038-HLOOKUP(V1038,Minimas!$C$3:$CD$12,4,FALSE)</f>
        <v>#N/A</v>
      </c>
      <c r="AE1038" s="230" t="e">
        <f>T1038-HLOOKUP(V1038,Minimas!$C$3:$CD$12,5,FALSE)</f>
        <v>#N/A</v>
      </c>
      <c r="AF1038" s="230" t="e">
        <f>T1038-HLOOKUP(V1038,Minimas!$C$3:$CD$12,6,FALSE)</f>
        <v>#N/A</v>
      </c>
      <c r="AG1038" s="230" t="e">
        <f>T1038-HLOOKUP(V1038,Minimas!$C$3:$CD$12,7,FALSE)</f>
        <v>#N/A</v>
      </c>
      <c r="AH1038" s="230" t="e">
        <f>T1038-HLOOKUP(V1038,Minimas!$C$3:$CD$12,8,FALSE)</f>
        <v>#N/A</v>
      </c>
      <c r="AI1038" s="230" t="e">
        <f>T1038-HLOOKUP(V1038,Minimas!$C$3:$CD$12,9,FALSE)</f>
        <v>#N/A</v>
      </c>
      <c r="AJ1038" s="230" t="e">
        <f>T1038-HLOOKUP(V1038,Minimas!$C$3:$CD$12,10,FALSE)</f>
        <v>#N/A</v>
      </c>
      <c r="AK1038" s="231" t="str">
        <f t="shared" si="126"/>
        <v xml:space="preserve"> </v>
      </c>
      <c r="AL1038" s="232"/>
      <c r="AM1038" s="232" t="str">
        <f t="shared" si="127"/>
        <v xml:space="preserve"> </v>
      </c>
      <c r="AN1038" s="232" t="str">
        <f t="shared" si="128"/>
        <v xml:space="preserve"> </v>
      </c>
    </row>
    <row r="1039" spans="28:40" x14ac:dyDescent="0.25">
      <c r="AB1039" s="230" t="e">
        <f>T1039-HLOOKUP(V1039,Minimas!$C$3:$CD$12,2,FALSE)</f>
        <v>#N/A</v>
      </c>
      <c r="AC1039" s="230" t="e">
        <f>T1039-HLOOKUP(V1039,Minimas!$C$3:$CD$12,3,FALSE)</f>
        <v>#N/A</v>
      </c>
      <c r="AD1039" s="230" t="e">
        <f>T1039-HLOOKUP(V1039,Minimas!$C$3:$CD$12,4,FALSE)</f>
        <v>#N/A</v>
      </c>
      <c r="AE1039" s="230" t="e">
        <f>T1039-HLOOKUP(V1039,Minimas!$C$3:$CD$12,5,FALSE)</f>
        <v>#N/A</v>
      </c>
      <c r="AF1039" s="230" t="e">
        <f>T1039-HLOOKUP(V1039,Minimas!$C$3:$CD$12,6,FALSE)</f>
        <v>#N/A</v>
      </c>
      <c r="AG1039" s="230" t="e">
        <f>T1039-HLOOKUP(V1039,Minimas!$C$3:$CD$12,7,FALSE)</f>
        <v>#N/A</v>
      </c>
      <c r="AH1039" s="230" t="e">
        <f>T1039-HLOOKUP(V1039,Minimas!$C$3:$CD$12,8,FALSE)</f>
        <v>#N/A</v>
      </c>
      <c r="AI1039" s="230" t="e">
        <f>T1039-HLOOKUP(V1039,Minimas!$C$3:$CD$12,9,FALSE)</f>
        <v>#N/A</v>
      </c>
      <c r="AJ1039" s="230" t="e">
        <f>T1039-HLOOKUP(V1039,Minimas!$C$3:$CD$12,10,FALSE)</f>
        <v>#N/A</v>
      </c>
      <c r="AK1039" s="231" t="str">
        <f t="shared" si="126"/>
        <v xml:space="preserve"> </v>
      </c>
      <c r="AL1039" s="232"/>
      <c r="AM1039" s="232" t="str">
        <f t="shared" si="127"/>
        <v xml:space="preserve"> </v>
      </c>
      <c r="AN1039" s="232" t="str">
        <f t="shared" si="128"/>
        <v xml:space="preserve"> </v>
      </c>
    </row>
    <row r="1040" spans="28:40" x14ac:dyDescent="0.25">
      <c r="AB1040" s="230" t="e">
        <f>T1040-HLOOKUP(V1040,Minimas!$C$3:$CD$12,2,FALSE)</f>
        <v>#N/A</v>
      </c>
      <c r="AC1040" s="230" t="e">
        <f>T1040-HLOOKUP(V1040,Minimas!$C$3:$CD$12,3,FALSE)</f>
        <v>#N/A</v>
      </c>
      <c r="AD1040" s="230" t="e">
        <f>T1040-HLOOKUP(V1040,Minimas!$C$3:$CD$12,4,FALSE)</f>
        <v>#N/A</v>
      </c>
      <c r="AE1040" s="230" t="e">
        <f>T1040-HLOOKUP(V1040,Minimas!$C$3:$CD$12,5,FALSE)</f>
        <v>#N/A</v>
      </c>
      <c r="AF1040" s="230" t="e">
        <f>T1040-HLOOKUP(V1040,Minimas!$C$3:$CD$12,6,FALSE)</f>
        <v>#N/A</v>
      </c>
      <c r="AG1040" s="230" t="e">
        <f>T1040-HLOOKUP(V1040,Minimas!$C$3:$CD$12,7,FALSE)</f>
        <v>#N/A</v>
      </c>
      <c r="AH1040" s="230" t="e">
        <f>T1040-HLOOKUP(V1040,Minimas!$C$3:$CD$12,8,FALSE)</f>
        <v>#N/A</v>
      </c>
      <c r="AI1040" s="230" t="e">
        <f>T1040-HLOOKUP(V1040,Minimas!$C$3:$CD$12,9,FALSE)</f>
        <v>#N/A</v>
      </c>
      <c r="AJ1040" s="230" t="e">
        <f>T1040-HLOOKUP(V1040,Minimas!$C$3:$CD$12,10,FALSE)</f>
        <v>#N/A</v>
      </c>
      <c r="AK1040" s="231" t="str">
        <f t="shared" si="126"/>
        <v xml:space="preserve"> </v>
      </c>
      <c r="AL1040" s="232"/>
      <c r="AM1040" s="232" t="str">
        <f t="shared" si="127"/>
        <v xml:space="preserve"> </v>
      </c>
      <c r="AN1040" s="232" t="str">
        <f t="shared" si="128"/>
        <v xml:space="preserve"> </v>
      </c>
    </row>
    <row r="1041" spans="28:40" x14ac:dyDescent="0.25">
      <c r="AB1041" s="230" t="e">
        <f>T1041-HLOOKUP(V1041,Minimas!$C$3:$CD$12,2,FALSE)</f>
        <v>#N/A</v>
      </c>
      <c r="AC1041" s="230" t="e">
        <f>T1041-HLOOKUP(V1041,Minimas!$C$3:$CD$12,3,FALSE)</f>
        <v>#N/A</v>
      </c>
      <c r="AD1041" s="230" t="e">
        <f>T1041-HLOOKUP(V1041,Minimas!$C$3:$CD$12,4,FALSE)</f>
        <v>#N/A</v>
      </c>
      <c r="AE1041" s="230" t="e">
        <f>T1041-HLOOKUP(V1041,Minimas!$C$3:$CD$12,5,FALSE)</f>
        <v>#N/A</v>
      </c>
      <c r="AF1041" s="230" t="e">
        <f>T1041-HLOOKUP(V1041,Minimas!$C$3:$CD$12,6,FALSE)</f>
        <v>#N/A</v>
      </c>
      <c r="AG1041" s="230" t="e">
        <f>T1041-HLOOKUP(V1041,Minimas!$C$3:$CD$12,7,FALSE)</f>
        <v>#N/A</v>
      </c>
      <c r="AH1041" s="230" t="e">
        <f>T1041-HLOOKUP(V1041,Minimas!$C$3:$CD$12,8,FALSE)</f>
        <v>#N/A</v>
      </c>
      <c r="AI1041" s="230" t="e">
        <f>T1041-HLOOKUP(V1041,Minimas!$C$3:$CD$12,9,FALSE)</f>
        <v>#N/A</v>
      </c>
      <c r="AJ1041" s="230" t="e">
        <f>T1041-HLOOKUP(V1041,Minimas!$C$3:$CD$12,10,FALSE)</f>
        <v>#N/A</v>
      </c>
      <c r="AK1041" s="231" t="str">
        <f t="shared" si="126"/>
        <v xml:space="preserve"> </v>
      </c>
      <c r="AL1041" s="232"/>
      <c r="AM1041" s="232" t="str">
        <f t="shared" si="127"/>
        <v xml:space="preserve"> </v>
      </c>
      <c r="AN1041" s="232" t="str">
        <f t="shared" si="128"/>
        <v xml:space="preserve"> </v>
      </c>
    </row>
    <row r="1042" spans="28:40" x14ac:dyDescent="0.25">
      <c r="AB1042" s="230" t="e">
        <f>T1042-HLOOKUP(V1042,Minimas!$C$3:$CD$12,2,FALSE)</f>
        <v>#N/A</v>
      </c>
      <c r="AC1042" s="230" t="e">
        <f>T1042-HLOOKUP(V1042,Minimas!$C$3:$CD$12,3,FALSE)</f>
        <v>#N/A</v>
      </c>
      <c r="AD1042" s="230" t="e">
        <f>T1042-HLOOKUP(V1042,Minimas!$C$3:$CD$12,4,FALSE)</f>
        <v>#N/A</v>
      </c>
      <c r="AE1042" s="230" t="e">
        <f>T1042-HLOOKUP(V1042,Minimas!$C$3:$CD$12,5,FALSE)</f>
        <v>#N/A</v>
      </c>
      <c r="AF1042" s="230" t="e">
        <f>T1042-HLOOKUP(V1042,Minimas!$C$3:$CD$12,6,FALSE)</f>
        <v>#N/A</v>
      </c>
      <c r="AG1042" s="230" t="e">
        <f>T1042-HLOOKUP(V1042,Minimas!$C$3:$CD$12,7,FALSE)</f>
        <v>#N/A</v>
      </c>
      <c r="AH1042" s="230" t="e">
        <f>T1042-HLOOKUP(V1042,Minimas!$C$3:$CD$12,8,FALSE)</f>
        <v>#N/A</v>
      </c>
      <c r="AI1042" s="230" t="e">
        <f>T1042-HLOOKUP(V1042,Minimas!$C$3:$CD$12,9,FALSE)</f>
        <v>#N/A</v>
      </c>
      <c r="AJ1042" s="230" t="e">
        <f>T1042-HLOOKUP(V1042,Minimas!$C$3:$CD$12,10,FALSE)</f>
        <v>#N/A</v>
      </c>
      <c r="AK1042" s="231" t="str">
        <f t="shared" si="126"/>
        <v xml:space="preserve"> </v>
      </c>
      <c r="AL1042" s="232"/>
      <c r="AM1042" s="232" t="str">
        <f t="shared" si="127"/>
        <v xml:space="preserve"> </v>
      </c>
      <c r="AN1042" s="232" t="str">
        <f t="shared" si="128"/>
        <v xml:space="preserve"> </v>
      </c>
    </row>
    <row r="1043" spans="28:40" x14ac:dyDescent="0.25">
      <c r="AB1043" s="230" t="e">
        <f>T1043-HLOOKUP(V1043,Minimas!$C$3:$CD$12,2,FALSE)</f>
        <v>#N/A</v>
      </c>
      <c r="AC1043" s="230" t="e">
        <f>T1043-HLOOKUP(V1043,Minimas!$C$3:$CD$12,3,FALSE)</f>
        <v>#N/A</v>
      </c>
      <c r="AD1043" s="230" t="e">
        <f>T1043-HLOOKUP(V1043,Minimas!$C$3:$CD$12,4,FALSE)</f>
        <v>#N/A</v>
      </c>
      <c r="AE1043" s="230" t="e">
        <f>T1043-HLOOKUP(V1043,Minimas!$C$3:$CD$12,5,FALSE)</f>
        <v>#N/A</v>
      </c>
      <c r="AF1043" s="230" t="e">
        <f>T1043-HLOOKUP(V1043,Minimas!$C$3:$CD$12,6,FALSE)</f>
        <v>#N/A</v>
      </c>
      <c r="AG1043" s="230" t="e">
        <f>T1043-HLOOKUP(V1043,Minimas!$C$3:$CD$12,7,FALSE)</f>
        <v>#N/A</v>
      </c>
      <c r="AH1043" s="230" t="e">
        <f>T1043-HLOOKUP(V1043,Minimas!$C$3:$CD$12,8,FALSE)</f>
        <v>#N/A</v>
      </c>
      <c r="AI1043" s="230" t="e">
        <f>T1043-HLOOKUP(V1043,Minimas!$C$3:$CD$12,9,FALSE)</f>
        <v>#N/A</v>
      </c>
      <c r="AJ1043" s="230" t="e">
        <f>T1043-HLOOKUP(V1043,Minimas!$C$3:$CD$12,10,FALSE)</f>
        <v>#N/A</v>
      </c>
      <c r="AK1043" s="231" t="str">
        <f t="shared" si="126"/>
        <v xml:space="preserve"> </v>
      </c>
      <c r="AL1043" s="232"/>
      <c r="AM1043" s="232" t="str">
        <f t="shared" si="127"/>
        <v xml:space="preserve"> </v>
      </c>
      <c r="AN1043" s="232" t="str">
        <f t="shared" si="128"/>
        <v xml:space="preserve"> </v>
      </c>
    </row>
    <row r="1044" spans="28:40" x14ac:dyDescent="0.25">
      <c r="AB1044" s="230" t="e">
        <f>T1044-HLOOKUP(V1044,Minimas!$C$3:$CD$12,2,FALSE)</f>
        <v>#N/A</v>
      </c>
      <c r="AC1044" s="230" t="e">
        <f>T1044-HLOOKUP(V1044,Minimas!$C$3:$CD$12,3,FALSE)</f>
        <v>#N/A</v>
      </c>
      <c r="AD1044" s="230" t="e">
        <f>T1044-HLOOKUP(V1044,Minimas!$C$3:$CD$12,4,FALSE)</f>
        <v>#N/A</v>
      </c>
      <c r="AE1044" s="230" t="e">
        <f>T1044-HLOOKUP(V1044,Minimas!$C$3:$CD$12,5,FALSE)</f>
        <v>#N/A</v>
      </c>
      <c r="AF1044" s="230" t="e">
        <f>T1044-HLOOKUP(V1044,Minimas!$C$3:$CD$12,6,FALSE)</f>
        <v>#N/A</v>
      </c>
      <c r="AG1044" s="230" t="e">
        <f>T1044-HLOOKUP(V1044,Minimas!$C$3:$CD$12,7,FALSE)</f>
        <v>#N/A</v>
      </c>
      <c r="AH1044" s="230" t="e">
        <f>T1044-HLOOKUP(V1044,Minimas!$C$3:$CD$12,8,FALSE)</f>
        <v>#N/A</v>
      </c>
      <c r="AI1044" s="230" t="e">
        <f>T1044-HLOOKUP(V1044,Minimas!$C$3:$CD$12,9,FALSE)</f>
        <v>#N/A</v>
      </c>
      <c r="AJ1044" s="230" t="e">
        <f>T1044-HLOOKUP(V1044,Minimas!$C$3:$CD$12,10,FALSE)</f>
        <v>#N/A</v>
      </c>
      <c r="AK1044" s="231" t="str">
        <f t="shared" si="126"/>
        <v xml:space="preserve"> </v>
      </c>
      <c r="AL1044" s="232"/>
      <c r="AM1044" s="232" t="str">
        <f t="shared" si="127"/>
        <v xml:space="preserve"> </v>
      </c>
      <c r="AN1044" s="232" t="str">
        <f t="shared" si="128"/>
        <v xml:space="preserve"> </v>
      </c>
    </row>
    <row r="1045" spans="28:40" x14ac:dyDescent="0.25">
      <c r="AB1045" s="230" t="e">
        <f>T1045-HLOOKUP(V1045,Minimas!$C$3:$CD$12,2,FALSE)</f>
        <v>#N/A</v>
      </c>
      <c r="AC1045" s="230" t="e">
        <f>T1045-HLOOKUP(V1045,Minimas!$C$3:$CD$12,3,FALSE)</f>
        <v>#N/A</v>
      </c>
      <c r="AD1045" s="230" t="e">
        <f>T1045-HLOOKUP(V1045,Minimas!$C$3:$CD$12,4,FALSE)</f>
        <v>#N/A</v>
      </c>
      <c r="AE1045" s="230" t="e">
        <f>T1045-HLOOKUP(V1045,Minimas!$C$3:$CD$12,5,FALSE)</f>
        <v>#N/A</v>
      </c>
      <c r="AF1045" s="230" t="e">
        <f>T1045-HLOOKUP(V1045,Minimas!$C$3:$CD$12,6,FALSE)</f>
        <v>#N/A</v>
      </c>
      <c r="AG1045" s="230" t="e">
        <f>T1045-HLOOKUP(V1045,Minimas!$C$3:$CD$12,7,FALSE)</f>
        <v>#N/A</v>
      </c>
      <c r="AH1045" s="230" t="e">
        <f>T1045-HLOOKUP(V1045,Minimas!$C$3:$CD$12,8,FALSE)</f>
        <v>#N/A</v>
      </c>
      <c r="AI1045" s="230" t="e">
        <f>T1045-HLOOKUP(V1045,Minimas!$C$3:$CD$12,9,FALSE)</f>
        <v>#N/A</v>
      </c>
      <c r="AJ1045" s="230" t="e">
        <f>T1045-HLOOKUP(V1045,Minimas!$C$3:$CD$12,10,FALSE)</f>
        <v>#N/A</v>
      </c>
      <c r="AK1045" s="231" t="str">
        <f t="shared" si="126"/>
        <v xml:space="preserve"> </v>
      </c>
      <c r="AL1045" s="232"/>
      <c r="AM1045" s="232" t="str">
        <f t="shared" si="127"/>
        <v xml:space="preserve"> </v>
      </c>
      <c r="AN1045" s="232" t="str">
        <f t="shared" si="128"/>
        <v xml:space="preserve"> </v>
      </c>
    </row>
    <row r="1046" spans="28:40" x14ac:dyDescent="0.25">
      <c r="AB1046" s="230" t="e">
        <f>T1046-HLOOKUP(V1046,Minimas!$C$3:$CD$12,2,FALSE)</f>
        <v>#N/A</v>
      </c>
      <c r="AC1046" s="230" t="e">
        <f>T1046-HLOOKUP(V1046,Minimas!$C$3:$CD$12,3,FALSE)</f>
        <v>#N/A</v>
      </c>
      <c r="AD1046" s="230" t="e">
        <f>T1046-HLOOKUP(V1046,Minimas!$C$3:$CD$12,4,FALSE)</f>
        <v>#N/A</v>
      </c>
      <c r="AE1046" s="230" t="e">
        <f>T1046-HLOOKUP(V1046,Minimas!$C$3:$CD$12,5,FALSE)</f>
        <v>#N/A</v>
      </c>
      <c r="AF1046" s="230" t="e">
        <f>T1046-HLOOKUP(V1046,Minimas!$C$3:$CD$12,6,FALSE)</f>
        <v>#N/A</v>
      </c>
      <c r="AG1046" s="230" t="e">
        <f>T1046-HLOOKUP(V1046,Minimas!$C$3:$CD$12,7,FALSE)</f>
        <v>#N/A</v>
      </c>
      <c r="AH1046" s="230" t="e">
        <f>T1046-HLOOKUP(V1046,Minimas!$C$3:$CD$12,8,FALSE)</f>
        <v>#N/A</v>
      </c>
      <c r="AI1046" s="230" t="e">
        <f>T1046-HLOOKUP(V1046,Minimas!$C$3:$CD$12,9,FALSE)</f>
        <v>#N/A</v>
      </c>
      <c r="AJ1046" s="230" t="e">
        <f>T1046-HLOOKUP(V1046,Minimas!$C$3:$CD$12,10,FALSE)</f>
        <v>#N/A</v>
      </c>
      <c r="AK1046" s="231" t="str">
        <f t="shared" si="126"/>
        <v xml:space="preserve"> </v>
      </c>
      <c r="AL1046" s="232"/>
      <c r="AM1046" s="232" t="str">
        <f t="shared" si="127"/>
        <v xml:space="preserve"> </v>
      </c>
      <c r="AN1046" s="232" t="str">
        <f t="shared" si="128"/>
        <v xml:space="preserve"> </v>
      </c>
    </row>
    <row r="1047" spans="28:40" x14ac:dyDescent="0.25">
      <c r="AB1047" s="230" t="e">
        <f>T1047-HLOOKUP(V1047,Minimas!$C$3:$CD$12,2,FALSE)</f>
        <v>#N/A</v>
      </c>
      <c r="AC1047" s="230" t="e">
        <f>T1047-HLOOKUP(V1047,Minimas!$C$3:$CD$12,3,FALSE)</f>
        <v>#N/A</v>
      </c>
      <c r="AD1047" s="230" t="e">
        <f>T1047-HLOOKUP(V1047,Minimas!$C$3:$CD$12,4,FALSE)</f>
        <v>#N/A</v>
      </c>
      <c r="AE1047" s="230" t="e">
        <f>T1047-HLOOKUP(V1047,Minimas!$C$3:$CD$12,5,FALSE)</f>
        <v>#N/A</v>
      </c>
      <c r="AF1047" s="230" t="e">
        <f>T1047-HLOOKUP(V1047,Minimas!$C$3:$CD$12,6,FALSE)</f>
        <v>#N/A</v>
      </c>
      <c r="AG1047" s="230" t="e">
        <f>T1047-HLOOKUP(V1047,Minimas!$C$3:$CD$12,7,FALSE)</f>
        <v>#N/A</v>
      </c>
      <c r="AH1047" s="230" t="e">
        <f>T1047-HLOOKUP(V1047,Minimas!$C$3:$CD$12,8,FALSE)</f>
        <v>#N/A</v>
      </c>
      <c r="AI1047" s="230" t="e">
        <f>T1047-HLOOKUP(V1047,Minimas!$C$3:$CD$12,9,FALSE)</f>
        <v>#N/A</v>
      </c>
      <c r="AJ1047" s="230" t="e">
        <f>T1047-HLOOKUP(V1047,Minimas!$C$3:$CD$12,10,FALSE)</f>
        <v>#N/A</v>
      </c>
      <c r="AK1047" s="231" t="str">
        <f t="shared" si="126"/>
        <v xml:space="preserve"> </v>
      </c>
      <c r="AL1047" s="232"/>
      <c r="AM1047" s="232" t="str">
        <f t="shared" si="127"/>
        <v xml:space="preserve"> </v>
      </c>
      <c r="AN1047" s="232" t="str">
        <f t="shared" si="128"/>
        <v xml:space="preserve"> </v>
      </c>
    </row>
    <row r="1048" spans="28:40" x14ac:dyDescent="0.25">
      <c r="AB1048" s="230" t="e">
        <f>T1048-HLOOKUP(V1048,Minimas!$C$3:$CD$12,2,FALSE)</f>
        <v>#N/A</v>
      </c>
      <c r="AC1048" s="230" t="e">
        <f>T1048-HLOOKUP(V1048,Minimas!$C$3:$CD$12,3,FALSE)</f>
        <v>#N/A</v>
      </c>
      <c r="AD1048" s="230" t="e">
        <f>T1048-HLOOKUP(V1048,Minimas!$C$3:$CD$12,4,FALSE)</f>
        <v>#N/A</v>
      </c>
      <c r="AE1048" s="230" t="e">
        <f>T1048-HLOOKUP(V1048,Minimas!$C$3:$CD$12,5,FALSE)</f>
        <v>#N/A</v>
      </c>
      <c r="AF1048" s="230" t="e">
        <f>T1048-HLOOKUP(V1048,Minimas!$C$3:$CD$12,6,FALSE)</f>
        <v>#N/A</v>
      </c>
      <c r="AG1048" s="230" t="e">
        <f>T1048-HLOOKUP(V1048,Minimas!$C$3:$CD$12,7,FALSE)</f>
        <v>#N/A</v>
      </c>
      <c r="AH1048" s="230" t="e">
        <f>T1048-HLOOKUP(V1048,Minimas!$C$3:$CD$12,8,FALSE)</f>
        <v>#N/A</v>
      </c>
      <c r="AI1048" s="230" t="e">
        <f>T1048-HLOOKUP(V1048,Minimas!$C$3:$CD$12,9,FALSE)</f>
        <v>#N/A</v>
      </c>
      <c r="AJ1048" s="230" t="e">
        <f>T1048-HLOOKUP(V1048,Minimas!$C$3:$CD$12,10,FALSE)</f>
        <v>#N/A</v>
      </c>
      <c r="AK1048" s="231" t="str">
        <f t="shared" si="126"/>
        <v xml:space="preserve"> </v>
      </c>
      <c r="AL1048" s="232"/>
      <c r="AM1048" s="232" t="str">
        <f t="shared" si="127"/>
        <v xml:space="preserve"> </v>
      </c>
      <c r="AN1048" s="232" t="str">
        <f t="shared" si="128"/>
        <v xml:space="preserve"> </v>
      </c>
    </row>
    <row r="1049" spans="28:40" x14ac:dyDescent="0.25">
      <c r="AB1049" s="230" t="e">
        <f>T1049-HLOOKUP(V1049,Minimas!$C$3:$CD$12,2,FALSE)</f>
        <v>#N/A</v>
      </c>
      <c r="AC1049" s="230" t="e">
        <f>T1049-HLOOKUP(V1049,Minimas!$C$3:$CD$12,3,FALSE)</f>
        <v>#N/A</v>
      </c>
      <c r="AD1049" s="230" t="e">
        <f>T1049-HLOOKUP(V1049,Minimas!$C$3:$CD$12,4,FALSE)</f>
        <v>#N/A</v>
      </c>
      <c r="AE1049" s="230" t="e">
        <f>T1049-HLOOKUP(V1049,Minimas!$C$3:$CD$12,5,FALSE)</f>
        <v>#N/A</v>
      </c>
      <c r="AF1049" s="230" t="e">
        <f>T1049-HLOOKUP(V1049,Minimas!$C$3:$CD$12,6,FALSE)</f>
        <v>#N/A</v>
      </c>
      <c r="AG1049" s="230" t="e">
        <f>T1049-HLOOKUP(V1049,Minimas!$C$3:$CD$12,7,FALSE)</f>
        <v>#N/A</v>
      </c>
      <c r="AH1049" s="230" t="e">
        <f>T1049-HLOOKUP(V1049,Minimas!$C$3:$CD$12,8,FALSE)</f>
        <v>#N/A</v>
      </c>
      <c r="AI1049" s="230" t="e">
        <f>T1049-HLOOKUP(V1049,Minimas!$C$3:$CD$12,9,FALSE)</f>
        <v>#N/A</v>
      </c>
      <c r="AJ1049" s="230" t="e">
        <f>T1049-HLOOKUP(V1049,Minimas!$C$3:$CD$12,10,FALSE)</f>
        <v>#N/A</v>
      </c>
      <c r="AK1049" s="231" t="str">
        <f t="shared" si="126"/>
        <v xml:space="preserve"> </v>
      </c>
      <c r="AL1049" s="232"/>
      <c r="AM1049" s="232" t="str">
        <f t="shared" si="127"/>
        <v xml:space="preserve"> </v>
      </c>
      <c r="AN1049" s="232" t="str">
        <f t="shared" si="128"/>
        <v xml:space="preserve"> </v>
      </c>
    </row>
    <row r="1050" spans="28:40" x14ac:dyDescent="0.25">
      <c r="AB1050" s="230" t="e">
        <f>T1050-HLOOKUP(V1050,Minimas!$C$3:$CD$12,2,FALSE)</f>
        <v>#N/A</v>
      </c>
      <c r="AC1050" s="230" t="e">
        <f>T1050-HLOOKUP(V1050,Minimas!$C$3:$CD$12,3,FALSE)</f>
        <v>#N/A</v>
      </c>
      <c r="AD1050" s="230" t="e">
        <f>T1050-HLOOKUP(V1050,Minimas!$C$3:$CD$12,4,FALSE)</f>
        <v>#N/A</v>
      </c>
      <c r="AE1050" s="230" t="e">
        <f>T1050-HLOOKUP(V1050,Minimas!$C$3:$CD$12,5,FALSE)</f>
        <v>#N/A</v>
      </c>
      <c r="AF1050" s="230" t="e">
        <f>T1050-HLOOKUP(V1050,Minimas!$C$3:$CD$12,6,FALSE)</f>
        <v>#N/A</v>
      </c>
      <c r="AG1050" s="230" t="e">
        <f>T1050-HLOOKUP(V1050,Minimas!$C$3:$CD$12,7,FALSE)</f>
        <v>#N/A</v>
      </c>
      <c r="AH1050" s="230" t="e">
        <f>T1050-HLOOKUP(V1050,Minimas!$C$3:$CD$12,8,FALSE)</f>
        <v>#N/A</v>
      </c>
      <c r="AI1050" s="230" t="e">
        <f>T1050-HLOOKUP(V1050,Minimas!$C$3:$CD$12,9,FALSE)</f>
        <v>#N/A</v>
      </c>
      <c r="AJ1050" s="230" t="e">
        <f>T1050-HLOOKUP(V1050,Minimas!$C$3:$CD$12,10,FALSE)</f>
        <v>#N/A</v>
      </c>
      <c r="AK1050" s="231" t="str">
        <f t="shared" si="126"/>
        <v xml:space="preserve"> </v>
      </c>
      <c r="AL1050" s="232"/>
      <c r="AM1050" s="232" t="str">
        <f t="shared" si="127"/>
        <v xml:space="preserve"> </v>
      </c>
      <c r="AN1050" s="232" t="str">
        <f t="shared" si="128"/>
        <v xml:space="preserve"> </v>
      </c>
    </row>
    <row r="1051" spans="28:40" x14ac:dyDescent="0.25">
      <c r="AB1051" s="230" t="e">
        <f>T1051-HLOOKUP(V1051,Minimas!$C$3:$CD$12,2,FALSE)</f>
        <v>#N/A</v>
      </c>
      <c r="AC1051" s="230" t="e">
        <f>T1051-HLOOKUP(V1051,Minimas!$C$3:$CD$12,3,FALSE)</f>
        <v>#N/A</v>
      </c>
      <c r="AD1051" s="230" t="e">
        <f>T1051-HLOOKUP(V1051,Minimas!$C$3:$CD$12,4,FALSE)</f>
        <v>#N/A</v>
      </c>
      <c r="AE1051" s="230" t="e">
        <f>T1051-HLOOKUP(V1051,Minimas!$C$3:$CD$12,5,FALSE)</f>
        <v>#N/A</v>
      </c>
      <c r="AF1051" s="230" t="e">
        <f>T1051-HLOOKUP(V1051,Minimas!$C$3:$CD$12,6,FALSE)</f>
        <v>#N/A</v>
      </c>
      <c r="AG1051" s="230" t="e">
        <f>T1051-HLOOKUP(V1051,Minimas!$C$3:$CD$12,7,FALSE)</f>
        <v>#N/A</v>
      </c>
      <c r="AH1051" s="230" t="e">
        <f>T1051-HLOOKUP(V1051,Minimas!$C$3:$CD$12,8,FALSE)</f>
        <v>#N/A</v>
      </c>
      <c r="AI1051" s="230" t="e">
        <f>T1051-HLOOKUP(V1051,Minimas!$C$3:$CD$12,9,FALSE)</f>
        <v>#N/A</v>
      </c>
      <c r="AJ1051" s="230" t="e">
        <f>T1051-HLOOKUP(V1051,Minimas!$C$3:$CD$12,10,FALSE)</f>
        <v>#N/A</v>
      </c>
      <c r="AK1051" s="231" t="str">
        <f t="shared" si="126"/>
        <v xml:space="preserve"> </v>
      </c>
      <c r="AL1051" s="232"/>
      <c r="AM1051" s="232" t="str">
        <f t="shared" si="127"/>
        <v xml:space="preserve"> </v>
      </c>
      <c r="AN1051" s="232" t="str">
        <f t="shared" si="128"/>
        <v xml:space="preserve"> </v>
      </c>
    </row>
    <row r="1052" spans="28:40" x14ac:dyDescent="0.25">
      <c r="AB1052" s="230" t="e">
        <f>T1052-HLOOKUP(V1052,Minimas!$C$3:$CD$12,2,FALSE)</f>
        <v>#N/A</v>
      </c>
      <c r="AC1052" s="230" t="e">
        <f>T1052-HLOOKUP(V1052,Minimas!$C$3:$CD$12,3,FALSE)</f>
        <v>#N/A</v>
      </c>
      <c r="AD1052" s="230" t="e">
        <f>T1052-HLOOKUP(V1052,Minimas!$C$3:$CD$12,4,FALSE)</f>
        <v>#N/A</v>
      </c>
      <c r="AE1052" s="230" t="e">
        <f>T1052-HLOOKUP(V1052,Minimas!$C$3:$CD$12,5,FALSE)</f>
        <v>#N/A</v>
      </c>
      <c r="AF1052" s="230" t="e">
        <f>T1052-HLOOKUP(V1052,Minimas!$C$3:$CD$12,6,FALSE)</f>
        <v>#N/A</v>
      </c>
      <c r="AG1052" s="230" t="e">
        <f>T1052-HLOOKUP(V1052,Minimas!$C$3:$CD$12,7,FALSE)</f>
        <v>#N/A</v>
      </c>
      <c r="AH1052" s="230" t="e">
        <f>T1052-HLOOKUP(V1052,Minimas!$C$3:$CD$12,8,FALSE)</f>
        <v>#N/A</v>
      </c>
      <c r="AI1052" s="230" t="e">
        <f>T1052-HLOOKUP(V1052,Minimas!$C$3:$CD$12,9,FALSE)</f>
        <v>#N/A</v>
      </c>
      <c r="AJ1052" s="230" t="e">
        <f>T1052-HLOOKUP(V1052,Minimas!$C$3:$CD$12,10,FALSE)</f>
        <v>#N/A</v>
      </c>
      <c r="AK1052" s="231" t="str">
        <f t="shared" si="126"/>
        <v xml:space="preserve"> </v>
      </c>
      <c r="AL1052" s="232"/>
      <c r="AM1052" s="232" t="str">
        <f t="shared" si="127"/>
        <v xml:space="preserve"> </v>
      </c>
      <c r="AN1052" s="232" t="str">
        <f t="shared" si="128"/>
        <v xml:space="preserve"> </v>
      </c>
    </row>
    <row r="1053" spans="28:40" x14ac:dyDescent="0.25">
      <c r="AB1053" s="230" t="e">
        <f>T1053-HLOOKUP(V1053,Minimas!$C$3:$CD$12,2,FALSE)</f>
        <v>#N/A</v>
      </c>
      <c r="AC1053" s="230" t="e">
        <f>T1053-HLOOKUP(V1053,Minimas!$C$3:$CD$12,3,FALSE)</f>
        <v>#N/A</v>
      </c>
      <c r="AD1053" s="230" t="e">
        <f>T1053-HLOOKUP(V1053,Minimas!$C$3:$CD$12,4,FALSE)</f>
        <v>#N/A</v>
      </c>
      <c r="AE1053" s="230" t="e">
        <f>T1053-HLOOKUP(V1053,Minimas!$C$3:$CD$12,5,FALSE)</f>
        <v>#N/A</v>
      </c>
      <c r="AF1053" s="230" t="e">
        <f>T1053-HLOOKUP(V1053,Minimas!$C$3:$CD$12,6,FALSE)</f>
        <v>#N/A</v>
      </c>
      <c r="AG1053" s="230" t="e">
        <f>T1053-HLOOKUP(V1053,Minimas!$C$3:$CD$12,7,FALSE)</f>
        <v>#N/A</v>
      </c>
      <c r="AH1053" s="230" t="e">
        <f>T1053-HLOOKUP(V1053,Minimas!$C$3:$CD$12,8,FALSE)</f>
        <v>#N/A</v>
      </c>
      <c r="AI1053" s="230" t="e">
        <f>T1053-HLOOKUP(V1053,Minimas!$C$3:$CD$12,9,FALSE)</f>
        <v>#N/A</v>
      </c>
      <c r="AJ1053" s="230" t="e">
        <f>T1053-HLOOKUP(V1053,Minimas!$C$3:$CD$12,10,FALSE)</f>
        <v>#N/A</v>
      </c>
      <c r="AK1053" s="231" t="str">
        <f t="shared" si="126"/>
        <v xml:space="preserve"> </v>
      </c>
      <c r="AL1053" s="232"/>
      <c r="AM1053" s="232" t="str">
        <f t="shared" si="127"/>
        <v xml:space="preserve"> </v>
      </c>
      <c r="AN1053" s="232" t="str">
        <f t="shared" si="128"/>
        <v xml:space="preserve"> </v>
      </c>
    </row>
    <row r="1054" spans="28:40" x14ac:dyDescent="0.25">
      <c r="AB1054" s="230" t="e">
        <f>T1054-HLOOKUP(V1054,Minimas!$C$3:$CD$12,2,FALSE)</f>
        <v>#N/A</v>
      </c>
      <c r="AC1054" s="230" t="e">
        <f>T1054-HLOOKUP(V1054,Minimas!$C$3:$CD$12,3,FALSE)</f>
        <v>#N/A</v>
      </c>
      <c r="AD1054" s="230" t="e">
        <f>T1054-HLOOKUP(V1054,Minimas!$C$3:$CD$12,4,FALSE)</f>
        <v>#N/A</v>
      </c>
      <c r="AE1054" s="230" t="e">
        <f>T1054-HLOOKUP(V1054,Minimas!$C$3:$CD$12,5,FALSE)</f>
        <v>#N/A</v>
      </c>
      <c r="AF1054" s="230" t="e">
        <f>T1054-HLOOKUP(V1054,Minimas!$C$3:$CD$12,6,FALSE)</f>
        <v>#N/A</v>
      </c>
      <c r="AG1054" s="230" t="e">
        <f>T1054-HLOOKUP(V1054,Minimas!$C$3:$CD$12,7,FALSE)</f>
        <v>#N/A</v>
      </c>
      <c r="AH1054" s="230" t="e">
        <f>T1054-HLOOKUP(V1054,Minimas!$C$3:$CD$12,8,FALSE)</f>
        <v>#N/A</v>
      </c>
      <c r="AI1054" s="230" t="e">
        <f>T1054-HLOOKUP(V1054,Minimas!$C$3:$CD$12,9,FALSE)</f>
        <v>#N/A</v>
      </c>
      <c r="AJ1054" s="230" t="e">
        <f>T1054-HLOOKUP(V1054,Minimas!$C$3:$CD$12,10,FALSE)</f>
        <v>#N/A</v>
      </c>
      <c r="AK1054" s="231" t="str">
        <f t="shared" si="126"/>
        <v xml:space="preserve"> </v>
      </c>
      <c r="AL1054" s="232"/>
      <c r="AM1054" s="232" t="str">
        <f t="shared" si="127"/>
        <v xml:space="preserve"> </v>
      </c>
      <c r="AN1054" s="232" t="str">
        <f t="shared" si="128"/>
        <v xml:space="preserve"> </v>
      </c>
    </row>
    <row r="1055" spans="28:40" x14ac:dyDescent="0.25">
      <c r="AB1055" s="230" t="e">
        <f>T1055-HLOOKUP(V1055,Minimas!$C$3:$CD$12,2,FALSE)</f>
        <v>#N/A</v>
      </c>
      <c r="AC1055" s="230" t="e">
        <f>T1055-HLOOKUP(V1055,Minimas!$C$3:$CD$12,3,FALSE)</f>
        <v>#N/A</v>
      </c>
      <c r="AD1055" s="230" t="e">
        <f>T1055-HLOOKUP(V1055,Minimas!$C$3:$CD$12,4,FALSE)</f>
        <v>#N/A</v>
      </c>
      <c r="AE1055" s="230" t="e">
        <f>T1055-HLOOKUP(V1055,Minimas!$C$3:$CD$12,5,FALSE)</f>
        <v>#N/A</v>
      </c>
      <c r="AF1055" s="230" t="e">
        <f>T1055-HLOOKUP(V1055,Minimas!$C$3:$CD$12,6,FALSE)</f>
        <v>#N/A</v>
      </c>
      <c r="AG1055" s="230" t="e">
        <f>T1055-HLOOKUP(V1055,Minimas!$C$3:$CD$12,7,FALSE)</f>
        <v>#N/A</v>
      </c>
      <c r="AH1055" s="230" t="e">
        <f>T1055-HLOOKUP(V1055,Minimas!$C$3:$CD$12,8,FALSE)</f>
        <v>#N/A</v>
      </c>
      <c r="AI1055" s="230" t="e">
        <f>T1055-HLOOKUP(V1055,Minimas!$C$3:$CD$12,9,FALSE)</f>
        <v>#N/A</v>
      </c>
      <c r="AJ1055" s="230" t="e">
        <f>T1055-HLOOKUP(V1055,Minimas!$C$3:$CD$12,10,FALSE)</f>
        <v>#N/A</v>
      </c>
      <c r="AK1055" s="231" t="str">
        <f t="shared" si="126"/>
        <v xml:space="preserve"> </v>
      </c>
      <c r="AL1055" s="232"/>
      <c r="AM1055" s="232" t="str">
        <f t="shared" si="127"/>
        <v xml:space="preserve"> </v>
      </c>
      <c r="AN1055" s="232" t="str">
        <f t="shared" si="128"/>
        <v xml:space="preserve"> </v>
      </c>
    </row>
    <row r="1056" spans="28:40" x14ac:dyDescent="0.25">
      <c r="AB1056" s="230" t="e">
        <f>T1056-HLOOKUP(V1056,Minimas!$C$3:$CD$12,2,FALSE)</f>
        <v>#N/A</v>
      </c>
      <c r="AC1056" s="230" t="e">
        <f>T1056-HLOOKUP(V1056,Minimas!$C$3:$CD$12,3,FALSE)</f>
        <v>#N/A</v>
      </c>
      <c r="AD1056" s="230" t="e">
        <f>T1056-HLOOKUP(V1056,Minimas!$C$3:$CD$12,4,FALSE)</f>
        <v>#N/A</v>
      </c>
      <c r="AE1056" s="230" t="e">
        <f>T1056-HLOOKUP(V1056,Minimas!$C$3:$CD$12,5,FALSE)</f>
        <v>#N/A</v>
      </c>
      <c r="AF1056" s="230" t="e">
        <f>T1056-HLOOKUP(V1056,Minimas!$C$3:$CD$12,6,FALSE)</f>
        <v>#N/A</v>
      </c>
      <c r="AG1056" s="230" t="e">
        <f>T1056-HLOOKUP(V1056,Minimas!$C$3:$CD$12,7,FALSE)</f>
        <v>#N/A</v>
      </c>
      <c r="AH1056" s="230" t="e">
        <f>T1056-HLOOKUP(V1056,Minimas!$C$3:$CD$12,8,FALSE)</f>
        <v>#N/A</v>
      </c>
      <c r="AI1056" s="230" t="e">
        <f>T1056-HLOOKUP(V1056,Minimas!$C$3:$CD$12,9,FALSE)</f>
        <v>#N/A</v>
      </c>
      <c r="AJ1056" s="230" t="e">
        <f>T1056-HLOOKUP(V1056,Minimas!$C$3:$CD$12,10,FALSE)</f>
        <v>#N/A</v>
      </c>
      <c r="AK1056" s="231" t="str">
        <f t="shared" si="126"/>
        <v xml:space="preserve"> </v>
      </c>
      <c r="AL1056" s="232"/>
      <c r="AM1056" s="232" t="str">
        <f t="shared" si="127"/>
        <v xml:space="preserve"> </v>
      </c>
      <c r="AN1056" s="232" t="str">
        <f t="shared" si="128"/>
        <v xml:space="preserve"> </v>
      </c>
    </row>
    <row r="1057" spans="28:40" x14ac:dyDescent="0.25">
      <c r="AB1057" s="230" t="e">
        <f>T1057-HLOOKUP(V1057,Minimas!$C$3:$CD$12,2,FALSE)</f>
        <v>#N/A</v>
      </c>
      <c r="AC1057" s="230" t="e">
        <f>T1057-HLOOKUP(V1057,Minimas!$C$3:$CD$12,3,FALSE)</f>
        <v>#N/A</v>
      </c>
      <c r="AD1057" s="230" t="e">
        <f>T1057-HLOOKUP(V1057,Minimas!$C$3:$CD$12,4,FALSE)</f>
        <v>#N/A</v>
      </c>
      <c r="AE1057" s="230" t="e">
        <f>T1057-HLOOKUP(V1057,Minimas!$C$3:$CD$12,5,FALSE)</f>
        <v>#N/A</v>
      </c>
      <c r="AF1057" s="230" t="e">
        <f>T1057-HLOOKUP(V1057,Minimas!$C$3:$CD$12,6,FALSE)</f>
        <v>#N/A</v>
      </c>
      <c r="AG1057" s="230" t="e">
        <f>T1057-HLOOKUP(V1057,Minimas!$C$3:$CD$12,7,FALSE)</f>
        <v>#N/A</v>
      </c>
      <c r="AH1057" s="230" t="e">
        <f>T1057-HLOOKUP(V1057,Minimas!$C$3:$CD$12,8,FALSE)</f>
        <v>#N/A</v>
      </c>
      <c r="AI1057" s="230" t="e">
        <f>T1057-HLOOKUP(V1057,Minimas!$C$3:$CD$12,9,FALSE)</f>
        <v>#N/A</v>
      </c>
      <c r="AJ1057" s="230" t="e">
        <f>T1057-HLOOKUP(V1057,Minimas!$C$3:$CD$12,10,FALSE)</f>
        <v>#N/A</v>
      </c>
      <c r="AK1057" s="231" t="str">
        <f t="shared" si="126"/>
        <v xml:space="preserve"> </v>
      </c>
      <c r="AL1057" s="232"/>
      <c r="AM1057" s="232" t="str">
        <f t="shared" si="127"/>
        <v xml:space="preserve"> </v>
      </c>
      <c r="AN1057" s="232" t="str">
        <f t="shared" si="128"/>
        <v xml:space="preserve"> </v>
      </c>
    </row>
    <row r="1058" spans="28:40" x14ac:dyDescent="0.25">
      <c r="AB1058" s="230" t="e">
        <f>T1058-HLOOKUP(V1058,Minimas!$C$3:$CD$12,2,FALSE)</f>
        <v>#N/A</v>
      </c>
      <c r="AC1058" s="230" t="e">
        <f>T1058-HLOOKUP(V1058,Minimas!$C$3:$CD$12,3,FALSE)</f>
        <v>#N/A</v>
      </c>
      <c r="AD1058" s="230" t="e">
        <f>T1058-HLOOKUP(V1058,Minimas!$C$3:$CD$12,4,FALSE)</f>
        <v>#N/A</v>
      </c>
      <c r="AE1058" s="230" t="e">
        <f>T1058-HLOOKUP(V1058,Minimas!$C$3:$CD$12,5,FALSE)</f>
        <v>#N/A</v>
      </c>
      <c r="AF1058" s="230" t="e">
        <f>T1058-HLOOKUP(V1058,Minimas!$C$3:$CD$12,6,FALSE)</f>
        <v>#N/A</v>
      </c>
      <c r="AG1058" s="230" t="e">
        <f>T1058-HLOOKUP(V1058,Minimas!$C$3:$CD$12,7,FALSE)</f>
        <v>#N/A</v>
      </c>
      <c r="AH1058" s="230" t="e">
        <f>T1058-HLOOKUP(V1058,Minimas!$C$3:$CD$12,8,FALSE)</f>
        <v>#N/A</v>
      </c>
      <c r="AI1058" s="230" t="e">
        <f>T1058-HLOOKUP(V1058,Minimas!$C$3:$CD$12,9,FALSE)</f>
        <v>#N/A</v>
      </c>
      <c r="AJ1058" s="230" t="e">
        <f>T1058-HLOOKUP(V1058,Minimas!$C$3:$CD$12,10,FALSE)</f>
        <v>#N/A</v>
      </c>
      <c r="AK1058" s="231" t="str">
        <f t="shared" si="126"/>
        <v xml:space="preserve"> </v>
      </c>
      <c r="AL1058" s="232"/>
      <c r="AM1058" s="232" t="str">
        <f t="shared" si="127"/>
        <v xml:space="preserve"> </v>
      </c>
      <c r="AN1058" s="232" t="str">
        <f t="shared" si="128"/>
        <v xml:space="preserve"> </v>
      </c>
    </row>
    <row r="1059" spans="28:40" x14ac:dyDescent="0.25">
      <c r="AB1059" s="230" t="e">
        <f>T1059-HLOOKUP(V1059,Minimas!$C$3:$CD$12,2,FALSE)</f>
        <v>#N/A</v>
      </c>
      <c r="AC1059" s="230" t="e">
        <f>T1059-HLOOKUP(V1059,Minimas!$C$3:$CD$12,3,FALSE)</f>
        <v>#N/A</v>
      </c>
      <c r="AD1059" s="230" t="e">
        <f>T1059-HLOOKUP(V1059,Minimas!$C$3:$CD$12,4,FALSE)</f>
        <v>#N/A</v>
      </c>
      <c r="AE1059" s="230" t="e">
        <f>T1059-HLOOKUP(V1059,Minimas!$C$3:$CD$12,5,FALSE)</f>
        <v>#N/A</v>
      </c>
      <c r="AF1059" s="230" t="e">
        <f>T1059-HLOOKUP(V1059,Minimas!$C$3:$CD$12,6,FALSE)</f>
        <v>#N/A</v>
      </c>
      <c r="AG1059" s="230" t="e">
        <f>T1059-HLOOKUP(V1059,Minimas!$C$3:$CD$12,7,FALSE)</f>
        <v>#N/A</v>
      </c>
      <c r="AH1059" s="230" t="e">
        <f>T1059-HLOOKUP(V1059,Minimas!$C$3:$CD$12,8,FALSE)</f>
        <v>#N/A</v>
      </c>
      <c r="AI1059" s="230" t="e">
        <f>T1059-HLOOKUP(V1059,Minimas!$C$3:$CD$12,9,FALSE)</f>
        <v>#N/A</v>
      </c>
      <c r="AJ1059" s="230" t="e">
        <f>T1059-HLOOKUP(V1059,Minimas!$C$3:$CD$12,10,FALSE)</f>
        <v>#N/A</v>
      </c>
      <c r="AK1059" s="231" t="str">
        <f t="shared" si="126"/>
        <v xml:space="preserve"> </v>
      </c>
      <c r="AL1059" s="232"/>
      <c r="AM1059" s="232" t="str">
        <f t="shared" si="127"/>
        <v xml:space="preserve"> </v>
      </c>
      <c r="AN1059" s="232" t="str">
        <f t="shared" si="128"/>
        <v xml:space="preserve"> </v>
      </c>
    </row>
    <row r="1060" spans="28:40" x14ac:dyDescent="0.25">
      <c r="AB1060" s="230" t="e">
        <f>T1060-HLOOKUP(V1060,Minimas!$C$3:$CD$12,2,FALSE)</f>
        <v>#N/A</v>
      </c>
      <c r="AC1060" s="230" t="e">
        <f>T1060-HLOOKUP(V1060,Minimas!$C$3:$CD$12,3,FALSE)</f>
        <v>#N/A</v>
      </c>
      <c r="AD1060" s="230" t="e">
        <f>T1060-HLOOKUP(V1060,Minimas!$C$3:$CD$12,4,FALSE)</f>
        <v>#N/A</v>
      </c>
      <c r="AE1060" s="230" t="e">
        <f>T1060-HLOOKUP(V1060,Minimas!$C$3:$CD$12,5,FALSE)</f>
        <v>#N/A</v>
      </c>
      <c r="AF1060" s="230" t="e">
        <f>T1060-HLOOKUP(V1060,Minimas!$C$3:$CD$12,6,FALSE)</f>
        <v>#N/A</v>
      </c>
      <c r="AG1060" s="230" t="e">
        <f>T1060-HLOOKUP(V1060,Minimas!$C$3:$CD$12,7,FALSE)</f>
        <v>#N/A</v>
      </c>
      <c r="AH1060" s="230" t="e">
        <f>T1060-HLOOKUP(V1060,Minimas!$C$3:$CD$12,8,FALSE)</f>
        <v>#N/A</v>
      </c>
      <c r="AI1060" s="230" t="e">
        <f>T1060-HLOOKUP(V1060,Minimas!$C$3:$CD$12,9,FALSE)</f>
        <v>#N/A</v>
      </c>
      <c r="AJ1060" s="230" t="e">
        <f>T1060-HLOOKUP(V1060,Minimas!$C$3:$CD$12,10,FALSE)</f>
        <v>#N/A</v>
      </c>
      <c r="AK1060" s="231" t="str">
        <f t="shared" si="126"/>
        <v xml:space="preserve"> </v>
      </c>
      <c r="AL1060" s="232"/>
      <c r="AM1060" s="232" t="str">
        <f t="shared" si="127"/>
        <v xml:space="preserve"> </v>
      </c>
      <c r="AN1060" s="232" t="str">
        <f t="shared" si="128"/>
        <v xml:space="preserve"> </v>
      </c>
    </row>
    <row r="1061" spans="28:40" x14ac:dyDescent="0.25">
      <c r="AB1061" s="230" t="e">
        <f>T1061-HLOOKUP(V1061,Minimas!$C$3:$CD$12,2,FALSE)</f>
        <v>#N/A</v>
      </c>
      <c r="AC1061" s="230" t="e">
        <f>T1061-HLOOKUP(V1061,Minimas!$C$3:$CD$12,3,FALSE)</f>
        <v>#N/A</v>
      </c>
      <c r="AD1061" s="230" t="e">
        <f>T1061-HLOOKUP(V1061,Minimas!$C$3:$CD$12,4,FALSE)</f>
        <v>#N/A</v>
      </c>
      <c r="AE1061" s="230" t="e">
        <f>T1061-HLOOKUP(V1061,Minimas!$C$3:$CD$12,5,FALSE)</f>
        <v>#N/A</v>
      </c>
      <c r="AF1061" s="230" t="e">
        <f>T1061-HLOOKUP(V1061,Minimas!$C$3:$CD$12,6,FALSE)</f>
        <v>#N/A</v>
      </c>
      <c r="AG1061" s="230" t="e">
        <f>T1061-HLOOKUP(V1061,Minimas!$C$3:$CD$12,7,FALSE)</f>
        <v>#N/A</v>
      </c>
      <c r="AH1061" s="230" t="e">
        <f>T1061-HLOOKUP(V1061,Minimas!$C$3:$CD$12,8,FALSE)</f>
        <v>#N/A</v>
      </c>
      <c r="AI1061" s="230" t="e">
        <f>T1061-HLOOKUP(V1061,Minimas!$C$3:$CD$12,9,FALSE)</f>
        <v>#N/A</v>
      </c>
      <c r="AJ1061" s="230" t="e">
        <f>T1061-HLOOKUP(V1061,Minimas!$C$3:$CD$12,10,FALSE)</f>
        <v>#N/A</v>
      </c>
      <c r="AK1061" s="231" t="str">
        <f t="shared" si="126"/>
        <v xml:space="preserve"> </v>
      </c>
      <c r="AL1061" s="232"/>
      <c r="AM1061" s="232" t="str">
        <f t="shared" si="127"/>
        <v xml:space="preserve"> </v>
      </c>
      <c r="AN1061" s="232" t="str">
        <f t="shared" si="128"/>
        <v xml:space="preserve"> </v>
      </c>
    </row>
    <row r="1062" spans="28:40" x14ac:dyDescent="0.25">
      <c r="AB1062" s="230" t="e">
        <f>T1062-HLOOKUP(V1062,Minimas!$C$3:$CD$12,2,FALSE)</f>
        <v>#N/A</v>
      </c>
      <c r="AC1062" s="230" t="e">
        <f>T1062-HLOOKUP(V1062,Minimas!$C$3:$CD$12,3,FALSE)</f>
        <v>#N/A</v>
      </c>
      <c r="AD1062" s="230" t="e">
        <f>T1062-HLOOKUP(V1062,Minimas!$C$3:$CD$12,4,FALSE)</f>
        <v>#N/A</v>
      </c>
      <c r="AE1062" s="230" t="e">
        <f>T1062-HLOOKUP(V1062,Minimas!$C$3:$CD$12,5,FALSE)</f>
        <v>#N/A</v>
      </c>
      <c r="AF1062" s="230" t="e">
        <f>T1062-HLOOKUP(V1062,Minimas!$C$3:$CD$12,6,FALSE)</f>
        <v>#N/A</v>
      </c>
      <c r="AG1062" s="230" t="e">
        <f>T1062-HLOOKUP(V1062,Minimas!$C$3:$CD$12,7,FALSE)</f>
        <v>#N/A</v>
      </c>
      <c r="AH1062" s="230" t="e">
        <f>T1062-HLOOKUP(V1062,Minimas!$C$3:$CD$12,8,FALSE)</f>
        <v>#N/A</v>
      </c>
      <c r="AI1062" s="230" t="e">
        <f>T1062-HLOOKUP(V1062,Minimas!$C$3:$CD$12,9,FALSE)</f>
        <v>#N/A</v>
      </c>
      <c r="AJ1062" s="230" t="e">
        <f>T1062-HLOOKUP(V1062,Minimas!$C$3:$CD$12,10,FALSE)</f>
        <v>#N/A</v>
      </c>
      <c r="AK1062" s="231" t="str">
        <f t="shared" si="126"/>
        <v xml:space="preserve"> </v>
      </c>
      <c r="AL1062" s="232"/>
      <c r="AM1062" s="232" t="str">
        <f t="shared" si="127"/>
        <v xml:space="preserve"> </v>
      </c>
      <c r="AN1062" s="232" t="str">
        <f t="shared" si="128"/>
        <v xml:space="preserve"> </v>
      </c>
    </row>
    <row r="1063" spans="28:40" x14ac:dyDescent="0.25">
      <c r="AB1063" s="230" t="e">
        <f>T1063-HLOOKUP(V1063,Minimas!$C$3:$CD$12,2,FALSE)</f>
        <v>#N/A</v>
      </c>
      <c r="AC1063" s="230" t="e">
        <f>T1063-HLOOKUP(V1063,Minimas!$C$3:$CD$12,3,FALSE)</f>
        <v>#N/A</v>
      </c>
      <c r="AD1063" s="230" t="e">
        <f>T1063-HLOOKUP(V1063,Minimas!$C$3:$CD$12,4,FALSE)</f>
        <v>#N/A</v>
      </c>
      <c r="AE1063" s="230" t="e">
        <f>T1063-HLOOKUP(V1063,Minimas!$C$3:$CD$12,5,FALSE)</f>
        <v>#N/A</v>
      </c>
      <c r="AF1063" s="230" t="e">
        <f>T1063-HLOOKUP(V1063,Minimas!$C$3:$CD$12,6,FALSE)</f>
        <v>#N/A</v>
      </c>
      <c r="AG1063" s="230" t="e">
        <f>T1063-HLOOKUP(V1063,Minimas!$C$3:$CD$12,7,FALSE)</f>
        <v>#N/A</v>
      </c>
      <c r="AH1063" s="230" t="e">
        <f>T1063-HLOOKUP(V1063,Minimas!$C$3:$CD$12,8,FALSE)</f>
        <v>#N/A</v>
      </c>
      <c r="AI1063" s="230" t="e">
        <f>T1063-HLOOKUP(V1063,Minimas!$C$3:$CD$12,9,FALSE)</f>
        <v>#N/A</v>
      </c>
      <c r="AJ1063" s="230" t="e">
        <f>T1063-HLOOKUP(V1063,Minimas!$C$3:$CD$12,10,FALSE)</f>
        <v>#N/A</v>
      </c>
      <c r="AK1063" s="231" t="str">
        <f t="shared" si="126"/>
        <v xml:space="preserve"> </v>
      </c>
      <c r="AL1063" s="232"/>
      <c r="AM1063" s="232" t="str">
        <f t="shared" si="127"/>
        <v xml:space="preserve"> </v>
      </c>
      <c r="AN1063" s="232" t="str">
        <f t="shared" si="128"/>
        <v xml:space="preserve"> </v>
      </c>
    </row>
    <row r="1064" spans="28:40" x14ac:dyDescent="0.25">
      <c r="AB1064" s="230" t="e">
        <f>T1064-HLOOKUP(V1064,Minimas!$C$3:$CD$12,2,FALSE)</f>
        <v>#N/A</v>
      </c>
      <c r="AC1064" s="230" t="e">
        <f>T1064-HLOOKUP(V1064,Minimas!$C$3:$CD$12,3,FALSE)</f>
        <v>#N/A</v>
      </c>
      <c r="AD1064" s="230" t="e">
        <f>T1064-HLOOKUP(V1064,Minimas!$C$3:$CD$12,4,FALSE)</f>
        <v>#N/A</v>
      </c>
      <c r="AE1064" s="230" t="e">
        <f>T1064-HLOOKUP(V1064,Minimas!$C$3:$CD$12,5,FALSE)</f>
        <v>#N/A</v>
      </c>
      <c r="AF1064" s="230" t="e">
        <f>T1064-HLOOKUP(V1064,Minimas!$C$3:$CD$12,6,FALSE)</f>
        <v>#N/A</v>
      </c>
      <c r="AG1064" s="230" t="e">
        <f>T1064-HLOOKUP(V1064,Minimas!$C$3:$CD$12,7,FALSE)</f>
        <v>#N/A</v>
      </c>
      <c r="AH1064" s="230" t="e">
        <f>T1064-HLOOKUP(V1064,Minimas!$C$3:$CD$12,8,FALSE)</f>
        <v>#N/A</v>
      </c>
      <c r="AI1064" s="230" t="e">
        <f>T1064-HLOOKUP(V1064,Minimas!$C$3:$CD$12,9,FALSE)</f>
        <v>#N/A</v>
      </c>
      <c r="AJ1064" s="230" t="e">
        <f>T1064-HLOOKUP(V1064,Minimas!$C$3:$CD$12,10,FALSE)</f>
        <v>#N/A</v>
      </c>
      <c r="AK1064" s="231" t="str">
        <f t="shared" si="126"/>
        <v xml:space="preserve"> </v>
      </c>
      <c r="AL1064" s="232"/>
      <c r="AM1064" s="232" t="str">
        <f t="shared" si="127"/>
        <v xml:space="preserve"> </v>
      </c>
      <c r="AN1064" s="232" t="str">
        <f t="shared" si="128"/>
        <v xml:space="preserve"> </v>
      </c>
    </row>
    <row r="1065" spans="28:40" x14ac:dyDescent="0.25">
      <c r="AB1065" s="230" t="e">
        <f>T1065-HLOOKUP(V1065,Minimas!$C$3:$CD$12,2,FALSE)</f>
        <v>#N/A</v>
      </c>
      <c r="AC1065" s="230" t="e">
        <f>T1065-HLOOKUP(V1065,Minimas!$C$3:$CD$12,3,FALSE)</f>
        <v>#N/A</v>
      </c>
      <c r="AD1065" s="230" t="e">
        <f>T1065-HLOOKUP(V1065,Minimas!$C$3:$CD$12,4,FALSE)</f>
        <v>#N/A</v>
      </c>
      <c r="AE1065" s="230" t="e">
        <f>T1065-HLOOKUP(V1065,Minimas!$C$3:$CD$12,5,FALSE)</f>
        <v>#N/A</v>
      </c>
      <c r="AF1065" s="230" t="e">
        <f>T1065-HLOOKUP(V1065,Minimas!$C$3:$CD$12,6,FALSE)</f>
        <v>#N/A</v>
      </c>
      <c r="AG1065" s="230" t="e">
        <f>T1065-HLOOKUP(V1065,Minimas!$C$3:$CD$12,7,FALSE)</f>
        <v>#N/A</v>
      </c>
      <c r="AH1065" s="230" t="e">
        <f>T1065-HLOOKUP(V1065,Minimas!$C$3:$CD$12,8,FALSE)</f>
        <v>#N/A</v>
      </c>
      <c r="AI1065" s="230" t="e">
        <f>T1065-HLOOKUP(V1065,Minimas!$C$3:$CD$12,9,FALSE)</f>
        <v>#N/A</v>
      </c>
      <c r="AJ1065" s="230" t="e">
        <f>T1065-HLOOKUP(V1065,Minimas!$C$3:$CD$12,10,FALSE)</f>
        <v>#N/A</v>
      </c>
      <c r="AK1065" s="231" t="str">
        <f t="shared" si="126"/>
        <v xml:space="preserve"> </v>
      </c>
      <c r="AL1065" s="232"/>
      <c r="AM1065" s="232" t="str">
        <f t="shared" si="127"/>
        <v xml:space="preserve"> </v>
      </c>
      <c r="AN1065" s="232" t="str">
        <f t="shared" si="128"/>
        <v xml:space="preserve"> </v>
      </c>
    </row>
    <row r="1066" spans="28:40" x14ac:dyDescent="0.25">
      <c r="AB1066" s="230" t="e">
        <f>T1066-HLOOKUP(V1066,Minimas!$C$3:$CD$12,2,FALSE)</f>
        <v>#N/A</v>
      </c>
      <c r="AC1066" s="230" t="e">
        <f>T1066-HLOOKUP(V1066,Minimas!$C$3:$CD$12,3,FALSE)</f>
        <v>#N/A</v>
      </c>
      <c r="AD1066" s="230" t="e">
        <f>T1066-HLOOKUP(V1066,Minimas!$C$3:$CD$12,4,FALSE)</f>
        <v>#N/A</v>
      </c>
      <c r="AE1066" s="230" t="e">
        <f>T1066-HLOOKUP(V1066,Minimas!$C$3:$CD$12,5,FALSE)</f>
        <v>#N/A</v>
      </c>
      <c r="AF1066" s="230" t="e">
        <f>T1066-HLOOKUP(V1066,Minimas!$C$3:$CD$12,6,FALSE)</f>
        <v>#N/A</v>
      </c>
      <c r="AG1066" s="230" t="e">
        <f>T1066-HLOOKUP(V1066,Minimas!$C$3:$CD$12,7,FALSE)</f>
        <v>#N/A</v>
      </c>
      <c r="AH1066" s="230" t="e">
        <f>T1066-HLOOKUP(V1066,Minimas!$C$3:$CD$12,8,FALSE)</f>
        <v>#N/A</v>
      </c>
      <c r="AI1066" s="230" t="e">
        <f>T1066-HLOOKUP(V1066,Minimas!$C$3:$CD$12,9,FALSE)</f>
        <v>#N/A</v>
      </c>
      <c r="AJ1066" s="230" t="e">
        <f>T1066-HLOOKUP(V1066,Minimas!$C$3:$CD$12,10,FALSE)</f>
        <v>#N/A</v>
      </c>
      <c r="AK1066" s="231" t="str">
        <f t="shared" si="126"/>
        <v xml:space="preserve"> </v>
      </c>
      <c r="AL1066" s="232"/>
      <c r="AM1066" s="232" t="str">
        <f t="shared" si="127"/>
        <v xml:space="preserve"> </v>
      </c>
      <c r="AN1066" s="232" t="str">
        <f t="shared" si="128"/>
        <v xml:space="preserve"> </v>
      </c>
    </row>
    <row r="1067" spans="28:40" x14ac:dyDescent="0.25">
      <c r="AB1067" s="230" t="e">
        <f>T1067-HLOOKUP(V1067,Minimas!$C$3:$CD$12,2,FALSE)</f>
        <v>#N/A</v>
      </c>
      <c r="AC1067" s="230" t="e">
        <f>T1067-HLOOKUP(V1067,Minimas!$C$3:$CD$12,3,FALSE)</f>
        <v>#N/A</v>
      </c>
      <c r="AD1067" s="230" t="e">
        <f>T1067-HLOOKUP(V1067,Minimas!$C$3:$CD$12,4,FALSE)</f>
        <v>#N/A</v>
      </c>
      <c r="AE1067" s="230" t="e">
        <f>T1067-HLOOKUP(V1067,Minimas!$C$3:$CD$12,5,FALSE)</f>
        <v>#N/A</v>
      </c>
      <c r="AF1067" s="230" t="e">
        <f>T1067-HLOOKUP(V1067,Minimas!$C$3:$CD$12,6,FALSE)</f>
        <v>#N/A</v>
      </c>
      <c r="AG1067" s="230" t="e">
        <f>T1067-HLOOKUP(V1067,Minimas!$C$3:$CD$12,7,FALSE)</f>
        <v>#N/A</v>
      </c>
      <c r="AH1067" s="230" t="e">
        <f>T1067-HLOOKUP(V1067,Minimas!$C$3:$CD$12,8,FALSE)</f>
        <v>#N/A</v>
      </c>
      <c r="AI1067" s="230" t="e">
        <f>T1067-HLOOKUP(V1067,Minimas!$C$3:$CD$12,9,FALSE)</f>
        <v>#N/A</v>
      </c>
      <c r="AJ1067" s="230" t="e">
        <f>T1067-HLOOKUP(V1067,Minimas!$C$3:$CD$12,10,FALSE)</f>
        <v>#N/A</v>
      </c>
      <c r="AK1067" s="231" t="str">
        <f t="shared" si="126"/>
        <v xml:space="preserve"> </v>
      </c>
      <c r="AL1067" s="232"/>
      <c r="AM1067" s="232" t="str">
        <f t="shared" si="127"/>
        <v xml:space="preserve"> </v>
      </c>
      <c r="AN1067" s="232" t="str">
        <f t="shared" si="128"/>
        <v xml:space="preserve"> </v>
      </c>
    </row>
    <row r="1068" spans="28:40" x14ac:dyDescent="0.25">
      <c r="AB1068" s="230" t="e">
        <f>T1068-HLOOKUP(V1068,Minimas!$C$3:$CD$12,2,FALSE)</f>
        <v>#N/A</v>
      </c>
      <c r="AC1068" s="230" t="e">
        <f>T1068-HLOOKUP(V1068,Minimas!$C$3:$CD$12,3,FALSE)</f>
        <v>#N/A</v>
      </c>
      <c r="AD1068" s="230" t="e">
        <f>T1068-HLOOKUP(V1068,Minimas!$C$3:$CD$12,4,FALSE)</f>
        <v>#N/A</v>
      </c>
      <c r="AE1068" s="230" t="e">
        <f>T1068-HLOOKUP(V1068,Minimas!$C$3:$CD$12,5,FALSE)</f>
        <v>#N/A</v>
      </c>
      <c r="AF1068" s="230" t="e">
        <f>T1068-HLOOKUP(V1068,Minimas!$C$3:$CD$12,6,FALSE)</f>
        <v>#N/A</v>
      </c>
      <c r="AG1068" s="230" t="e">
        <f>T1068-HLOOKUP(V1068,Minimas!$C$3:$CD$12,7,FALSE)</f>
        <v>#N/A</v>
      </c>
      <c r="AH1068" s="230" t="e">
        <f>T1068-HLOOKUP(V1068,Minimas!$C$3:$CD$12,8,FALSE)</f>
        <v>#N/A</v>
      </c>
      <c r="AI1068" s="230" t="e">
        <f>T1068-HLOOKUP(V1068,Minimas!$C$3:$CD$12,9,FALSE)</f>
        <v>#N/A</v>
      </c>
      <c r="AJ1068" s="230" t="e">
        <f>T1068-HLOOKUP(V1068,Minimas!$C$3:$CD$12,10,FALSE)</f>
        <v>#N/A</v>
      </c>
      <c r="AK1068" s="231" t="str">
        <f t="shared" si="126"/>
        <v xml:space="preserve"> </v>
      </c>
      <c r="AL1068" s="232"/>
      <c r="AM1068" s="232" t="str">
        <f t="shared" si="127"/>
        <v xml:space="preserve"> </v>
      </c>
      <c r="AN1068" s="232" t="str">
        <f t="shared" si="128"/>
        <v xml:space="preserve"> </v>
      </c>
    </row>
    <row r="1069" spans="28:40" x14ac:dyDescent="0.25">
      <c r="AB1069" s="230" t="e">
        <f>T1069-HLOOKUP(V1069,Minimas!$C$3:$CD$12,2,FALSE)</f>
        <v>#N/A</v>
      </c>
      <c r="AC1069" s="230" t="e">
        <f>T1069-HLOOKUP(V1069,Minimas!$C$3:$CD$12,3,FALSE)</f>
        <v>#N/A</v>
      </c>
      <c r="AD1069" s="230" t="e">
        <f>T1069-HLOOKUP(V1069,Minimas!$C$3:$CD$12,4,FALSE)</f>
        <v>#N/A</v>
      </c>
      <c r="AE1069" s="230" t="e">
        <f>T1069-HLOOKUP(V1069,Minimas!$C$3:$CD$12,5,FALSE)</f>
        <v>#N/A</v>
      </c>
      <c r="AF1069" s="230" t="e">
        <f>T1069-HLOOKUP(V1069,Minimas!$C$3:$CD$12,6,FALSE)</f>
        <v>#N/A</v>
      </c>
      <c r="AG1069" s="230" t="e">
        <f>T1069-HLOOKUP(V1069,Minimas!$C$3:$CD$12,7,FALSE)</f>
        <v>#N/A</v>
      </c>
      <c r="AH1069" s="230" t="e">
        <f>T1069-HLOOKUP(V1069,Minimas!$C$3:$CD$12,8,FALSE)</f>
        <v>#N/A</v>
      </c>
      <c r="AI1069" s="230" t="e">
        <f>T1069-HLOOKUP(V1069,Minimas!$C$3:$CD$12,9,FALSE)</f>
        <v>#N/A</v>
      </c>
      <c r="AJ1069" s="230" t="e">
        <f>T1069-HLOOKUP(V1069,Minimas!$C$3:$CD$12,10,FALSE)</f>
        <v>#N/A</v>
      </c>
      <c r="AK1069" s="231" t="str">
        <f t="shared" si="126"/>
        <v xml:space="preserve"> </v>
      </c>
      <c r="AL1069" s="232"/>
      <c r="AM1069" s="232" t="str">
        <f t="shared" si="127"/>
        <v xml:space="preserve"> </v>
      </c>
      <c r="AN1069" s="232" t="str">
        <f t="shared" si="128"/>
        <v xml:space="preserve"> </v>
      </c>
    </row>
    <row r="1070" spans="28:40" x14ac:dyDescent="0.25">
      <c r="AB1070" s="230" t="e">
        <f>T1070-HLOOKUP(V1070,Minimas!$C$3:$CD$12,2,FALSE)</f>
        <v>#N/A</v>
      </c>
      <c r="AC1070" s="230" t="e">
        <f>T1070-HLOOKUP(V1070,Minimas!$C$3:$CD$12,3,FALSE)</f>
        <v>#N/A</v>
      </c>
      <c r="AD1070" s="230" t="e">
        <f>T1070-HLOOKUP(V1070,Minimas!$C$3:$CD$12,4,FALSE)</f>
        <v>#N/A</v>
      </c>
      <c r="AE1070" s="230" t="e">
        <f>T1070-HLOOKUP(V1070,Minimas!$C$3:$CD$12,5,FALSE)</f>
        <v>#N/A</v>
      </c>
      <c r="AF1070" s="230" t="e">
        <f>T1070-HLOOKUP(V1070,Minimas!$C$3:$CD$12,6,FALSE)</f>
        <v>#N/A</v>
      </c>
      <c r="AG1070" s="230" t="e">
        <f>T1070-HLOOKUP(V1070,Minimas!$C$3:$CD$12,7,FALSE)</f>
        <v>#N/A</v>
      </c>
      <c r="AH1070" s="230" t="e">
        <f>T1070-HLOOKUP(V1070,Minimas!$C$3:$CD$12,8,FALSE)</f>
        <v>#N/A</v>
      </c>
      <c r="AI1070" s="230" t="e">
        <f>T1070-HLOOKUP(V1070,Minimas!$C$3:$CD$12,9,FALSE)</f>
        <v>#N/A</v>
      </c>
      <c r="AJ1070" s="230" t="e">
        <f>T1070-HLOOKUP(V1070,Minimas!$C$3:$CD$12,10,FALSE)</f>
        <v>#N/A</v>
      </c>
      <c r="AK1070" s="231" t="str">
        <f t="shared" si="126"/>
        <v xml:space="preserve"> </v>
      </c>
      <c r="AL1070" s="232"/>
      <c r="AM1070" s="232" t="str">
        <f t="shared" si="127"/>
        <v xml:space="preserve"> </v>
      </c>
      <c r="AN1070" s="232" t="str">
        <f t="shared" si="128"/>
        <v xml:space="preserve"> </v>
      </c>
    </row>
    <row r="1071" spans="28:40" x14ac:dyDescent="0.25">
      <c r="AB1071" s="230" t="e">
        <f>T1071-HLOOKUP(V1071,Minimas!$C$3:$CD$12,2,FALSE)</f>
        <v>#N/A</v>
      </c>
      <c r="AC1071" s="230" t="e">
        <f>T1071-HLOOKUP(V1071,Minimas!$C$3:$CD$12,3,FALSE)</f>
        <v>#N/A</v>
      </c>
      <c r="AD1071" s="230" t="e">
        <f>T1071-HLOOKUP(V1071,Minimas!$C$3:$CD$12,4,FALSE)</f>
        <v>#N/A</v>
      </c>
      <c r="AE1071" s="230" t="e">
        <f>T1071-HLOOKUP(V1071,Minimas!$C$3:$CD$12,5,FALSE)</f>
        <v>#N/A</v>
      </c>
      <c r="AF1071" s="230" t="e">
        <f>T1071-HLOOKUP(V1071,Minimas!$C$3:$CD$12,6,FALSE)</f>
        <v>#N/A</v>
      </c>
      <c r="AG1071" s="230" t="e">
        <f>T1071-HLOOKUP(V1071,Minimas!$C$3:$CD$12,7,FALSE)</f>
        <v>#N/A</v>
      </c>
      <c r="AH1071" s="230" t="e">
        <f>T1071-HLOOKUP(V1071,Minimas!$C$3:$CD$12,8,FALSE)</f>
        <v>#N/A</v>
      </c>
      <c r="AI1071" s="230" t="e">
        <f>T1071-HLOOKUP(V1071,Minimas!$C$3:$CD$12,9,FALSE)</f>
        <v>#N/A</v>
      </c>
      <c r="AJ1071" s="230" t="e">
        <f>T1071-HLOOKUP(V1071,Minimas!$C$3:$CD$12,10,FALSE)</f>
        <v>#N/A</v>
      </c>
      <c r="AK1071" s="231" t="str">
        <f t="shared" si="126"/>
        <v xml:space="preserve"> </v>
      </c>
      <c r="AL1071" s="232"/>
      <c r="AM1071" s="232" t="str">
        <f t="shared" si="127"/>
        <v xml:space="preserve"> </v>
      </c>
      <c r="AN1071" s="232" t="str">
        <f t="shared" si="128"/>
        <v xml:space="preserve"> </v>
      </c>
    </row>
    <row r="1072" spans="28:40" x14ac:dyDescent="0.25">
      <c r="AB1072" s="230" t="e">
        <f>T1072-HLOOKUP(V1072,Minimas!$C$3:$CD$12,2,FALSE)</f>
        <v>#N/A</v>
      </c>
      <c r="AC1072" s="230" t="e">
        <f>T1072-HLOOKUP(V1072,Minimas!$C$3:$CD$12,3,FALSE)</f>
        <v>#N/A</v>
      </c>
      <c r="AD1072" s="230" t="e">
        <f>T1072-HLOOKUP(V1072,Minimas!$C$3:$CD$12,4,FALSE)</f>
        <v>#N/A</v>
      </c>
      <c r="AE1072" s="230" t="e">
        <f>T1072-HLOOKUP(V1072,Minimas!$C$3:$CD$12,5,FALSE)</f>
        <v>#N/A</v>
      </c>
      <c r="AF1072" s="230" t="e">
        <f>T1072-HLOOKUP(V1072,Minimas!$C$3:$CD$12,6,FALSE)</f>
        <v>#N/A</v>
      </c>
      <c r="AG1072" s="230" t="e">
        <f>T1072-HLOOKUP(V1072,Minimas!$C$3:$CD$12,7,FALSE)</f>
        <v>#N/A</v>
      </c>
      <c r="AH1072" s="230" t="e">
        <f>T1072-HLOOKUP(V1072,Minimas!$C$3:$CD$12,8,FALSE)</f>
        <v>#N/A</v>
      </c>
      <c r="AI1072" s="230" t="e">
        <f>T1072-HLOOKUP(V1072,Minimas!$C$3:$CD$12,9,FALSE)</f>
        <v>#N/A</v>
      </c>
      <c r="AJ1072" s="230" t="e">
        <f>T1072-HLOOKUP(V1072,Minimas!$C$3:$CD$12,10,FALSE)</f>
        <v>#N/A</v>
      </c>
      <c r="AK1072" s="231" t="str">
        <f t="shared" si="126"/>
        <v xml:space="preserve"> </v>
      </c>
      <c r="AL1072" s="232"/>
      <c r="AM1072" s="232" t="str">
        <f t="shared" si="127"/>
        <v xml:space="preserve"> </v>
      </c>
      <c r="AN1072" s="232" t="str">
        <f t="shared" si="128"/>
        <v xml:space="preserve"> </v>
      </c>
    </row>
    <row r="1073" spans="28:40" x14ac:dyDescent="0.25">
      <c r="AB1073" s="230" t="e">
        <f>T1073-HLOOKUP(V1073,Minimas!$C$3:$CD$12,2,FALSE)</f>
        <v>#N/A</v>
      </c>
      <c r="AC1073" s="230" t="e">
        <f>T1073-HLOOKUP(V1073,Minimas!$C$3:$CD$12,3,FALSE)</f>
        <v>#N/A</v>
      </c>
      <c r="AD1073" s="230" t="e">
        <f>T1073-HLOOKUP(V1073,Minimas!$C$3:$CD$12,4,FALSE)</f>
        <v>#N/A</v>
      </c>
      <c r="AE1073" s="230" t="e">
        <f>T1073-HLOOKUP(V1073,Minimas!$C$3:$CD$12,5,FALSE)</f>
        <v>#N/A</v>
      </c>
      <c r="AF1073" s="230" t="e">
        <f>T1073-HLOOKUP(V1073,Minimas!$C$3:$CD$12,6,FALSE)</f>
        <v>#N/A</v>
      </c>
      <c r="AG1073" s="230" t="e">
        <f>T1073-HLOOKUP(V1073,Minimas!$C$3:$CD$12,7,FALSE)</f>
        <v>#N/A</v>
      </c>
      <c r="AH1073" s="230" t="e">
        <f>T1073-HLOOKUP(V1073,Minimas!$C$3:$CD$12,8,FALSE)</f>
        <v>#N/A</v>
      </c>
      <c r="AI1073" s="230" t="e">
        <f>T1073-HLOOKUP(V1073,Minimas!$C$3:$CD$12,9,FALSE)</f>
        <v>#N/A</v>
      </c>
      <c r="AJ1073" s="230" t="e">
        <f>T1073-HLOOKUP(V1073,Minimas!$C$3:$CD$12,10,FALSE)</f>
        <v>#N/A</v>
      </c>
      <c r="AK1073" s="231" t="str">
        <f t="shared" si="126"/>
        <v xml:space="preserve"> </v>
      </c>
      <c r="AL1073" s="232"/>
      <c r="AM1073" s="232" t="str">
        <f t="shared" si="127"/>
        <v xml:space="preserve"> </v>
      </c>
      <c r="AN1073" s="232" t="str">
        <f t="shared" si="128"/>
        <v xml:space="preserve"> </v>
      </c>
    </row>
    <row r="1074" spans="28:40" x14ac:dyDescent="0.25">
      <c r="AB1074" s="230" t="e">
        <f>T1074-HLOOKUP(V1074,Minimas!$C$3:$CD$12,2,FALSE)</f>
        <v>#N/A</v>
      </c>
      <c r="AC1074" s="230" t="e">
        <f>T1074-HLOOKUP(V1074,Minimas!$C$3:$CD$12,3,FALSE)</f>
        <v>#N/A</v>
      </c>
      <c r="AD1074" s="230" t="e">
        <f>T1074-HLOOKUP(V1074,Minimas!$C$3:$CD$12,4,FALSE)</f>
        <v>#N/A</v>
      </c>
      <c r="AE1074" s="230" t="e">
        <f>T1074-HLOOKUP(V1074,Minimas!$C$3:$CD$12,5,FALSE)</f>
        <v>#N/A</v>
      </c>
      <c r="AF1074" s="230" t="e">
        <f>T1074-HLOOKUP(V1074,Minimas!$C$3:$CD$12,6,FALSE)</f>
        <v>#N/A</v>
      </c>
      <c r="AG1074" s="230" t="e">
        <f>T1074-HLOOKUP(V1074,Minimas!$C$3:$CD$12,7,FALSE)</f>
        <v>#N/A</v>
      </c>
      <c r="AH1074" s="230" t="e">
        <f>T1074-HLOOKUP(V1074,Minimas!$C$3:$CD$12,8,FALSE)</f>
        <v>#N/A</v>
      </c>
      <c r="AI1074" s="230" t="e">
        <f>T1074-HLOOKUP(V1074,Minimas!$C$3:$CD$12,9,FALSE)</f>
        <v>#N/A</v>
      </c>
      <c r="AJ1074" s="230" t="e">
        <f>T1074-HLOOKUP(V1074,Minimas!$C$3:$CD$12,10,FALSE)</f>
        <v>#N/A</v>
      </c>
      <c r="AK1074" s="231" t="str">
        <f t="shared" si="126"/>
        <v xml:space="preserve"> </v>
      </c>
      <c r="AL1074" s="232"/>
      <c r="AM1074" s="232" t="str">
        <f t="shared" si="127"/>
        <v xml:space="preserve"> </v>
      </c>
      <c r="AN1074" s="232" t="str">
        <f t="shared" si="128"/>
        <v xml:space="preserve"> </v>
      </c>
    </row>
    <row r="1075" spans="28:40" x14ac:dyDescent="0.25">
      <c r="AB1075" s="230" t="e">
        <f>T1075-HLOOKUP(V1075,Minimas!$C$3:$CD$12,2,FALSE)</f>
        <v>#N/A</v>
      </c>
      <c r="AC1075" s="230" t="e">
        <f>T1075-HLOOKUP(V1075,Minimas!$C$3:$CD$12,3,FALSE)</f>
        <v>#N/A</v>
      </c>
      <c r="AD1075" s="230" t="e">
        <f>T1075-HLOOKUP(V1075,Minimas!$C$3:$CD$12,4,FALSE)</f>
        <v>#N/A</v>
      </c>
      <c r="AE1075" s="230" t="e">
        <f>T1075-HLOOKUP(V1075,Minimas!$C$3:$CD$12,5,FALSE)</f>
        <v>#N/A</v>
      </c>
      <c r="AF1075" s="230" t="e">
        <f>T1075-HLOOKUP(V1075,Minimas!$C$3:$CD$12,6,FALSE)</f>
        <v>#N/A</v>
      </c>
      <c r="AG1075" s="230" t="e">
        <f>T1075-HLOOKUP(V1075,Minimas!$C$3:$CD$12,7,FALSE)</f>
        <v>#N/A</v>
      </c>
      <c r="AH1075" s="230" t="e">
        <f>T1075-HLOOKUP(V1075,Minimas!$C$3:$CD$12,8,FALSE)</f>
        <v>#N/A</v>
      </c>
      <c r="AI1075" s="230" t="e">
        <f>T1075-HLOOKUP(V1075,Minimas!$C$3:$CD$12,9,FALSE)</f>
        <v>#N/A</v>
      </c>
      <c r="AJ1075" s="230" t="e">
        <f>T1075-HLOOKUP(V1075,Minimas!$C$3:$CD$12,10,FALSE)</f>
        <v>#N/A</v>
      </c>
      <c r="AK1075" s="231" t="str">
        <f t="shared" si="126"/>
        <v xml:space="preserve"> </v>
      </c>
      <c r="AL1075" s="232"/>
      <c r="AM1075" s="232" t="str">
        <f t="shared" si="127"/>
        <v xml:space="preserve"> </v>
      </c>
      <c r="AN1075" s="232" t="str">
        <f t="shared" si="128"/>
        <v xml:space="preserve"> </v>
      </c>
    </row>
    <row r="1076" spans="28:40" x14ac:dyDescent="0.25">
      <c r="AB1076" s="230" t="e">
        <f>T1076-HLOOKUP(V1076,Minimas!$C$3:$CD$12,2,FALSE)</f>
        <v>#N/A</v>
      </c>
      <c r="AC1076" s="230" t="e">
        <f>T1076-HLOOKUP(V1076,Minimas!$C$3:$CD$12,3,FALSE)</f>
        <v>#N/A</v>
      </c>
      <c r="AD1076" s="230" t="e">
        <f>T1076-HLOOKUP(V1076,Minimas!$C$3:$CD$12,4,FALSE)</f>
        <v>#N/A</v>
      </c>
      <c r="AE1076" s="230" t="e">
        <f>T1076-HLOOKUP(V1076,Minimas!$C$3:$CD$12,5,FALSE)</f>
        <v>#N/A</v>
      </c>
      <c r="AF1076" s="230" t="e">
        <f>T1076-HLOOKUP(V1076,Minimas!$C$3:$CD$12,6,FALSE)</f>
        <v>#N/A</v>
      </c>
      <c r="AG1076" s="230" t="e">
        <f>T1076-HLOOKUP(V1076,Minimas!$C$3:$CD$12,7,FALSE)</f>
        <v>#N/A</v>
      </c>
      <c r="AH1076" s="230" t="e">
        <f>T1076-HLOOKUP(V1076,Minimas!$C$3:$CD$12,8,FALSE)</f>
        <v>#N/A</v>
      </c>
      <c r="AI1076" s="230" t="e">
        <f>T1076-HLOOKUP(V1076,Minimas!$C$3:$CD$12,9,FALSE)</f>
        <v>#N/A</v>
      </c>
      <c r="AJ1076" s="230" t="e">
        <f>T1076-HLOOKUP(V1076,Minimas!$C$3:$CD$12,10,FALSE)</f>
        <v>#N/A</v>
      </c>
      <c r="AK1076" s="231" t="str">
        <f t="shared" si="126"/>
        <v xml:space="preserve"> </v>
      </c>
      <c r="AL1076" s="232"/>
      <c r="AM1076" s="232" t="str">
        <f t="shared" si="127"/>
        <v xml:space="preserve"> </v>
      </c>
      <c r="AN1076" s="232" t="str">
        <f t="shared" si="128"/>
        <v xml:space="preserve"> </v>
      </c>
    </row>
    <row r="1077" spans="28:40" x14ac:dyDescent="0.25">
      <c r="AB1077" s="230" t="e">
        <f>T1077-HLOOKUP(V1077,Minimas!$C$3:$CD$12,2,FALSE)</f>
        <v>#N/A</v>
      </c>
      <c r="AC1077" s="230" t="e">
        <f>T1077-HLOOKUP(V1077,Minimas!$C$3:$CD$12,3,FALSE)</f>
        <v>#N/A</v>
      </c>
      <c r="AD1077" s="230" t="e">
        <f>T1077-HLOOKUP(V1077,Minimas!$C$3:$CD$12,4,FALSE)</f>
        <v>#N/A</v>
      </c>
      <c r="AE1077" s="230" t="e">
        <f>T1077-HLOOKUP(V1077,Minimas!$C$3:$CD$12,5,FALSE)</f>
        <v>#N/A</v>
      </c>
      <c r="AF1077" s="230" t="e">
        <f>T1077-HLOOKUP(V1077,Minimas!$C$3:$CD$12,6,FALSE)</f>
        <v>#N/A</v>
      </c>
      <c r="AG1077" s="230" t="e">
        <f>T1077-HLOOKUP(V1077,Minimas!$C$3:$CD$12,7,FALSE)</f>
        <v>#N/A</v>
      </c>
      <c r="AH1077" s="230" t="e">
        <f>T1077-HLOOKUP(V1077,Minimas!$C$3:$CD$12,8,FALSE)</f>
        <v>#N/A</v>
      </c>
      <c r="AI1077" s="230" t="e">
        <f>T1077-HLOOKUP(V1077,Minimas!$C$3:$CD$12,9,FALSE)</f>
        <v>#N/A</v>
      </c>
      <c r="AJ1077" s="230" t="e">
        <f>T1077-HLOOKUP(V1077,Minimas!$C$3:$CD$12,10,FALSE)</f>
        <v>#N/A</v>
      </c>
      <c r="AK1077" s="231" t="str">
        <f t="shared" si="126"/>
        <v xml:space="preserve"> </v>
      </c>
      <c r="AL1077" s="232"/>
      <c r="AM1077" s="232" t="str">
        <f t="shared" si="127"/>
        <v xml:space="preserve"> </v>
      </c>
      <c r="AN1077" s="232" t="str">
        <f t="shared" si="128"/>
        <v xml:space="preserve"> </v>
      </c>
    </row>
    <row r="1078" spans="28:40" x14ac:dyDescent="0.25">
      <c r="AB1078" s="230" t="e">
        <f>T1078-HLOOKUP(V1078,Minimas!$C$3:$CD$12,2,FALSE)</f>
        <v>#N/A</v>
      </c>
      <c r="AC1078" s="230" t="e">
        <f>T1078-HLOOKUP(V1078,Minimas!$C$3:$CD$12,3,FALSE)</f>
        <v>#N/A</v>
      </c>
      <c r="AD1078" s="230" t="e">
        <f>T1078-HLOOKUP(V1078,Minimas!$C$3:$CD$12,4,FALSE)</f>
        <v>#N/A</v>
      </c>
      <c r="AE1078" s="230" t="e">
        <f>T1078-HLOOKUP(V1078,Minimas!$C$3:$CD$12,5,FALSE)</f>
        <v>#N/A</v>
      </c>
      <c r="AF1078" s="230" t="e">
        <f>T1078-HLOOKUP(V1078,Minimas!$C$3:$CD$12,6,FALSE)</f>
        <v>#N/A</v>
      </c>
      <c r="AG1078" s="230" t="e">
        <f>T1078-HLOOKUP(V1078,Minimas!$C$3:$CD$12,7,FALSE)</f>
        <v>#N/A</v>
      </c>
      <c r="AH1078" s="230" t="e">
        <f>T1078-HLOOKUP(V1078,Minimas!$C$3:$CD$12,8,FALSE)</f>
        <v>#N/A</v>
      </c>
      <c r="AI1078" s="230" t="e">
        <f>T1078-HLOOKUP(V1078,Minimas!$C$3:$CD$12,9,FALSE)</f>
        <v>#N/A</v>
      </c>
      <c r="AJ1078" s="230" t="e">
        <f>T1078-HLOOKUP(V1078,Minimas!$C$3:$CD$12,10,FALSE)</f>
        <v>#N/A</v>
      </c>
      <c r="AK1078" s="231" t="str">
        <f t="shared" si="126"/>
        <v xml:space="preserve"> </v>
      </c>
      <c r="AL1078" s="232"/>
      <c r="AM1078" s="232" t="str">
        <f t="shared" si="127"/>
        <v xml:space="preserve"> </v>
      </c>
      <c r="AN1078" s="232" t="str">
        <f t="shared" si="128"/>
        <v xml:space="preserve"> </v>
      </c>
    </row>
    <row r="1079" spans="28:40" x14ac:dyDescent="0.25">
      <c r="AB1079" s="230" t="e">
        <f>T1079-HLOOKUP(V1079,Minimas!$C$3:$CD$12,2,FALSE)</f>
        <v>#N/A</v>
      </c>
      <c r="AC1079" s="230" t="e">
        <f>T1079-HLOOKUP(V1079,Minimas!$C$3:$CD$12,3,FALSE)</f>
        <v>#N/A</v>
      </c>
      <c r="AD1079" s="230" t="e">
        <f>T1079-HLOOKUP(V1079,Minimas!$C$3:$CD$12,4,FALSE)</f>
        <v>#N/A</v>
      </c>
      <c r="AE1079" s="230" t="e">
        <f>T1079-HLOOKUP(V1079,Minimas!$C$3:$CD$12,5,FALSE)</f>
        <v>#N/A</v>
      </c>
      <c r="AF1079" s="230" t="e">
        <f>T1079-HLOOKUP(V1079,Minimas!$C$3:$CD$12,6,FALSE)</f>
        <v>#N/A</v>
      </c>
      <c r="AG1079" s="230" t="e">
        <f>T1079-HLOOKUP(V1079,Minimas!$C$3:$CD$12,7,FALSE)</f>
        <v>#N/A</v>
      </c>
      <c r="AH1079" s="230" t="e">
        <f>T1079-HLOOKUP(V1079,Minimas!$C$3:$CD$12,8,FALSE)</f>
        <v>#N/A</v>
      </c>
      <c r="AI1079" s="230" t="e">
        <f>T1079-HLOOKUP(V1079,Minimas!$C$3:$CD$12,9,FALSE)</f>
        <v>#N/A</v>
      </c>
      <c r="AJ1079" s="230" t="e">
        <f>T1079-HLOOKUP(V1079,Minimas!$C$3:$CD$12,10,FALSE)</f>
        <v>#N/A</v>
      </c>
      <c r="AK1079" s="231" t="str">
        <f t="shared" si="126"/>
        <v xml:space="preserve"> </v>
      </c>
      <c r="AL1079" s="232"/>
      <c r="AM1079" s="232" t="str">
        <f t="shared" si="127"/>
        <v xml:space="preserve"> </v>
      </c>
      <c r="AN1079" s="232" t="str">
        <f t="shared" si="128"/>
        <v xml:space="preserve"> </v>
      </c>
    </row>
    <row r="1080" spans="28:40" x14ac:dyDescent="0.25">
      <c r="AB1080" s="230" t="e">
        <f>T1080-HLOOKUP(V1080,Minimas!$C$3:$CD$12,2,FALSE)</f>
        <v>#N/A</v>
      </c>
      <c r="AC1080" s="230" t="e">
        <f>T1080-HLOOKUP(V1080,Minimas!$C$3:$CD$12,3,FALSE)</f>
        <v>#N/A</v>
      </c>
      <c r="AD1080" s="230" t="e">
        <f>T1080-HLOOKUP(V1080,Minimas!$C$3:$CD$12,4,FALSE)</f>
        <v>#N/A</v>
      </c>
      <c r="AE1080" s="230" t="e">
        <f>T1080-HLOOKUP(V1080,Minimas!$C$3:$CD$12,5,FALSE)</f>
        <v>#N/A</v>
      </c>
      <c r="AF1080" s="230" t="e">
        <f>T1080-HLOOKUP(V1080,Minimas!$C$3:$CD$12,6,FALSE)</f>
        <v>#N/A</v>
      </c>
      <c r="AG1080" s="230" t="e">
        <f>T1080-HLOOKUP(V1080,Minimas!$C$3:$CD$12,7,FALSE)</f>
        <v>#N/A</v>
      </c>
      <c r="AH1080" s="230" t="e">
        <f>T1080-HLOOKUP(V1080,Minimas!$C$3:$CD$12,8,FALSE)</f>
        <v>#N/A</v>
      </c>
      <c r="AI1080" s="230" t="e">
        <f>T1080-HLOOKUP(V1080,Minimas!$C$3:$CD$12,9,FALSE)</f>
        <v>#N/A</v>
      </c>
      <c r="AJ1080" s="230" t="e">
        <f>T1080-HLOOKUP(V1080,Minimas!$C$3:$CD$12,10,FALSE)</f>
        <v>#N/A</v>
      </c>
      <c r="AK1080" s="231" t="str">
        <f t="shared" si="126"/>
        <v xml:space="preserve"> </v>
      </c>
      <c r="AL1080" s="232"/>
      <c r="AM1080" s="232" t="str">
        <f t="shared" si="127"/>
        <v xml:space="preserve"> </v>
      </c>
      <c r="AN1080" s="232" t="str">
        <f t="shared" si="128"/>
        <v xml:space="preserve"> </v>
      </c>
    </row>
    <row r="1081" spans="28:40" x14ac:dyDescent="0.25">
      <c r="AB1081" s="230" t="e">
        <f>T1081-HLOOKUP(V1081,Minimas!$C$3:$CD$12,2,FALSE)</f>
        <v>#N/A</v>
      </c>
      <c r="AC1081" s="230" t="e">
        <f>T1081-HLOOKUP(V1081,Minimas!$C$3:$CD$12,3,FALSE)</f>
        <v>#N/A</v>
      </c>
      <c r="AD1081" s="230" t="e">
        <f>T1081-HLOOKUP(V1081,Minimas!$C$3:$CD$12,4,FALSE)</f>
        <v>#N/A</v>
      </c>
      <c r="AE1081" s="230" t="e">
        <f>T1081-HLOOKUP(V1081,Minimas!$C$3:$CD$12,5,FALSE)</f>
        <v>#N/A</v>
      </c>
      <c r="AF1081" s="230" t="e">
        <f>T1081-HLOOKUP(V1081,Minimas!$C$3:$CD$12,6,FALSE)</f>
        <v>#N/A</v>
      </c>
      <c r="AG1081" s="230" t="e">
        <f>T1081-HLOOKUP(V1081,Minimas!$C$3:$CD$12,7,FALSE)</f>
        <v>#N/A</v>
      </c>
      <c r="AH1081" s="230" t="e">
        <f>T1081-HLOOKUP(V1081,Minimas!$C$3:$CD$12,8,FALSE)</f>
        <v>#N/A</v>
      </c>
      <c r="AI1081" s="230" t="e">
        <f>T1081-HLOOKUP(V1081,Minimas!$C$3:$CD$12,9,FALSE)</f>
        <v>#N/A</v>
      </c>
      <c r="AJ1081" s="230" t="e">
        <f>T1081-HLOOKUP(V1081,Minimas!$C$3:$CD$12,10,FALSE)</f>
        <v>#N/A</v>
      </c>
      <c r="AK1081" s="231" t="str">
        <f t="shared" si="126"/>
        <v xml:space="preserve"> </v>
      </c>
      <c r="AL1081" s="232"/>
      <c r="AM1081" s="232" t="str">
        <f t="shared" si="127"/>
        <v xml:space="preserve"> </v>
      </c>
      <c r="AN1081" s="232" t="str">
        <f t="shared" si="128"/>
        <v xml:space="preserve"> </v>
      </c>
    </row>
    <row r="1082" spans="28:40" x14ac:dyDescent="0.25">
      <c r="AB1082" s="230" t="e">
        <f>T1082-HLOOKUP(V1082,Minimas!$C$3:$CD$12,2,FALSE)</f>
        <v>#N/A</v>
      </c>
      <c r="AC1082" s="230" t="e">
        <f>T1082-HLOOKUP(V1082,Minimas!$C$3:$CD$12,3,FALSE)</f>
        <v>#N/A</v>
      </c>
      <c r="AD1082" s="230" t="e">
        <f>T1082-HLOOKUP(V1082,Minimas!$C$3:$CD$12,4,FALSE)</f>
        <v>#N/A</v>
      </c>
      <c r="AE1082" s="230" t="e">
        <f>T1082-HLOOKUP(V1082,Minimas!$C$3:$CD$12,5,FALSE)</f>
        <v>#N/A</v>
      </c>
      <c r="AF1082" s="230" t="e">
        <f>T1082-HLOOKUP(V1082,Minimas!$C$3:$CD$12,6,FALSE)</f>
        <v>#N/A</v>
      </c>
      <c r="AG1082" s="230" t="e">
        <f>T1082-HLOOKUP(V1082,Minimas!$C$3:$CD$12,7,FALSE)</f>
        <v>#N/A</v>
      </c>
      <c r="AH1082" s="230" t="e">
        <f>T1082-HLOOKUP(V1082,Minimas!$C$3:$CD$12,8,FALSE)</f>
        <v>#N/A</v>
      </c>
      <c r="AI1082" s="230" t="e">
        <f>T1082-HLOOKUP(V1082,Minimas!$C$3:$CD$12,9,FALSE)</f>
        <v>#N/A</v>
      </c>
      <c r="AJ1082" s="230" t="e">
        <f>T1082-HLOOKUP(V1082,Minimas!$C$3:$CD$12,10,FALSE)</f>
        <v>#N/A</v>
      </c>
      <c r="AK1082" s="231" t="str">
        <f t="shared" si="126"/>
        <v xml:space="preserve"> </v>
      </c>
      <c r="AL1082" s="232"/>
      <c r="AM1082" s="232" t="str">
        <f t="shared" si="127"/>
        <v xml:space="preserve"> </v>
      </c>
      <c r="AN1082" s="232" t="str">
        <f t="shared" si="128"/>
        <v xml:space="preserve"> </v>
      </c>
    </row>
    <row r="1083" spans="28:40" x14ac:dyDescent="0.25">
      <c r="AB1083" s="230" t="e">
        <f>T1083-HLOOKUP(V1083,Minimas!$C$3:$CD$12,2,FALSE)</f>
        <v>#N/A</v>
      </c>
      <c r="AC1083" s="230" t="e">
        <f>T1083-HLOOKUP(V1083,Minimas!$C$3:$CD$12,3,FALSE)</f>
        <v>#N/A</v>
      </c>
      <c r="AD1083" s="230" t="e">
        <f>T1083-HLOOKUP(V1083,Minimas!$C$3:$CD$12,4,FALSE)</f>
        <v>#N/A</v>
      </c>
      <c r="AE1083" s="230" t="e">
        <f>T1083-HLOOKUP(V1083,Minimas!$C$3:$CD$12,5,FALSE)</f>
        <v>#N/A</v>
      </c>
      <c r="AF1083" s="230" t="e">
        <f>T1083-HLOOKUP(V1083,Minimas!$C$3:$CD$12,6,FALSE)</f>
        <v>#N/A</v>
      </c>
      <c r="AG1083" s="230" t="e">
        <f>T1083-HLOOKUP(V1083,Minimas!$C$3:$CD$12,7,FALSE)</f>
        <v>#N/A</v>
      </c>
      <c r="AH1083" s="230" t="e">
        <f>T1083-HLOOKUP(V1083,Minimas!$C$3:$CD$12,8,FALSE)</f>
        <v>#N/A</v>
      </c>
      <c r="AI1083" s="230" t="e">
        <f>T1083-HLOOKUP(V1083,Minimas!$C$3:$CD$12,9,FALSE)</f>
        <v>#N/A</v>
      </c>
      <c r="AJ1083" s="230" t="e">
        <f>T1083-HLOOKUP(V1083,Minimas!$C$3:$CD$12,10,FALSE)</f>
        <v>#N/A</v>
      </c>
      <c r="AK1083" s="231" t="str">
        <f t="shared" si="126"/>
        <v xml:space="preserve"> </v>
      </c>
      <c r="AL1083" s="232"/>
      <c r="AM1083" s="232" t="str">
        <f t="shared" si="127"/>
        <v xml:space="preserve"> </v>
      </c>
      <c r="AN1083" s="232" t="str">
        <f t="shared" si="128"/>
        <v xml:space="preserve"> </v>
      </c>
    </row>
    <row r="1084" spans="28:40" x14ac:dyDescent="0.25">
      <c r="AB1084" s="230" t="e">
        <f>T1084-HLOOKUP(V1084,Minimas!$C$3:$CD$12,2,FALSE)</f>
        <v>#N/A</v>
      </c>
      <c r="AC1084" s="230" t="e">
        <f>T1084-HLOOKUP(V1084,Minimas!$C$3:$CD$12,3,FALSE)</f>
        <v>#N/A</v>
      </c>
      <c r="AD1084" s="230" t="e">
        <f>T1084-HLOOKUP(V1084,Minimas!$C$3:$CD$12,4,FALSE)</f>
        <v>#N/A</v>
      </c>
      <c r="AE1084" s="230" t="e">
        <f>T1084-HLOOKUP(V1084,Minimas!$C$3:$CD$12,5,FALSE)</f>
        <v>#N/A</v>
      </c>
      <c r="AF1084" s="230" t="e">
        <f>T1084-HLOOKUP(V1084,Minimas!$C$3:$CD$12,6,FALSE)</f>
        <v>#N/A</v>
      </c>
      <c r="AG1084" s="230" t="e">
        <f>T1084-HLOOKUP(V1084,Minimas!$C$3:$CD$12,7,FALSE)</f>
        <v>#N/A</v>
      </c>
      <c r="AH1084" s="230" t="e">
        <f>T1084-HLOOKUP(V1084,Minimas!$C$3:$CD$12,8,FALSE)</f>
        <v>#N/A</v>
      </c>
      <c r="AI1084" s="230" t="e">
        <f>T1084-HLOOKUP(V1084,Minimas!$C$3:$CD$12,9,FALSE)</f>
        <v>#N/A</v>
      </c>
      <c r="AJ1084" s="230" t="e">
        <f>T1084-HLOOKUP(V1084,Minimas!$C$3:$CD$12,10,FALSE)</f>
        <v>#N/A</v>
      </c>
      <c r="AK1084" s="231" t="str">
        <f t="shared" si="126"/>
        <v xml:space="preserve"> </v>
      </c>
      <c r="AL1084" s="232"/>
      <c r="AM1084" s="232" t="str">
        <f t="shared" si="127"/>
        <v xml:space="preserve"> </v>
      </c>
      <c r="AN1084" s="232" t="str">
        <f t="shared" si="128"/>
        <v xml:space="preserve"> </v>
      </c>
    </row>
    <row r="1085" spans="28:40" x14ac:dyDescent="0.25">
      <c r="AB1085" s="230" t="e">
        <f>T1085-HLOOKUP(V1085,Minimas!$C$3:$CD$12,2,FALSE)</f>
        <v>#N/A</v>
      </c>
      <c r="AC1085" s="230" t="e">
        <f>T1085-HLOOKUP(V1085,Minimas!$C$3:$CD$12,3,FALSE)</f>
        <v>#N/A</v>
      </c>
      <c r="AD1085" s="230" t="e">
        <f>T1085-HLOOKUP(V1085,Minimas!$C$3:$CD$12,4,FALSE)</f>
        <v>#N/A</v>
      </c>
      <c r="AE1085" s="230" t="e">
        <f>T1085-HLOOKUP(V1085,Minimas!$C$3:$CD$12,5,FALSE)</f>
        <v>#N/A</v>
      </c>
      <c r="AF1085" s="230" t="e">
        <f>T1085-HLOOKUP(V1085,Minimas!$C$3:$CD$12,6,FALSE)</f>
        <v>#N/A</v>
      </c>
      <c r="AG1085" s="230" t="e">
        <f>T1085-HLOOKUP(V1085,Minimas!$C$3:$CD$12,7,FALSE)</f>
        <v>#N/A</v>
      </c>
      <c r="AH1085" s="230" t="e">
        <f>T1085-HLOOKUP(V1085,Minimas!$C$3:$CD$12,8,FALSE)</f>
        <v>#N/A</v>
      </c>
      <c r="AI1085" s="230" t="e">
        <f>T1085-HLOOKUP(V1085,Minimas!$C$3:$CD$12,9,FALSE)</f>
        <v>#N/A</v>
      </c>
      <c r="AJ1085" s="230" t="e">
        <f>T1085-HLOOKUP(V1085,Minimas!$C$3:$CD$12,10,FALSE)</f>
        <v>#N/A</v>
      </c>
      <c r="AK1085" s="231" t="str">
        <f t="shared" si="126"/>
        <v xml:space="preserve"> </v>
      </c>
      <c r="AL1085" s="232"/>
      <c r="AM1085" s="232" t="str">
        <f t="shared" si="127"/>
        <v xml:space="preserve"> </v>
      </c>
      <c r="AN1085" s="232" t="str">
        <f t="shared" si="128"/>
        <v xml:space="preserve"> </v>
      </c>
    </row>
    <row r="1086" spans="28:40" x14ac:dyDescent="0.25">
      <c r="AB1086" s="230" t="e">
        <f>T1086-HLOOKUP(V1086,Minimas!$C$3:$CD$12,2,FALSE)</f>
        <v>#N/A</v>
      </c>
      <c r="AC1086" s="230" t="e">
        <f>T1086-HLOOKUP(V1086,Minimas!$C$3:$CD$12,3,FALSE)</f>
        <v>#N/A</v>
      </c>
      <c r="AD1086" s="230" t="e">
        <f>T1086-HLOOKUP(V1086,Minimas!$C$3:$CD$12,4,FALSE)</f>
        <v>#N/A</v>
      </c>
      <c r="AE1086" s="230" t="e">
        <f>T1086-HLOOKUP(V1086,Minimas!$C$3:$CD$12,5,FALSE)</f>
        <v>#N/A</v>
      </c>
      <c r="AF1086" s="230" t="e">
        <f>T1086-HLOOKUP(V1086,Minimas!$C$3:$CD$12,6,FALSE)</f>
        <v>#N/A</v>
      </c>
      <c r="AG1086" s="230" t="e">
        <f>T1086-HLOOKUP(V1086,Minimas!$C$3:$CD$12,7,FALSE)</f>
        <v>#N/A</v>
      </c>
      <c r="AH1086" s="230" t="e">
        <f>T1086-HLOOKUP(V1086,Minimas!$C$3:$CD$12,8,FALSE)</f>
        <v>#N/A</v>
      </c>
      <c r="AI1086" s="230" t="e">
        <f>T1086-HLOOKUP(V1086,Minimas!$C$3:$CD$12,9,FALSE)</f>
        <v>#N/A</v>
      </c>
      <c r="AJ1086" s="230" t="e">
        <f>T1086-HLOOKUP(V1086,Minimas!$C$3:$CD$12,10,FALSE)</f>
        <v>#N/A</v>
      </c>
      <c r="AK1086" s="231" t="str">
        <f t="shared" si="126"/>
        <v xml:space="preserve"> </v>
      </c>
      <c r="AL1086" s="232"/>
      <c r="AM1086" s="232" t="str">
        <f t="shared" si="127"/>
        <v xml:space="preserve"> </v>
      </c>
      <c r="AN1086" s="232" t="str">
        <f t="shared" si="128"/>
        <v xml:space="preserve"> </v>
      </c>
    </row>
    <row r="1087" spans="28:40" x14ac:dyDescent="0.25">
      <c r="AB1087" s="230" t="e">
        <f>T1087-HLOOKUP(V1087,Minimas!$C$3:$CD$12,2,FALSE)</f>
        <v>#N/A</v>
      </c>
      <c r="AC1087" s="230" t="e">
        <f>T1087-HLOOKUP(V1087,Minimas!$C$3:$CD$12,3,FALSE)</f>
        <v>#N/A</v>
      </c>
      <c r="AD1087" s="230" t="e">
        <f>T1087-HLOOKUP(V1087,Minimas!$C$3:$CD$12,4,FALSE)</f>
        <v>#N/A</v>
      </c>
      <c r="AE1087" s="230" t="e">
        <f>T1087-HLOOKUP(V1087,Minimas!$C$3:$CD$12,5,FALSE)</f>
        <v>#N/A</v>
      </c>
      <c r="AF1087" s="230" t="e">
        <f>T1087-HLOOKUP(V1087,Minimas!$C$3:$CD$12,6,FALSE)</f>
        <v>#N/A</v>
      </c>
      <c r="AG1087" s="230" t="e">
        <f>T1087-HLOOKUP(V1087,Minimas!$C$3:$CD$12,7,FALSE)</f>
        <v>#N/A</v>
      </c>
      <c r="AH1087" s="230" t="e">
        <f>T1087-HLOOKUP(V1087,Minimas!$C$3:$CD$12,8,FALSE)</f>
        <v>#N/A</v>
      </c>
      <c r="AI1087" s="230" t="e">
        <f>T1087-HLOOKUP(V1087,Minimas!$C$3:$CD$12,9,FALSE)</f>
        <v>#N/A</v>
      </c>
      <c r="AJ1087" s="230" t="e">
        <f>T1087-HLOOKUP(V1087,Minimas!$C$3:$CD$12,10,FALSE)</f>
        <v>#N/A</v>
      </c>
      <c r="AK1087" s="231" t="str">
        <f t="shared" si="126"/>
        <v xml:space="preserve"> </v>
      </c>
      <c r="AL1087" s="232"/>
      <c r="AM1087" s="232" t="str">
        <f t="shared" si="127"/>
        <v xml:space="preserve"> </v>
      </c>
      <c r="AN1087" s="232" t="str">
        <f t="shared" si="128"/>
        <v xml:space="preserve"> </v>
      </c>
    </row>
    <row r="1088" spans="28:40" x14ac:dyDescent="0.25">
      <c r="AB1088" s="230" t="e">
        <f>T1088-HLOOKUP(V1088,Minimas!$C$3:$CD$12,2,FALSE)</f>
        <v>#N/A</v>
      </c>
      <c r="AC1088" s="230" t="e">
        <f>T1088-HLOOKUP(V1088,Minimas!$C$3:$CD$12,3,FALSE)</f>
        <v>#N/A</v>
      </c>
      <c r="AD1088" s="230" t="e">
        <f>T1088-HLOOKUP(V1088,Minimas!$C$3:$CD$12,4,FALSE)</f>
        <v>#N/A</v>
      </c>
      <c r="AE1088" s="230" t="e">
        <f>T1088-HLOOKUP(V1088,Minimas!$C$3:$CD$12,5,FALSE)</f>
        <v>#N/A</v>
      </c>
      <c r="AF1088" s="230" t="e">
        <f>T1088-HLOOKUP(V1088,Minimas!$C$3:$CD$12,6,FALSE)</f>
        <v>#N/A</v>
      </c>
      <c r="AG1088" s="230" t="e">
        <f>T1088-HLOOKUP(V1088,Minimas!$C$3:$CD$12,7,FALSE)</f>
        <v>#N/A</v>
      </c>
      <c r="AH1088" s="230" t="e">
        <f>T1088-HLOOKUP(V1088,Minimas!$C$3:$CD$12,8,FALSE)</f>
        <v>#N/A</v>
      </c>
      <c r="AI1088" s="230" t="e">
        <f>T1088-HLOOKUP(V1088,Minimas!$C$3:$CD$12,9,FALSE)</f>
        <v>#N/A</v>
      </c>
      <c r="AJ1088" s="230" t="e">
        <f>T1088-HLOOKUP(V1088,Minimas!$C$3:$CD$12,10,FALSE)</f>
        <v>#N/A</v>
      </c>
      <c r="AK1088" s="231" t="str">
        <f t="shared" si="126"/>
        <v xml:space="preserve"> </v>
      </c>
      <c r="AL1088" s="232"/>
      <c r="AM1088" s="232" t="str">
        <f t="shared" si="127"/>
        <v xml:space="preserve"> </v>
      </c>
      <c r="AN1088" s="232" t="str">
        <f t="shared" si="128"/>
        <v xml:space="preserve"> </v>
      </c>
    </row>
    <row r="1089" spans="28:40" x14ac:dyDescent="0.25">
      <c r="AB1089" s="230" t="e">
        <f>T1089-HLOOKUP(V1089,Minimas!$C$3:$CD$12,2,FALSE)</f>
        <v>#N/A</v>
      </c>
      <c r="AC1089" s="230" t="e">
        <f>T1089-HLOOKUP(V1089,Minimas!$C$3:$CD$12,3,FALSE)</f>
        <v>#N/A</v>
      </c>
      <c r="AD1089" s="230" t="e">
        <f>T1089-HLOOKUP(V1089,Minimas!$C$3:$CD$12,4,FALSE)</f>
        <v>#N/A</v>
      </c>
      <c r="AE1089" s="230" t="e">
        <f>T1089-HLOOKUP(V1089,Minimas!$C$3:$CD$12,5,FALSE)</f>
        <v>#N/A</v>
      </c>
      <c r="AF1089" s="230" t="e">
        <f>T1089-HLOOKUP(V1089,Minimas!$C$3:$CD$12,6,FALSE)</f>
        <v>#N/A</v>
      </c>
      <c r="AG1089" s="230" t="e">
        <f>T1089-HLOOKUP(V1089,Minimas!$C$3:$CD$12,7,FALSE)</f>
        <v>#N/A</v>
      </c>
      <c r="AH1089" s="230" t="e">
        <f>T1089-HLOOKUP(V1089,Minimas!$C$3:$CD$12,8,FALSE)</f>
        <v>#N/A</v>
      </c>
      <c r="AI1089" s="230" t="e">
        <f>T1089-HLOOKUP(V1089,Minimas!$C$3:$CD$12,9,FALSE)</f>
        <v>#N/A</v>
      </c>
      <c r="AJ1089" s="230" t="e">
        <f>T1089-HLOOKUP(V1089,Minimas!$C$3:$CD$12,10,FALSE)</f>
        <v>#N/A</v>
      </c>
      <c r="AK1089" s="231" t="str">
        <f t="shared" si="126"/>
        <v xml:space="preserve"> </v>
      </c>
      <c r="AL1089" s="232"/>
      <c r="AM1089" s="232" t="str">
        <f t="shared" si="127"/>
        <v xml:space="preserve"> </v>
      </c>
      <c r="AN1089" s="232" t="str">
        <f t="shared" si="128"/>
        <v xml:space="preserve"> </v>
      </c>
    </row>
    <row r="1090" spans="28:40" x14ac:dyDescent="0.25">
      <c r="AB1090" s="230" t="e">
        <f>T1090-HLOOKUP(V1090,Minimas!$C$3:$CD$12,2,FALSE)</f>
        <v>#N/A</v>
      </c>
      <c r="AC1090" s="230" t="e">
        <f>T1090-HLOOKUP(V1090,Minimas!$C$3:$CD$12,3,FALSE)</f>
        <v>#N/A</v>
      </c>
      <c r="AD1090" s="230" t="e">
        <f>T1090-HLOOKUP(V1090,Minimas!$C$3:$CD$12,4,FALSE)</f>
        <v>#N/A</v>
      </c>
      <c r="AE1090" s="230" t="e">
        <f>T1090-HLOOKUP(V1090,Minimas!$C$3:$CD$12,5,FALSE)</f>
        <v>#N/A</v>
      </c>
      <c r="AF1090" s="230" t="e">
        <f>T1090-HLOOKUP(V1090,Minimas!$C$3:$CD$12,6,FALSE)</f>
        <v>#N/A</v>
      </c>
      <c r="AG1090" s="230" t="e">
        <f>T1090-HLOOKUP(V1090,Minimas!$C$3:$CD$12,7,FALSE)</f>
        <v>#N/A</v>
      </c>
      <c r="AH1090" s="230" t="e">
        <f>T1090-HLOOKUP(V1090,Minimas!$C$3:$CD$12,8,FALSE)</f>
        <v>#N/A</v>
      </c>
      <c r="AI1090" s="230" t="e">
        <f>T1090-HLOOKUP(V1090,Minimas!$C$3:$CD$12,9,FALSE)</f>
        <v>#N/A</v>
      </c>
      <c r="AJ1090" s="230" t="e">
        <f>T1090-HLOOKUP(V1090,Minimas!$C$3:$CD$12,10,FALSE)</f>
        <v>#N/A</v>
      </c>
      <c r="AK1090" s="231" t="str">
        <f t="shared" si="126"/>
        <v xml:space="preserve"> </v>
      </c>
      <c r="AL1090" s="232"/>
      <c r="AM1090" s="232" t="str">
        <f t="shared" si="127"/>
        <v xml:space="preserve"> </v>
      </c>
      <c r="AN1090" s="232" t="str">
        <f t="shared" si="128"/>
        <v xml:space="preserve"> </v>
      </c>
    </row>
    <row r="1091" spans="28:40" x14ac:dyDescent="0.25">
      <c r="AB1091" s="230" t="e">
        <f>T1091-HLOOKUP(V1091,Minimas!$C$3:$CD$12,2,FALSE)</f>
        <v>#N/A</v>
      </c>
      <c r="AC1091" s="230" t="e">
        <f>T1091-HLOOKUP(V1091,Minimas!$C$3:$CD$12,3,FALSE)</f>
        <v>#N/A</v>
      </c>
      <c r="AD1091" s="230" t="e">
        <f>T1091-HLOOKUP(V1091,Minimas!$C$3:$CD$12,4,FALSE)</f>
        <v>#N/A</v>
      </c>
      <c r="AE1091" s="230" t="e">
        <f>T1091-HLOOKUP(V1091,Minimas!$C$3:$CD$12,5,FALSE)</f>
        <v>#N/A</v>
      </c>
      <c r="AF1091" s="230" t="e">
        <f>T1091-HLOOKUP(V1091,Minimas!$C$3:$CD$12,6,FALSE)</f>
        <v>#N/A</v>
      </c>
      <c r="AG1091" s="230" t="e">
        <f>T1091-HLOOKUP(V1091,Minimas!$C$3:$CD$12,7,FALSE)</f>
        <v>#N/A</v>
      </c>
      <c r="AH1091" s="230" t="e">
        <f>T1091-HLOOKUP(V1091,Minimas!$C$3:$CD$12,8,FALSE)</f>
        <v>#N/A</v>
      </c>
      <c r="AI1091" s="230" t="e">
        <f>T1091-HLOOKUP(V1091,Minimas!$C$3:$CD$12,9,FALSE)</f>
        <v>#N/A</v>
      </c>
      <c r="AJ1091" s="230" t="e">
        <f>T1091-HLOOKUP(V1091,Minimas!$C$3:$CD$12,10,FALSE)</f>
        <v>#N/A</v>
      </c>
      <c r="AK1091" s="231" t="str">
        <f t="shared" si="126"/>
        <v xml:space="preserve"> </v>
      </c>
      <c r="AL1091" s="232"/>
      <c r="AM1091" s="232" t="str">
        <f t="shared" si="127"/>
        <v xml:space="preserve"> </v>
      </c>
      <c r="AN1091" s="232" t="str">
        <f t="shared" si="128"/>
        <v xml:space="preserve"> </v>
      </c>
    </row>
    <row r="1092" spans="28:40" x14ac:dyDescent="0.25">
      <c r="AB1092" s="230" t="e">
        <f>T1092-HLOOKUP(V1092,Minimas!$C$3:$CD$12,2,FALSE)</f>
        <v>#N/A</v>
      </c>
      <c r="AC1092" s="230" t="e">
        <f>T1092-HLOOKUP(V1092,Minimas!$C$3:$CD$12,3,FALSE)</f>
        <v>#N/A</v>
      </c>
      <c r="AD1092" s="230" t="e">
        <f>T1092-HLOOKUP(V1092,Minimas!$C$3:$CD$12,4,FALSE)</f>
        <v>#N/A</v>
      </c>
      <c r="AE1092" s="230" t="e">
        <f>T1092-HLOOKUP(V1092,Minimas!$C$3:$CD$12,5,FALSE)</f>
        <v>#N/A</v>
      </c>
      <c r="AF1092" s="230" t="e">
        <f>T1092-HLOOKUP(V1092,Minimas!$C$3:$CD$12,6,FALSE)</f>
        <v>#N/A</v>
      </c>
      <c r="AG1092" s="230" t="e">
        <f>T1092-HLOOKUP(V1092,Minimas!$C$3:$CD$12,7,FALSE)</f>
        <v>#N/A</v>
      </c>
      <c r="AH1092" s="230" t="e">
        <f>T1092-HLOOKUP(V1092,Minimas!$C$3:$CD$12,8,FALSE)</f>
        <v>#N/A</v>
      </c>
      <c r="AI1092" s="230" t="e">
        <f>T1092-HLOOKUP(V1092,Minimas!$C$3:$CD$12,9,FALSE)</f>
        <v>#N/A</v>
      </c>
      <c r="AJ1092" s="230" t="e">
        <f>T1092-HLOOKUP(V1092,Minimas!$C$3:$CD$12,10,FALSE)</f>
        <v>#N/A</v>
      </c>
      <c r="AK1092" s="231" t="str">
        <f t="shared" ref="AK1092:AK1155" si="129">IF(E1092=0," ",IF(AJ1092&gt;=0,$AJ$5,IF(AI1092&gt;=0,$AI$5,IF(AH1092&gt;=0,$AH$5,IF(AG1092&gt;=0,$AG$5,IF(AF1092&gt;=0,$AF$5,IF(AE1092&gt;=0,$AE$5,IF(AD1092&gt;=0,$AD$5,IF(AC1092&gt;=0,$AC$5,$AB$5)))))))))</f>
        <v xml:space="preserve"> </v>
      </c>
      <c r="AL1092" s="232"/>
      <c r="AM1092" s="232" t="str">
        <f t="shared" ref="AM1092:AM1155" si="130">IF(AK1092="","",AK1092)</f>
        <v xml:space="preserve"> </v>
      </c>
      <c r="AN1092" s="232" t="str">
        <f t="shared" ref="AN1092:AN1155" si="131">IF(E1092=0," ",IF(AJ1092&gt;=0,AJ1092,IF(AI1092&gt;=0,AI1092,IF(AH1092&gt;=0,AH1092,IF(AG1092&gt;=0,AG1092,IF(AF1092&gt;=0,AF1092,IF(AE1092&gt;=0,AE1092,IF(AD1092&gt;=0,AD1092,IF(AC1092&gt;=0,AC1092,AB1092)))))))))</f>
        <v xml:space="preserve"> </v>
      </c>
    </row>
    <row r="1093" spans="28:40" x14ac:dyDescent="0.25">
      <c r="AB1093" s="230" t="e">
        <f>T1093-HLOOKUP(V1093,Minimas!$C$3:$CD$12,2,FALSE)</f>
        <v>#N/A</v>
      </c>
      <c r="AC1093" s="230" t="e">
        <f>T1093-HLOOKUP(V1093,Minimas!$C$3:$CD$12,3,FALSE)</f>
        <v>#N/A</v>
      </c>
      <c r="AD1093" s="230" t="e">
        <f>T1093-HLOOKUP(V1093,Minimas!$C$3:$CD$12,4,FALSE)</f>
        <v>#N/A</v>
      </c>
      <c r="AE1093" s="230" t="e">
        <f>T1093-HLOOKUP(V1093,Minimas!$C$3:$CD$12,5,FALSE)</f>
        <v>#N/A</v>
      </c>
      <c r="AF1093" s="230" t="e">
        <f>T1093-HLOOKUP(V1093,Minimas!$C$3:$CD$12,6,FALSE)</f>
        <v>#N/A</v>
      </c>
      <c r="AG1093" s="230" t="e">
        <f>T1093-HLOOKUP(V1093,Minimas!$C$3:$CD$12,7,FALSE)</f>
        <v>#N/A</v>
      </c>
      <c r="AH1093" s="230" t="e">
        <f>T1093-HLOOKUP(V1093,Minimas!$C$3:$CD$12,8,FALSE)</f>
        <v>#N/A</v>
      </c>
      <c r="AI1093" s="230" t="e">
        <f>T1093-HLOOKUP(V1093,Minimas!$C$3:$CD$12,9,FALSE)</f>
        <v>#N/A</v>
      </c>
      <c r="AJ1093" s="230" t="e">
        <f>T1093-HLOOKUP(V1093,Minimas!$C$3:$CD$12,10,FALSE)</f>
        <v>#N/A</v>
      </c>
      <c r="AK1093" s="231" t="str">
        <f t="shared" si="129"/>
        <v xml:space="preserve"> </v>
      </c>
      <c r="AL1093" s="232"/>
      <c r="AM1093" s="232" t="str">
        <f t="shared" si="130"/>
        <v xml:space="preserve"> </v>
      </c>
      <c r="AN1093" s="232" t="str">
        <f t="shared" si="131"/>
        <v xml:space="preserve"> </v>
      </c>
    </row>
    <row r="1094" spans="28:40" x14ac:dyDescent="0.25">
      <c r="AB1094" s="230" t="e">
        <f>T1094-HLOOKUP(V1094,Minimas!$C$3:$CD$12,2,FALSE)</f>
        <v>#N/A</v>
      </c>
      <c r="AC1094" s="230" t="e">
        <f>T1094-HLOOKUP(V1094,Minimas!$C$3:$CD$12,3,FALSE)</f>
        <v>#N/A</v>
      </c>
      <c r="AD1094" s="230" t="e">
        <f>T1094-HLOOKUP(V1094,Minimas!$C$3:$CD$12,4,FALSE)</f>
        <v>#N/A</v>
      </c>
      <c r="AE1094" s="230" t="e">
        <f>T1094-HLOOKUP(V1094,Minimas!$C$3:$CD$12,5,FALSE)</f>
        <v>#N/A</v>
      </c>
      <c r="AF1094" s="230" t="e">
        <f>T1094-HLOOKUP(V1094,Minimas!$C$3:$CD$12,6,FALSE)</f>
        <v>#N/A</v>
      </c>
      <c r="AG1094" s="230" t="e">
        <f>T1094-HLOOKUP(V1094,Minimas!$C$3:$CD$12,7,FALSE)</f>
        <v>#N/A</v>
      </c>
      <c r="AH1094" s="230" t="e">
        <f>T1094-HLOOKUP(V1094,Minimas!$C$3:$CD$12,8,FALSE)</f>
        <v>#N/A</v>
      </c>
      <c r="AI1094" s="230" t="e">
        <f>T1094-HLOOKUP(V1094,Minimas!$C$3:$CD$12,9,FALSE)</f>
        <v>#N/A</v>
      </c>
      <c r="AJ1094" s="230" t="e">
        <f>T1094-HLOOKUP(V1094,Minimas!$C$3:$CD$12,10,FALSE)</f>
        <v>#N/A</v>
      </c>
      <c r="AK1094" s="231" t="str">
        <f t="shared" si="129"/>
        <v xml:space="preserve"> </v>
      </c>
      <c r="AL1094" s="232"/>
      <c r="AM1094" s="232" t="str">
        <f t="shared" si="130"/>
        <v xml:space="preserve"> </v>
      </c>
      <c r="AN1094" s="232" t="str">
        <f t="shared" si="131"/>
        <v xml:space="preserve"> </v>
      </c>
    </row>
    <row r="1095" spans="28:40" x14ac:dyDescent="0.25">
      <c r="AB1095" s="230" t="e">
        <f>T1095-HLOOKUP(V1095,Minimas!$C$3:$CD$12,2,FALSE)</f>
        <v>#N/A</v>
      </c>
      <c r="AC1095" s="230" t="e">
        <f>T1095-HLOOKUP(V1095,Minimas!$C$3:$CD$12,3,FALSE)</f>
        <v>#N/A</v>
      </c>
      <c r="AD1095" s="230" t="e">
        <f>T1095-HLOOKUP(V1095,Minimas!$C$3:$CD$12,4,FALSE)</f>
        <v>#N/A</v>
      </c>
      <c r="AE1095" s="230" t="e">
        <f>T1095-HLOOKUP(V1095,Minimas!$C$3:$CD$12,5,FALSE)</f>
        <v>#N/A</v>
      </c>
      <c r="AF1095" s="230" t="e">
        <f>T1095-HLOOKUP(V1095,Minimas!$C$3:$CD$12,6,FALSE)</f>
        <v>#N/A</v>
      </c>
      <c r="AG1095" s="230" t="e">
        <f>T1095-HLOOKUP(V1095,Minimas!$C$3:$CD$12,7,FALSE)</f>
        <v>#N/A</v>
      </c>
      <c r="AH1095" s="230" t="e">
        <f>T1095-HLOOKUP(V1095,Minimas!$C$3:$CD$12,8,FALSE)</f>
        <v>#N/A</v>
      </c>
      <c r="AI1095" s="230" t="e">
        <f>T1095-HLOOKUP(V1095,Minimas!$C$3:$CD$12,9,FALSE)</f>
        <v>#N/A</v>
      </c>
      <c r="AJ1095" s="230" t="e">
        <f>T1095-HLOOKUP(V1095,Minimas!$C$3:$CD$12,10,FALSE)</f>
        <v>#N/A</v>
      </c>
      <c r="AK1095" s="231" t="str">
        <f t="shared" si="129"/>
        <v xml:space="preserve"> </v>
      </c>
      <c r="AL1095" s="232"/>
      <c r="AM1095" s="232" t="str">
        <f t="shared" si="130"/>
        <v xml:space="preserve"> </v>
      </c>
      <c r="AN1095" s="232" t="str">
        <f t="shared" si="131"/>
        <v xml:space="preserve"> </v>
      </c>
    </row>
    <row r="1096" spans="28:40" x14ac:dyDescent="0.25">
      <c r="AB1096" s="230" t="e">
        <f>T1096-HLOOKUP(V1096,Minimas!$C$3:$CD$12,2,FALSE)</f>
        <v>#N/A</v>
      </c>
      <c r="AC1096" s="230" t="e">
        <f>T1096-HLOOKUP(V1096,Minimas!$C$3:$CD$12,3,FALSE)</f>
        <v>#N/A</v>
      </c>
      <c r="AD1096" s="230" t="e">
        <f>T1096-HLOOKUP(V1096,Minimas!$C$3:$CD$12,4,FALSE)</f>
        <v>#N/A</v>
      </c>
      <c r="AE1096" s="230" t="e">
        <f>T1096-HLOOKUP(V1096,Minimas!$C$3:$CD$12,5,FALSE)</f>
        <v>#N/A</v>
      </c>
      <c r="AF1096" s="230" t="e">
        <f>T1096-HLOOKUP(V1096,Minimas!$C$3:$CD$12,6,FALSE)</f>
        <v>#N/A</v>
      </c>
      <c r="AG1096" s="230" t="e">
        <f>T1096-HLOOKUP(V1096,Minimas!$C$3:$CD$12,7,FALSE)</f>
        <v>#N/A</v>
      </c>
      <c r="AH1096" s="230" t="e">
        <f>T1096-HLOOKUP(V1096,Minimas!$C$3:$CD$12,8,FALSE)</f>
        <v>#N/A</v>
      </c>
      <c r="AI1096" s="230" t="e">
        <f>T1096-HLOOKUP(V1096,Minimas!$C$3:$CD$12,9,FALSE)</f>
        <v>#N/A</v>
      </c>
      <c r="AJ1096" s="230" t="e">
        <f>T1096-HLOOKUP(V1096,Minimas!$C$3:$CD$12,10,FALSE)</f>
        <v>#N/A</v>
      </c>
      <c r="AK1096" s="231" t="str">
        <f t="shared" si="129"/>
        <v xml:space="preserve"> </v>
      </c>
      <c r="AL1096" s="232"/>
      <c r="AM1096" s="232" t="str">
        <f t="shared" si="130"/>
        <v xml:space="preserve"> </v>
      </c>
      <c r="AN1096" s="232" t="str">
        <f t="shared" si="131"/>
        <v xml:space="preserve"> </v>
      </c>
    </row>
    <row r="1097" spans="28:40" x14ac:dyDescent="0.25">
      <c r="AB1097" s="230" t="e">
        <f>T1097-HLOOKUP(V1097,Minimas!$C$3:$CD$12,2,FALSE)</f>
        <v>#N/A</v>
      </c>
      <c r="AC1097" s="230" t="e">
        <f>T1097-HLOOKUP(V1097,Minimas!$C$3:$CD$12,3,FALSE)</f>
        <v>#N/A</v>
      </c>
      <c r="AD1097" s="230" t="e">
        <f>T1097-HLOOKUP(V1097,Minimas!$C$3:$CD$12,4,FALSE)</f>
        <v>#N/A</v>
      </c>
      <c r="AE1097" s="230" t="e">
        <f>T1097-HLOOKUP(V1097,Minimas!$C$3:$CD$12,5,FALSE)</f>
        <v>#N/A</v>
      </c>
      <c r="AF1097" s="230" t="e">
        <f>T1097-HLOOKUP(V1097,Minimas!$C$3:$CD$12,6,FALSE)</f>
        <v>#N/A</v>
      </c>
      <c r="AG1097" s="230" t="e">
        <f>T1097-HLOOKUP(V1097,Minimas!$C$3:$CD$12,7,FALSE)</f>
        <v>#N/A</v>
      </c>
      <c r="AH1097" s="230" t="e">
        <f>T1097-HLOOKUP(V1097,Minimas!$C$3:$CD$12,8,FALSE)</f>
        <v>#N/A</v>
      </c>
      <c r="AI1097" s="230" t="e">
        <f>T1097-HLOOKUP(V1097,Minimas!$C$3:$CD$12,9,FALSE)</f>
        <v>#N/A</v>
      </c>
      <c r="AJ1097" s="230" t="e">
        <f>T1097-HLOOKUP(V1097,Minimas!$C$3:$CD$12,10,FALSE)</f>
        <v>#N/A</v>
      </c>
      <c r="AK1097" s="231" t="str">
        <f t="shared" si="129"/>
        <v xml:space="preserve"> </v>
      </c>
      <c r="AL1097" s="232"/>
      <c r="AM1097" s="232" t="str">
        <f t="shared" si="130"/>
        <v xml:space="preserve"> </v>
      </c>
      <c r="AN1097" s="232" t="str">
        <f t="shared" si="131"/>
        <v xml:space="preserve"> </v>
      </c>
    </row>
    <row r="1098" spans="28:40" x14ac:dyDescent="0.25">
      <c r="AB1098" s="230" t="e">
        <f>T1098-HLOOKUP(V1098,Minimas!$C$3:$CD$12,2,FALSE)</f>
        <v>#N/A</v>
      </c>
      <c r="AC1098" s="230" t="e">
        <f>T1098-HLOOKUP(V1098,Minimas!$C$3:$CD$12,3,FALSE)</f>
        <v>#N/A</v>
      </c>
      <c r="AD1098" s="230" t="e">
        <f>T1098-HLOOKUP(V1098,Minimas!$C$3:$CD$12,4,FALSE)</f>
        <v>#N/A</v>
      </c>
      <c r="AE1098" s="230" t="e">
        <f>T1098-HLOOKUP(V1098,Minimas!$C$3:$CD$12,5,FALSE)</f>
        <v>#N/A</v>
      </c>
      <c r="AF1098" s="230" t="e">
        <f>T1098-HLOOKUP(V1098,Minimas!$C$3:$CD$12,6,FALSE)</f>
        <v>#N/A</v>
      </c>
      <c r="AG1098" s="230" t="e">
        <f>T1098-HLOOKUP(V1098,Minimas!$C$3:$CD$12,7,FALSE)</f>
        <v>#N/A</v>
      </c>
      <c r="AH1098" s="230" t="e">
        <f>T1098-HLOOKUP(V1098,Minimas!$C$3:$CD$12,8,FALSE)</f>
        <v>#N/A</v>
      </c>
      <c r="AI1098" s="230" t="e">
        <f>T1098-HLOOKUP(V1098,Minimas!$C$3:$CD$12,9,FALSE)</f>
        <v>#N/A</v>
      </c>
      <c r="AJ1098" s="230" t="e">
        <f>T1098-HLOOKUP(V1098,Minimas!$C$3:$CD$12,10,FALSE)</f>
        <v>#N/A</v>
      </c>
      <c r="AK1098" s="231" t="str">
        <f t="shared" si="129"/>
        <v xml:space="preserve"> </v>
      </c>
      <c r="AL1098" s="232"/>
      <c r="AM1098" s="232" t="str">
        <f t="shared" si="130"/>
        <v xml:space="preserve"> </v>
      </c>
      <c r="AN1098" s="232" t="str">
        <f t="shared" si="131"/>
        <v xml:space="preserve"> </v>
      </c>
    </row>
    <row r="1099" spans="28:40" x14ac:dyDescent="0.25">
      <c r="AB1099" s="230" t="e">
        <f>T1099-HLOOKUP(V1099,Minimas!$C$3:$CD$12,2,FALSE)</f>
        <v>#N/A</v>
      </c>
      <c r="AC1099" s="230" t="e">
        <f>T1099-HLOOKUP(V1099,Minimas!$C$3:$CD$12,3,FALSE)</f>
        <v>#N/A</v>
      </c>
      <c r="AD1099" s="230" t="e">
        <f>T1099-HLOOKUP(V1099,Minimas!$C$3:$CD$12,4,FALSE)</f>
        <v>#N/A</v>
      </c>
      <c r="AE1099" s="230" t="e">
        <f>T1099-HLOOKUP(V1099,Minimas!$C$3:$CD$12,5,FALSE)</f>
        <v>#N/A</v>
      </c>
      <c r="AF1099" s="230" t="e">
        <f>T1099-HLOOKUP(V1099,Minimas!$C$3:$CD$12,6,FALSE)</f>
        <v>#N/A</v>
      </c>
      <c r="AG1099" s="230" t="e">
        <f>T1099-HLOOKUP(V1099,Minimas!$C$3:$CD$12,7,FALSE)</f>
        <v>#N/A</v>
      </c>
      <c r="AH1099" s="230" t="e">
        <f>T1099-HLOOKUP(V1099,Minimas!$C$3:$CD$12,8,FALSE)</f>
        <v>#N/A</v>
      </c>
      <c r="AI1099" s="230" t="e">
        <f>T1099-HLOOKUP(V1099,Minimas!$C$3:$CD$12,9,FALSE)</f>
        <v>#N/A</v>
      </c>
      <c r="AJ1099" s="230" t="e">
        <f>T1099-HLOOKUP(V1099,Minimas!$C$3:$CD$12,10,FALSE)</f>
        <v>#N/A</v>
      </c>
      <c r="AK1099" s="231" t="str">
        <f t="shared" si="129"/>
        <v xml:space="preserve"> </v>
      </c>
      <c r="AL1099" s="232"/>
      <c r="AM1099" s="232" t="str">
        <f t="shared" si="130"/>
        <v xml:space="preserve"> </v>
      </c>
      <c r="AN1099" s="232" t="str">
        <f t="shared" si="131"/>
        <v xml:space="preserve"> </v>
      </c>
    </row>
    <row r="1100" spans="28:40" x14ac:dyDescent="0.25">
      <c r="AB1100" s="230" t="e">
        <f>T1100-HLOOKUP(V1100,Minimas!$C$3:$CD$12,2,FALSE)</f>
        <v>#N/A</v>
      </c>
      <c r="AC1100" s="230" t="e">
        <f>T1100-HLOOKUP(V1100,Minimas!$C$3:$CD$12,3,FALSE)</f>
        <v>#N/A</v>
      </c>
      <c r="AD1100" s="230" t="e">
        <f>T1100-HLOOKUP(V1100,Minimas!$C$3:$CD$12,4,FALSE)</f>
        <v>#N/A</v>
      </c>
      <c r="AE1100" s="230" t="e">
        <f>T1100-HLOOKUP(V1100,Minimas!$C$3:$CD$12,5,FALSE)</f>
        <v>#N/A</v>
      </c>
      <c r="AF1100" s="230" t="e">
        <f>T1100-HLOOKUP(V1100,Minimas!$C$3:$CD$12,6,FALSE)</f>
        <v>#N/A</v>
      </c>
      <c r="AG1100" s="230" t="e">
        <f>T1100-HLOOKUP(V1100,Minimas!$C$3:$CD$12,7,FALSE)</f>
        <v>#N/A</v>
      </c>
      <c r="AH1100" s="230" t="e">
        <f>T1100-HLOOKUP(V1100,Minimas!$C$3:$CD$12,8,FALSE)</f>
        <v>#N/A</v>
      </c>
      <c r="AI1100" s="230" t="e">
        <f>T1100-HLOOKUP(V1100,Minimas!$C$3:$CD$12,9,FALSE)</f>
        <v>#N/A</v>
      </c>
      <c r="AJ1100" s="230" t="e">
        <f>T1100-HLOOKUP(V1100,Minimas!$C$3:$CD$12,10,FALSE)</f>
        <v>#N/A</v>
      </c>
      <c r="AK1100" s="231" t="str">
        <f t="shared" si="129"/>
        <v xml:space="preserve"> </v>
      </c>
      <c r="AL1100" s="232"/>
      <c r="AM1100" s="232" t="str">
        <f t="shared" si="130"/>
        <v xml:space="preserve"> </v>
      </c>
      <c r="AN1100" s="232" t="str">
        <f t="shared" si="131"/>
        <v xml:space="preserve"> </v>
      </c>
    </row>
    <row r="1101" spans="28:40" x14ac:dyDescent="0.25">
      <c r="AB1101" s="230" t="e">
        <f>T1101-HLOOKUP(V1101,Minimas!$C$3:$CD$12,2,FALSE)</f>
        <v>#N/A</v>
      </c>
      <c r="AC1101" s="230" t="e">
        <f>T1101-HLOOKUP(V1101,Minimas!$C$3:$CD$12,3,FALSE)</f>
        <v>#N/A</v>
      </c>
      <c r="AD1101" s="230" t="e">
        <f>T1101-HLOOKUP(V1101,Minimas!$C$3:$CD$12,4,FALSE)</f>
        <v>#N/A</v>
      </c>
      <c r="AE1101" s="230" t="e">
        <f>T1101-HLOOKUP(V1101,Minimas!$C$3:$CD$12,5,FALSE)</f>
        <v>#N/A</v>
      </c>
      <c r="AF1101" s="230" t="e">
        <f>T1101-HLOOKUP(V1101,Minimas!$C$3:$CD$12,6,FALSE)</f>
        <v>#N/A</v>
      </c>
      <c r="AG1101" s="230" t="e">
        <f>T1101-HLOOKUP(V1101,Minimas!$C$3:$CD$12,7,FALSE)</f>
        <v>#N/A</v>
      </c>
      <c r="AH1101" s="230" t="e">
        <f>T1101-HLOOKUP(V1101,Minimas!$C$3:$CD$12,8,FALSE)</f>
        <v>#N/A</v>
      </c>
      <c r="AI1101" s="230" t="e">
        <f>T1101-HLOOKUP(V1101,Minimas!$C$3:$CD$12,9,FALSE)</f>
        <v>#N/A</v>
      </c>
      <c r="AJ1101" s="230" t="e">
        <f>T1101-HLOOKUP(V1101,Minimas!$C$3:$CD$12,10,FALSE)</f>
        <v>#N/A</v>
      </c>
      <c r="AK1101" s="231" t="str">
        <f t="shared" si="129"/>
        <v xml:space="preserve"> </v>
      </c>
      <c r="AL1101" s="232"/>
      <c r="AM1101" s="232" t="str">
        <f t="shared" si="130"/>
        <v xml:space="preserve"> </v>
      </c>
      <c r="AN1101" s="232" t="str">
        <f t="shared" si="131"/>
        <v xml:space="preserve"> </v>
      </c>
    </row>
    <row r="1102" spans="28:40" x14ac:dyDescent="0.25">
      <c r="AB1102" s="230" t="e">
        <f>T1102-HLOOKUP(V1102,Minimas!$C$3:$CD$12,2,FALSE)</f>
        <v>#N/A</v>
      </c>
      <c r="AC1102" s="230" t="e">
        <f>T1102-HLOOKUP(V1102,Minimas!$C$3:$CD$12,3,FALSE)</f>
        <v>#N/A</v>
      </c>
      <c r="AD1102" s="230" t="e">
        <f>T1102-HLOOKUP(V1102,Minimas!$C$3:$CD$12,4,FALSE)</f>
        <v>#N/A</v>
      </c>
      <c r="AE1102" s="230" t="e">
        <f>T1102-HLOOKUP(V1102,Minimas!$C$3:$CD$12,5,FALSE)</f>
        <v>#N/A</v>
      </c>
      <c r="AF1102" s="230" t="e">
        <f>T1102-HLOOKUP(V1102,Minimas!$C$3:$CD$12,6,FALSE)</f>
        <v>#N/A</v>
      </c>
      <c r="AG1102" s="230" t="e">
        <f>T1102-HLOOKUP(V1102,Minimas!$C$3:$CD$12,7,FALSE)</f>
        <v>#N/A</v>
      </c>
      <c r="AH1102" s="230" t="e">
        <f>T1102-HLOOKUP(V1102,Minimas!$C$3:$CD$12,8,FALSE)</f>
        <v>#N/A</v>
      </c>
      <c r="AI1102" s="230" t="e">
        <f>T1102-HLOOKUP(V1102,Minimas!$C$3:$CD$12,9,FALSE)</f>
        <v>#N/A</v>
      </c>
      <c r="AJ1102" s="230" t="e">
        <f>T1102-HLOOKUP(V1102,Minimas!$C$3:$CD$12,10,FALSE)</f>
        <v>#N/A</v>
      </c>
      <c r="AK1102" s="231" t="str">
        <f t="shared" si="129"/>
        <v xml:space="preserve"> </v>
      </c>
      <c r="AL1102" s="232"/>
      <c r="AM1102" s="232" t="str">
        <f t="shared" si="130"/>
        <v xml:space="preserve"> </v>
      </c>
      <c r="AN1102" s="232" t="str">
        <f t="shared" si="131"/>
        <v xml:space="preserve"> </v>
      </c>
    </row>
    <row r="1103" spans="28:40" x14ac:dyDescent="0.25">
      <c r="AB1103" s="230" t="e">
        <f>T1103-HLOOKUP(V1103,Minimas!$C$3:$CD$12,2,FALSE)</f>
        <v>#N/A</v>
      </c>
      <c r="AC1103" s="230" t="e">
        <f>T1103-HLOOKUP(V1103,Minimas!$C$3:$CD$12,3,FALSE)</f>
        <v>#N/A</v>
      </c>
      <c r="AD1103" s="230" t="e">
        <f>T1103-HLOOKUP(V1103,Minimas!$C$3:$CD$12,4,FALSE)</f>
        <v>#N/A</v>
      </c>
      <c r="AE1103" s="230" t="e">
        <f>T1103-HLOOKUP(V1103,Minimas!$C$3:$CD$12,5,FALSE)</f>
        <v>#N/A</v>
      </c>
      <c r="AF1103" s="230" t="e">
        <f>T1103-HLOOKUP(V1103,Minimas!$C$3:$CD$12,6,FALSE)</f>
        <v>#N/A</v>
      </c>
      <c r="AG1103" s="230" t="e">
        <f>T1103-HLOOKUP(V1103,Minimas!$C$3:$CD$12,7,FALSE)</f>
        <v>#N/A</v>
      </c>
      <c r="AH1103" s="230" t="e">
        <f>T1103-HLOOKUP(V1103,Minimas!$C$3:$CD$12,8,FALSE)</f>
        <v>#N/A</v>
      </c>
      <c r="AI1103" s="230" t="e">
        <f>T1103-HLOOKUP(V1103,Minimas!$C$3:$CD$12,9,FALSE)</f>
        <v>#N/A</v>
      </c>
      <c r="AJ1103" s="230" t="e">
        <f>T1103-HLOOKUP(V1103,Minimas!$C$3:$CD$12,10,FALSE)</f>
        <v>#N/A</v>
      </c>
      <c r="AK1103" s="231" t="str">
        <f t="shared" si="129"/>
        <v xml:space="preserve"> </v>
      </c>
      <c r="AL1103" s="232"/>
      <c r="AM1103" s="232" t="str">
        <f t="shared" si="130"/>
        <v xml:space="preserve"> </v>
      </c>
      <c r="AN1103" s="232" t="str">
        <f t="shared" si="131"/>
        <v xml:space="preserve"> </v>
      </c>
    </row>
    <row r="1104" spans="28:40" x14ac:dyDescent="0.25">
      <c r="AB1104" s="230" t="e">
        <f>T1104-HLOOKUP(V1104,Minimas!$C$3:$CD$12,2,FALSE)</f>
        <v>#N/A</v>
      </c>
      <c r="AC1104" s="230" t="e">
        <f>T1104-HLOOKUP(V1104,Minimas!$C$3:$CD$12,3,FALSE)</f>
        <v>#N/A</v>
      </c>
      <c r="AD1104" s="230" t="e">
        <f>T1104-HLOOKUP(V1104,Minimas!$C$3:$CD$12,4,FALSE)</f>
        <v>#N/A</v>
      </c>
      <c r="AE1104" s="230" t="e">
        <f>T1104-HLOOKUP(V1104,Minimas!$C$3:$CD$12,5,FALSE)</f>
        <v>#N/A</v>
      </c>
      <c r="AF1104" s="230" t="e">
        <f>T1104-HLOOKUP(V1104,Minimas!$C$3:$CD$12,6,FALSE)</f>
        <v>#N/A</v>
      </c>
      <c r="AG1104" s="230" t="e">
        <f>T1104-HLOOKUP(V1104,Minimas!$C$3:$CD$12,7,FALSE)</f>
        <v>#N/A</v>
      </c>
      <c r="AH1104" s="230" t="e">
        <f>T1104-HLOOKUP(V1104,Minimas!$C$3:$CD$12,8,FALSE)</f>
        <v>#N/A</v>
      </c>
      <c r="AI1104" s="230" t="e">
        <f>T1104-HLOOKUP(V1104,Minimas!$C$3:$CD$12,9,FALSE)</f>
        <v>#N/A</v>
      </c>
      <c r="AJ1104" s="230" t="e">
        <f>T1104-HLOOKUP(V1104,Minimas!$C$3:$CD$12,10,FALSE)</f>
        <v>#N/A</v>
      </c>
      <c r="AK1104" s="231" t="str">
        <f t="shared" si="129"/>
        <v xml:space="preserve"> </v>
      </c>
      <c r="AL1104" s="232"/>
      <c r="AM1104" s="232" t="str">
        <f t="shared" si="130"/>
        <v xml:space="preserve"> </v>
      </c>
      <c r="AN1104" s="232" t="str">
        <f t="shared" si="131"/>
        <v xml:space="preserve"> </v>
      </c>
    </row>
    <row r="1105" spans="28:40" x14ac:dyDescent="0.25">
      <c r="AB1105" s="230" t="e">
        <f>T1105-HLOOKUP(V1105,Minimas!$C$3:$CD$12,2,FALSE)</f>
        <v>#N/A</v>
      </c>
      <c r="AC1105" s="230" t="e">
        <f>T1105-HLOOKUP(V1105,Minimas!$C$3:$CD$12,3,FALSE)</f>
        <v>#N/A</v>
      </c>
      <c r="AD1105" s="230" t="e">
        <f>T1105-HLOOKUP(V1105,Minimas!$C$3:$CD$12,4,FALSE)</f>
        <v>#N/A</v>
      </c>
      <c r="AE1105" s="230" t="e">
        <f>T1105-HLOOKUP(V1105,Minimas!$C$3:$CD$12,5,FALSE)</f>
        <v>#N/A</v>
      </c>
      <c r="AF1105" s="230" t="e">
        <f>T1105-HLOOKUP(V1105,Minimas!$C$3:$CD$12,6,FALSE)</f>
        <v>#N/A</v>
      </c>
      <c r="AG1105" s="230" t="e">
        <f>T1105-HLOOKUP(V1105,Minimas!$C$3:$CD$12,7,FALSE)</f>
        <v>#N/A</v>
      </c>
      <c r="AH1105" s="230" t="e">
        <f>T1105-HLOOKUP(V1105,Minimas!$C$3:$CD$12,8,FALSE)</f>
        <v>#N/A</v>
      </c>
      <c r="AI1105" s="230" t="e">
        <f>T1105-HLOOKUP(V1105,Minimas!$C$3:$CD$12,9,FALSE)</f>
        <v>#N/A</v>
      </c>
      <c r="AJ1105" s="230" t="e">
        <f>T1105-HLOOKUP(V1105,Minimas!$C$3:$CD$12,10,FALSE)</f>
        <v>#N/A</v>
      </c>
      <c r="AK1105" s="231" t="str">
        <f t="shared" si="129"/>
        <v xml:space="preserve"> </v>
      </c>
      <c r="AL1105" s="232"/>
      <c r="AM1105" s="232" t="str">
        <f t="shared" si="130"/>
        <v xml:space="preserve"> </v>
      </c>
      <c r="AN1105" s="232" t="str">
        <f t="shared" si="131"/>
        <v xml:space="preserve"> </v>
      </c>
    </row>
    <row r="1106" spans="28:40" x14ac:dyDescent="0.25">
      <c r="AB1106" s="230" t="e">
        <f>T1106-HLOOKUP(V1106,Minimas!$C$3:$CD$12,2,FALSE)</f>
        <v>#N/A</v>
      </c>
      <c r="AC1106" s="230" t="e">
        <f>T1106-HLOOKUP(V1106,Minimas!$C$3:$CD$12,3,FALSE)</f>
        <v>#N/A</v>
      </c>
      <c r="AD1106" s="230" t="e">
        <f>T1106-HLOOKUP(V1106,Minimas!$C$3:$CD$12,4,FALSE)</f>
        <v>#N/A</v>
      </c>
      <c r="AE1106" s="230" t="e">
        <f>T1106-HLOOKUP(V1106,Minimas!$C$3:$CD$12,5,FALSE)</f>
        <v>#N/A</v>
      </c>
      <c r="AF1106" s="230" t="e">
        <f>T1106-HLOOKUP(V1106,Minimas!$C$3:$CD$12,6,FALSE)</f>
        <v>#N/A</v>
      </c>
      <c r="AG1106" s="230" t="e">
        <f>T1106-HLOOKUP(V1106,Minimas!$C$3:$CD$12,7,FALSE)</f>
        <v>#N/A</v>
      </c>
      <c r="AH1106" s="230" t="e">
        <f>T1106-HLOOKUP(V1106,Minimas!$C$3:$CD$12,8,FALSE)</f>
        <v>#N/A</v>
      </c>
      <c r="AI1106" s="230" t="e">
        <f>T1106-HLOOKUP(V1106,Minimas!$C$3:$CD$12,9,FALSE)</f>
        <v>#N/A</v>
      </c>
      <c r="AJ1106" s="230" t="e">
        <f>T1106-HLOOKUP(V1106,Minimas!$C$3:$CD$12,10,FALSE)</f>
        <v>#N/A</v>
      </c>
      <c r="AK1106" s="231" t="str">
        <f t="shared" si="129"/>
        <v xml:space="preserve"> </v>
      </c>
      <c r="AL1106" s="232"/>
      <c r="AM1106" s="232" t="str">
        <f t="shared" si="130"/>
        <v xml:space="preserve"> </v>
      </c>
      <c r="AN1106" s="232" t="str">
        <f t="shared" si="131"/>
        <v xml:space="preserve"> </v>
      </c>
    </row>
    <row r="1107" spans="28:40" x14ac:dyDescent="0.25">
      <c r="AB1107" s="230" t="e">
        <f>T1107-HLOOKUP(V1107,Minimas!$C$3:$CD$12,2,FALSE)</f>
        <v>#N/A</v>
      </c>
      <c r="AC1107" s="230" t="e">
        <f>T1107-HLOOKUP(V1107,Minimas!$C$3:$CD$12,3,FALSE)</f>
        <v>#N/A</v>
      </c>
      <c r="AD1107" s="230" t="e">
        <f>T1107-HLOOKUP(V1107,Minimas!$C$3:$CD$12,4,FALSE)</f>
        <v>#N/A</v>
      </c>
      <c r="AE1107" s="230" t="e">
        <f>T1107-HLOOKUP(V1107,Minimas!$C$3:$CD$12,5,FALSE)</f>
        <v>#N/A</v>
      </c>
      <c r="AF1107" s="230" t="e">
        <f>T1107-HLOOKUP(V1107,Minimas!$C$3:$CD$12,6,FALSE)</f>
        <v>#N/A</v>
      </c>
      <c r="AG1107" s="230" t="e">
        <f>T1107-HLOOKUP(V1107,Minimas!$C$3:$CD$12,7,FALSE)</f>
        <v>#N/A</v>
      </c>
      <c r="AH1107" s="230" t="e">
        <f>T1107-HLOOKUP(V1107,Minimas!$C$3:$CD$12,8,FALSE)</f>
        <v>#N/A</v>
      </c>
      <c r="AI1107" s="230" t="e">
        <f>T1107-HLOOKUP(V1107,Minimas!$C$3:$CD$12,9,FALSE)</f>
        <v>#N/A</v>
      </c>
      <c r="AJ1107" s="230" t="e">
        <f>T1107-HLOOKUP(V1107,Minimas!$C$3:$CD$12,10,FALSE)</f>
        <v>#N/A</v>
      </c>
      <c r="AK1107" s="231" t="str">
        <f t="shared" si="129"/>
        <v xml:space="preserve"> </v>
      </c>
      <c r="AL1107" s="232"/>
      <c r="AM1107" s="232" t="str">
        <f t="shared" si="130"/>
        <v xml:space="preserve"> </v>
      </c>
      <c r="AN1107" s="232" t="str">
        <f t="shared" si="131"/>
        <v xml:space="preserve"> </v>
      </c>
    </row>
    <row r="1108" spans="28:40" x14ac:dyDescent="0.25">
      <c r="AB1108" s="230" t="e">
        <f>T1108-HLOOKUP(V1108,Minimas!$C$3:$CD$12,2,FALSE)</f>
        <v>#N/A</v>
      </c>
      <c r="AC1108" s="230" t="e">
        <f>T1108-HLOOKUP(V1108,Minimas!$C$3:$CD$12,3,FALSE)</f>
        <v>#N/A</v>
      </c>
      <c r="AD1108" s="230" t="e">
        <f>T1108-HLOOKUP(V1108,Minimas!$C$3:$CD$12,4,FALSE)</f>
        <v>#N/A</v>
      </c>
      <c r="AE1108" s="230" t="e">
        <f>T1108-HLOOKUP(V1108,Minimas!$C$3:$CD$12,5,FALSE)</f>
        <v>#N/A</v>
      </c>
      <c r="AF1108" s="230" t="e">
        <f>T1108-HLOOKUP(V1108,Minimas!$C$3:$CD$12,6,FALSE)</f>
        <v>#N/A</v>
      </c>
      <c r="AG1108" s="230" t="e">
        <f>T1108-HLOOKUP(V1108,Minimas!$C$3:$CD$12,7,FALSE)</f>
        <v>#N/A</v>
      </c>
      <c r="AH1108" s="230" t="e">
        <f>T1108-HLOOKUP(V1108,Minimas!$C$3:$CD$12,8,FALSE)</f>
        <v>#N/A</v>
      </c>
      <c r="AI1108" s="230" t="e">
        <f>T1108-HLOOKUP(V1108,Minimas!$C$3:$CD$12,9,FALSE)</f>
        <v>#N/A</v>
      </c>
      <c r="AJ1108" s="230" t="e">
        <f>T1108-HLOOKUP(V1108,Minimas!$C$3:$CD$12,10,FALSE)</f>
        <v>#N/A</v>
      </c>
      <c r="AK1108" s="231" t="str">
        <f t="shared" si="129"/>
        <v xml:space="preserve"> </v>
      </c>
      <c r="AL1108" s="232"/>
      <c r="AM1108" s="232" t="str">
        <f t="shared" si="130"/>
        <v xml:space="preserve"> </v>
      </c>
      <c r="AN1108" s="232" t="str">
        <f t="shared" si="131"/>
        <v xml:space="preserve"> </v>
      </c>
    </row>
    <row r="1109" spans="28:40" x14ac:dyDescent="0.25">
      <c r="AB1109" s="230" t="e">
        <f>T1109-HLOOKUP(V1109,Minimas!$C$3:$CD$12,2,FALSE)</f>
        <v>#N/A</v>
      </c>
      <c r="AC1109" s="230" t="e">
        <f>T1109-HLOOKUP(V1109,Minimas!$C$3:$CD$12,3,FALSE)</f>
        <v>#N/A</v>
      </c>
      <c r="AD1109" s="230" t="e">
        <f>T1109-HLOOKUP(V1109,Minimas!$C$3:$CD$12,4,FALSE)</f>
        <v>#N/A</v>
      </c>
      <c r="AE1109" s="230" t="e">
        <f>T1109-HLOOKUP(V1109,Minimas!$C$3:$CD$12,5,FALSE)</f>
        <v>#N/A</v>
      </c>
      <c r="AF1109" s="230" t="e">
        <f>T1109-HLOOKUP(V1109,Minimas!$C$3:$CD$12,6,FALSE)</f>
        <v>#N/A</v>
      </c>
      <c r="AG1109" s="230" t="e">
        <f>T1109-HLOOKUP(V1109,Minimas!$C$3:$CD$12,7,FALSE)</f>
        <v>#N/A</v>
      </c>
      <c r="AH1109" s="230" t="e">
        <f>T1109-HLOOKUP(V1109,Minimas!$C$3:$CD$12,8,FALSE)</f>
        <v>#N/A</v>
      </c>
      <c r="AI1109" s="230" t="e">
        <f>T1109-HLOOKUP(V1109,Minimas!$C$3:$CD$12,9,FALSE)</f>
        <v>#N/A</v>
      </c>
      <c r="AJ1109" s="230" t="e">
        <f>T1109-HLOOKUP(V1109,Minimas!$C$3:$CD$12,10,FALSE)</f>
        <v>#N/A</v>
      </c>
      <c r="AK1109" s="231" t="str">
        <f t="shared" si="129"/>
        <v xml:space="preserve"> </v>
      </c>
      <c r="AL1109" s="232"/>
      <c r="AM1109" s="232" t="str">
        <f t="shared" si="130"/>
        <v xml:space="preserve"> </v>
      </c>
      <c r="AN1109" s="232" t="str">
        <f t="shared" si="131"/>
        <v xml:space="preserve"> </v>
      </c>
    </row>
    <row r="1110" spans="28:40" x14ac:dyDescent="0.25">
      <c r="AB1110" s="230" t="e">
        <f>T1110-HLOOKUP(V1110,Minimas!$C$3:$CD$12,2,FALSE)</f>
        <v>#N/A</v>
      </c>
      <c r="AC1110" s="230" t="e">
        <f>T1110-HLOOKUP(V1110,Minimas!$C$3:$CD$12,3,FALSE)</f>
        <v>#N/A</v>
      </c>
      <c r="AD1110" s="230" t="e">
        <f>T1110-HLOOKUP(V1110,Minimas!$C$3:$CD$12,4,FALSE)</f>
        <v>#N/A</v>
      </c>
      <c r="AE1110" s="230" t="e">
        <f>T1110-HLOOKUP(V1110,Minimas!$C$3:$CD$12,5,FALSE)</f>
        <v>#N/A</v>
      </c>
      <c r="AF1110" s="230" t="e">
        <f>T1110-HLOOKUP(V1110,Minimas!$C$3:$CD$12,6,FALSE)</f>
        <v>#N/A</v>
      </c>
      <c r="AG1110" s="230" t="e">
        <f>T1110-HLOOKUP(V1110,Minimas!$C$3:$CD$12,7,FALSE)</f>
        <v>#N/A</v>
      </c>
      <c r="AH1110" s="230" t="e">
        <f>T1110-HLOOKUP(V1110,Minimas!$C$3:$CD$12,8,FALSE)</f>
        <v>#N/A</v>
      </c>
      <c r="AI1110" s="230" t="e">
        <f>T1110-HLOOKUP(V1110,Minimas!$C$3:$CD$12,9,FALSE)</f>
        <v>#N/A</v>
      </c>
      <c r="AJ1110" s="230" t="e">
        <f>T1110-HLOOKUP(V1110,Minimas!$C$3:$CD$12,10,FALSE)</f>
        <v>#N/A</v>
      </c>
      <c r="AK1110" s="231" t="str">
        <f t="shared" si="129"/>
        <v xml:space="preserve"> </v>
      </c>
      <c r="AL1110" s="232"/>
      <c r="AM1110" s="232" t="str">
        <f t="shared" si="130"/>
        <v xml:space="preserve"> </v>
      </c>
      <c r="AN1110" s="232" t="str">
        <f t="shared" si="131"/>
        <v xml:space="preserve"> </v>
      </c>
    </row>
    <row r="1111" spans="28:40" x14ac:dyDescent="0.25">
      <c r="AB1111" s="230" t="e">
        <f>T1111-HLOOKUP(V1111,Minimas!$C$3:$CD$12,2,FALSE)</f>
        <v>#N/A</v>
      </c>
      <c r="AC1111" s="230" t="e">
        <f>T1111-HLOOKUP(V1111,Minimas!$C$3:$CD$12,3,FALSE)</f>
        <v>#N/A</v>
      </c>
      <c r="AD1111" s="230" t="e">
        <f>T1111-HLOOKUP(V1111,Minimas!$C$3:$CD$12,4,FALSE)</f>
        <v>#N/A</v>
      </c>
      <c r="AE1111" s="230" t="e">
        <f>T1111-HLOOKUP(V1111,Minimas!$C$3:$CD$12,5,FALSE)</f>
        <v>#N/A</v>
      </c>
      <c r="AF1111" s="230" t="e">
        <f>T1111-HLOOKUP(V1111,Minimas!$C$3:$CD$12,6,FALSE)</f>
        <v>#N/A</v>
      </c>
      <c r="AG1111" s="230" t="e">
        <f>T1111-HLOOKUP(V1111,Minimas!$C$3:$CD$12,7,FALSE)</f>
        <v>#N/A</v>
      </c>
      <c r="AH1111" s="230" t="e">
        <f>T1111-HLOOKUP(V1111,Minimas!$C$3:$CD$12,8,FALSE)</f>
        <v>#N/A</v>
      </c>
      <c r="AI1111" s="230" t="e">
        <f>T1111-HLOOKUP(V1111,Minimas!$C$3:$CD$12,9,FALSE)</f>
        <v>#N/A</v>
      </c>
      <c r="AJ1111" s="230" t="e">
        <f>T1111-HLOOKUP(V1111,Minimas!$C$3:$CD$12,10,FALSE)</f>
        <v>#N/A</v>
      </c>
      <c r="AK1111" s="231" t="str">
        <f t="shared" si="129"/>
        <v xml:space="preserve"> </v>
      </c>
      <c r="AL1111" s="232"/>
      <c r="AM1111" s="232" t="str">
        <f t="shared" si="130"/>
        <v xml:space="preserve"> </v>
      </c>
      <c r="AN1111" s="232" t="str">
        <f t="shared" si="131"/>
        <v xml:space="preserve"> </v>
      </c>
    </row>
    <row r="1112" spans="28:40" x14ac:dyDescent="0.25">
      <c r="AB1112" s="230" t="e">
        <f>T1112-HLOOKUP(V1112,Minimas!$C$3:$CD$12,2,FALSE)</f>
        <v>#N/A</v>
      </c>
      <c r="AC1112" s="230" t="e">
        <f>T1112-HLOOKUP(V1112,Minimas!$C$3:$CD$12,3,FALSE)</f>
        <v>#N/A</v>
      </c>
      <c r="AD1112" s="230" t="e">
        <f>T1112-HLOOKUP(V1112,Minimas!$C$3:$CD$12,4,FALSE)</f>
        <v>#N/A</v>
      </c>
      <c r="AE1112" s="230" t="e">
        <f>T1112-HLOOKUP(V1112,Minimas!$C$3:$CD$12,5,FALSE)</f>
        <v>#N/A</v>
      </c>
      <c r="AF1112" s="230" t="e">
        <f>T1112-HLOOKUP(V1112,Minimas!$C$3:$CD$12,6,FALSE)</f>
        <v>#N/A</v>
      </c>
      <c r="AG1112" s="230" t="e">
        <f>T1112-HLOOKUP(V1112,Minimas!$C$3:$CD$12,7,FALSE)</f>
        <v>#N/A</v>
      </c>
      <c r="AH1112" s="230" t="e">
        <f>T1112-HLOOKUP(V1112,Minimas!$C$3:$CD$12,8,FALSE)</f>
        <v>#N/A</v>
      </c>
      <c r="AI1112" s="230" t="e">
        <f>T1112-HLOOKUP(V1112,Minimas!$C$3:$CD$12,9,FALSE)</f>
        <v>#N/A</v>
      </c>
      <c r="AJ1112" s="230" t="e">
        <f>T1112-HLOOKUP(V1112,Minimas!$C$3:$CD$12,10,FALSE)</f>
        <v>#N/A</v>
      </c>
      <c r="AK1112" s="231" t="str">
        <f t="shared" si="129"/>
        <v xml:space="preserve"> </v>
      </c>
      <c r="AL1112" s="232"/>
      <c r="AM1112" s="232" t="str">
        <f t="shared" si="130"/>
        <v xml:space="preserve"> </v>
      </c>
      <c r="AN1112" s="232" t="str">
        <f t="shared" si="131"/>
        <v xml:space="preserve"> </v>
      </c>
    </row>
    <row r="1113" spans="28:40" x14ac:dyDescent="0.25">
      <c r="AB1113" s="230" t="e">
        <f>T1113-HLOOKUP(V1113,Minimas!$C$3:$CD$12,2,FALSE)</f>
        <v>#N/A</v>
      </c>
      <c r="AC1113" s="230" t="e">
        <f>T1113-HLOOKUP(V1113,Minimas!$C$3:$CD$12,3,FALSE)</f>
        <v>#N/A</v>
      </c>
      <c r="AD1113" s="230" t="e">
        <f>T1113-HLOOKUP(V1113,Minimas!$C$3:$CD$12,4,FALSE)</f>
        <v>#N/A</v>
      </c>
      <c r="AE1113" s="230" t="e">
        <f>T1113-HLOOKUP(V1113,Minimas!$C$3:$CD$12,5,FALSE)</f>
        <v>#N/A</v>
      </c>
      <c r="AF1113" s="230" t="e">
        <f>T1113-HLOOKUP(V1113,Minimas!$C$3:$CD$12,6,FALSE)</f>
        <v>#N/A</v>
      </c>
      <c r="AG1113" s="230" t="e">
        <f>T1113-HLOOKUP(V1113,Minimas!$C$3:$CD$12,7,FALSE)</f>
        <v>#N/A</v>
      </c>
      <c r="AH1113" s="230" t="e">
        <f>T1113-HLOOKUP(V1113,Minimas!$C$3:$CD$12,8,FALSE)</f>
        <v>#N/A</v>
      </c>
      <c r="AI1113" s="230" t="e">
        <f>T1113-HLOOKUP(V1113,Minimas!$C$3:$CD$12,9,FALSE)</f>
        <v>#N/A</v>
      </c>
      <c r="AJ1113" s="230" t="e">
        <f>T1113-HLOOKUP(V1113,Minimas!$C$3:$CD$12,10,FALSE)</f>
        <v>#N/A</v>
      </c>
      <c r="AK1113" s="231" t="str">
        <f t="shared" si="129"/>
        <v xml:space="preserve"> </v>
      </c>
      <c r="AL1113" s="232"/>
      <c r="AM1113" s="232" t="str">
        <f t="shared" si="130"/>
        <v xml:space="preserve"> </v>
      </c>
      <c r="AN1113" s="232" t="str">
        <f t="shared" si="131"/>
        <v xml:space="preserve"> </v>
      </c>
    </row>
    <row r="1114" spans="28:40" x14ac:dyDescent="0.25">
      <c r="AB1114" s="230" t="e">
        <f>T1114-HLOOKUP(V1114,Minimas!$C$3:$CD$12,2,FALSE)</f>
        <v>#N/A</v>
      </c>
      <c r="AC1114" s="230" t="e">
        <f>T1114-HLOOKUP(V1114,Minimas!$C$3:$CD$12,3,FALSE)</f>
        <v>#N/A</v>
      </c>
      <c r="AD1114" s="230" t="e">
        <f>T1114-HLOOKUP(V1114,Minimas!$C$3:$CD$12,4,FALSE)</f>
        <v>#N/A</v>
      </c>
      <c r="AE1114" s="230" t="e">
        <f>T1114-HLOOKUP(V1114,Minimas!$C$3:$CD$12,5,FALSE)</f>
        <v>#N/A</v>
      </c>
      <c r="AF1114" s="230" t="e">
        <f>T1114-HLOOKUP(V1114,Minimas!$C$3:$CD$12,6,FALSE)</f>
        <v>#N/A</v>
      </c>
      <c r="AG1114" s="230" t="e">
        <f>T1114-HLOOKUP(V1114,Minimas!$C$3:$CD$12,7,FALSE)</f>
        <v>#N/A</v>
      </c>
      <c r="AH1114" s="230" t="e">
        <f>T1114-HLOOKUP(V1114,Minimas!$C$3:$CD$12,8,FALSE)</f>
        <v>#N/A</v>
      </c>
      <c r="AI1114" s="230" t="e">
        <f>T1114-HLOOKUP(V1114,Minimas!$C$3:$CD$12,9,FALSE)</f>
        <v>#N/A</v>
      </c>
      <c r="AJ1114" s="230" t="e">
        <f>T1114-HLOOKUP(V1114,Minimas!$C$3:$CD$12,10,FALSE)</f>
        <v>#N/A</v>
      </c>
      <c r="AK1114" s="231" t="str">
        <f t="shared" si="129"/>
        <v xml:space="preserve"> </v>
      </c>
      <c r="AL1114" s="232"/>
      <c r="AM1114" s="232" t="str">
        <f t="shared" si="130"/>
        <v xml:space="preserve"> </v>
      </c>
      <c r="AN1114" s="232" t="str">
        <f t="shared" si="131"/>
        <v xml:space="preserve"> </v>
      </c>
    </row>
    <row r="1115" spans="28:40" x14ac:dyDescent="0.25">
      <c r="AB1115" s="230" t="e">
        <f>T1115-HLOOKUP(V1115,Minimas!$C$3:$CD$12,2,FALSE)</f>
        <v>#N/A</v>
      </c>
      <c r="AC1115" s="230" t="e">
        <f>T1115-HLOOKUP(V1115,Minimas!$C$3:$CD$12,3,FALSE)</f>
        <v>#N/A</v>
      </c>
      <c r="AD1115" s="230" t="e">
        <f>T1115-HLOOKUP(V1115,Minimas!$C$3:$CD$12,4,FALSE)</f>
        <v>#N/A</v>
      </c>
      <c r="AE1115" s="230" t="e">
        <f>T1115-HLOOKUP(V1115,Minimas!$C$3:$CD$12,5,FALSE)</f>
        <v>#N/A</v>
      </c>
      <c r="AF1115" s="230" t="e">
        <f>T1115-HLOOKUP(V1115,Minimas!$C$3:$CD$12,6,FALSE)</f>
        <v>#N/A</v>
      </c>
      <c r="AG1115" s="230" t="e">
        <f>T1115-HLOOKUP(V1115,Minimas!$C$3:$CD$12,7,FALSE)</f>
        <v>#N/A</v>
      </c>
      <c r="AH1115" s="230" t="e">
        <f>T1115-HLOOKUP(V1115,Minimas!$C$3:$CD$12,8,FALSE)</f>
        <v>#N/A</v>
      </c>
      <c r="AI1115" s="230" t="e">
        <f>T1115-HLOOKUP(V1115,Minimas!$C$3:$CD$12,9,FALSE)</f>
        <v>#N/A</v>
      </c>
      <c r="AJ1115" s="230" t="e">
        <f>T1115-HLOOKUP(V1115,Minimas!$C$3:$CD$12,10,FALSE)</f>
        <v>#N/A</v>
      </c>
      <c r="AK1115" s="231" t="str">
        <f t="shared" si="129"/>
        <v xml:space="preserve"> </v>
      </c>
      <c r="AL1115" s="232"/>
      <c r="AM1115" s="232" t="str">
        <f t="shared" si="130"/>
        <v xml:space="preserve"> </v>
      </c>
      <c r="AN1115" s="232" t="str">
        <f t="shared" si="131"/>
        <v xml:space="preserve"> </v>
      </c>
    </row>
    <row r="1116" spans="28:40" x14ac:dyDescent="0.25">
      <c r="AB1116" s="230" t="e">
        <f>T1116-HLOOKUP(V1116,Minimas!$C$3:$CD$12,2,FALSE)</f>
        <v>#N/A</v>
      </c>
      <c r="AC1116" s="230" t="e">
        <f>T1116-HLOOKUP(V1116,Minimas!$C$3:$CD$12,3,FALSE)</f>
        <v>#N/A</v>
      </c>
      <c r="AD1116" s="230" t="e">
        <f>T1116-HLOOKUP(V1116,Minimas!$C$3:$CD$12,4,FALSE)</f>
        <v>#N/A</v>
      </c>
      <c r="AE1116" s="230" t="e">
        <f>T1116-HLOOKUP(V1116,Minimas!$C$3:$CD$12,5,FALSE)</f>
        <v>#N/A</v>
      </c>
      <c r="AF1116" s="230" t="e">
        <f>T1116-HLOOKUP(V1116,Minimas!$C$3:$CD$12,6,FALSE)</f>
        <v>#N/A</v>
      </c>
      <c r="AG1116" s="230" t="e">
        <f>T1116-HLOOKUP(V1116,Minimas!$C$3:$CD$12,7,FALSE)</f>
        <v>#N/A</v>
      </c>
      <c r="AH1116" s="230" t="e">
        <f>T1116-HLOOKUP(V1116,Minimas!$C$3:$CD$12,8,FALSE)</f>
        <v>#N/A</v>
      </c>
      <c r="AI1116" s="230" t="e">
        <f>T1116-HLOOKUP(V1116,Minimas!$C$3:$CD$12,9,FALSE)</f>
        <v>#N/A</v>
      </c>
      <c r="AJ1116" s="230" t="e">
        <f>T1116-HLOOKUP(V1116,Minimas!$C$3:$CD$12,10,FALSE)</f>
        <v>#N/A</v>
      </c>
      <c r="AK1116" s="231" t="str">
        <f t="shared" si="129"/>
        <v xml:space="preserve"> </v>
      </c>
      <c r="AL1116" s="232"/>
      <c r="AM1116" s="232" t="str">
        <f t="shared" si="130"/>
        <v xml:space="preserve"> </v>
      </c>
      <c r="AN1116" s="232" t="str">
        <f t="shared" si="131"/>
        <v xml:space="preserve"> </v>
      </c>
    </row>
    <row r="1117" spans="28:40" x14ac:dyDescent="0.25">
      <c r="AB1117" s="230" t="e">
        <f>T1117-HLOOKUP(V1117,Minimas!$C$3:$CD$12,2,FALSE)</f>
        <v>#N/A</v>
      </c>
      <c r="AC1117" s="230" t="e">
        <f>T1117-HLOOKUP(V1117,Minimas!$C$3:$CD$12,3,FALSE)</f>
        <v>#N/A</v>
      </c>
      <c r="AD1117" s="230" t="e">
        <f>T1117-HLOOKUP(V1117,Minimas!$C$3:$CD$12,4,FALSE)</f>
        <v>#N/A</v>
      </c>
      <c r="AE1117" s="230" t="e">
        <f>T1117-HLOOKUP(V1117,Minimas!$C$3:$CD$12,5,FALSE)</f>
        <v>#N/A</v>
      </c>
      <c r="AF1117" s="230" t="e">
        <f>T1117-HLOOKUP(V1117,Minimas!$C$3:$CD$12,6,FALSE)</f>
        <v>#N/A</v>
      </c>
      <c r="AG1117" s="230" t="e">
        <f>T1117-HLOOKUP(V1117,Minimas!$C$3:$CD$12,7,FALSE)</f>
        <v>#N/A</v>
      </c>
      <c r="AH1117" s="230" t="e">
        <f>T1117-HLOOKUP(V1117,Minimas!$C$3:$CD$12,8,FALSE)</f>
        <v>#N/A</v>
      </c>
      <c r="AI1117" s="230" t="e">
        <f>T1117-HLOOKUP(V1117,Minimas!$C$3:$CD$12,9,FALSE)</f>
        <v>#N/A</v>
      </c>
      <c r="AJ1117" s="230" t="e">
        <f>T1117-HLOOKUP(V1117,Minimas!$C$3:$CD$12,10,FALSE)</f>
        <v>#N/A</v>
      </c>
      <c r="AK1117" s="231" t="str">
        <f t="shared" si="129"/>
        <v xml:space="preserve"> </v>
      </c>
      <c r="AL1117" s="232"/>
      <c r="AM1117" s="232" t="str">
        <f t="shared" si="130"/>
        <v xml:space="preserve"> </v>
      </c>
      <c r="AN1117" s="232" t="str">
        <f t="shared" si="131"/>
        <v xml:space="preserve"> </v>
      </c>
    </row>
    <row r="1118" spans="28:40" x14ac:dyDescent="0.25">
      <c r="AB1118" s="230" t="e">
        <f>T1118-HLOOKUP(V1118,Minimas!$C$3:$CD$12,2,FALSE)</f>
        <v>#N/A</v>
      </c>
      <c r="AC1118" s="230" t="e">
        <f>T1118-HLOOKUP(V1118,Minimas!$C$3:$CD$12,3,FALSE)</f>
        <v>#N/A</v>
      </c>
      <c r="AD1118" s="230" t="e">
        <f>T1118-HLOOKUP(V1118,Minimas!$C$3:$CD$12,4,FALSE)</f>
        <v>#N/A</v>
      </c>
      <c r="AE1118" s="230" t="e">
        <f>T1118-HLOOKUP(V1118,Minimas!$C$3:$CD$12,5,FALSE)</f>
        <v>#N/A</v>
      </c>
      <c r="AF1118" s="230" t="e">
        <f>T1118-HLOOKUP(V1118,Minimas!$C$3:$CD$12,6,FALSE)</f>
        <v>#N/A</v>
      </c>
      <c r="AG1118" s="230" t="e">
        <f>T1118-HLOOKUP(V1118,Minimas!$C$3:$CD$12,7,FALSE)</f>
        <v>#N/A</v>
      </c>
      <c r="AH1118" s="230" t="e">
        <f>T1118-HLOOKUP(V1118,Minimas!$C$3:$CD$12,8,FALSE)</f>
        <v>#N/A</v>
      </c>
      <c r="AI1118" s="230" t="e">
        <f>T1118-HLOOKUP(V1118,Minimas!$C$3:$CD$12,9,FALSE)</f>
        <v>#N/A</v>
      </c>
      <c r="AJ1118" s="230" t="e">
        <f>T1118-HLOOKUP(V1118,Minimas!$C$3:$CD$12,10,FALSE)</f>
        <v>#N/A</v>
      </c>
      <c r="AK1118" s="231" t="str">
        <f t="shared" si="129"/>
        <v xml:space="preserve"> </v>
      </c>
      <c r="AL1118" s="232"/>
      <c r="AM1118" s="232" t="str">
        <f t="shared" si="130"/>
        <v xml:space="preserve"> </v>
      </c>
      <c r="AN1118" s="232" t="str">
        <f t="shared" si="131"/>
        <v xml:space="preserve"> </v>
      </c>
    </row>
    <row r="1119" spans="28:40" x14ac:dyDescent="0.25">
      <c r="AB1119" s="230" t="e">
        <f>T1119-HLOOKUP(V1119,Minimas!$C$3:$CD$12,2,FALSE)</f>
        <v>#N/A</v>
      </c>
      <c r="AC1119" s="230" t="e">
        <f>T1119-HLOOKUP(V1119,Minimas!$C$3:$CD$12,3,FALSE)</f>
        <v>#N/A</v>
      </c>
      <c r="AD1119" s="230" t="e">
        <f>T1119-HLOOKUP(V1119,Minimas!$C$3:$CD$12,4,FALSE)</f>
        <v>#N/A</v>
      </c>
      <c r="AE1119" s="230" t="e">
        <f>T1119-HLOOKUP(V1119,Minimas!$C$3:$CD$12,5,FALSE)</f>
        <v>#N/A</v>
      </c>
      <c r="AF1119" s="230" t="e">
        <f>T1119-HLOOKUP(V1119,Minimas!$C$3:$CD$12,6,FALSE)</f>
        <v>#N/A</v>
      </c>
      <c r="AG1119" s="230" t="e">
        <f>T1119-HLOOKUP(V1119,Minimas!$C$3:$CD$12,7,FALSE)</f>
        <v>#N/A</v>
      </c>
      <c r="AH1119" s="230" t="e">
        <f>T1119-HLOOKUP(V1119,Minimas!$C$3:$CD$12,8,FALSE)</f>
        <v>#N/A</v>
      </c>
      <c r="AI1119" s="230" t="e">
        <f>T1119-HLOOKUP(V1119,Minimas!$C$3:$CD$12,9,FALSE)</f>
        <v>#N/A</v>
      </c>
      <c r="AJ1119" s="230" t="e">
        <f>T1119-HLOOKUP(V1119,Minimas!$C$3:$CD$12,10,FALSE)</f>
        <v>#N/A</v>
      </c>
      <c r="AK1119" s="231" t="str">
        <f t="shared" si="129"/>
        <v xml:space="preserve"> </v>
      </c>
      <c r="AL1119" s="232"/>
      <c r="AM1119" s="232" t="str">
        <f t="shared" si="130"/>
        <v xml:space="preserve"> </v>
      </c>
      <c r="AN1119" s="232" t="str">
        <f t="shared" si="131"/>
        <v xml:space="preserve"> </v>
      </c>
    </row>
    <row r="1120" spans="28:40" x14ac:dyDescent="0.25">
      <c r="AB1120" s="230" t="e">
        <f>T1120-HLOOKUP(V1120,Minimas!$C$3:$CD$12,2,FALSE)</f>
        <v>#N/A</v>
      </c>
      <c r="AC1120" s="230" t="e">
        <f>T1120-HLOOKUP(V1120,Minimas!$C$3:$CD$12,3,FALSE)</f>
        <v>#N/A</v>
      </c>
      <c r="AD1120" s="230" t="e">
        <f>T1120-HLOOKUP(V1120,Minimas!$C$3:$CD$12,4,FALSE)</f>
        <v>#N/A</v>
      </c>
      <c r="AE1120" s="230" t="e">
        <f>T1120-HLOOKUP(V1120,Minimas!$C$3:$CD$12,5,FALSE)</f>
        <v>#N/A</v>
      </c>
      <c r="AF1120" s="230" t="e">
        <f>T1120-HLOOKUP(V1120,Minimas!$C$3:$CD$12,6,FALSE)</f>
        <v>#N/A</v>
      </c>
      <c r="AG1120" s="230" t="e">
        <f>T1120-HLOOKUP(V1120,Minimas!$C$3:$CD$12,7,FALSE)</f>
        <v>#N/A</v>
      </c>
      <c r="AH1120" s="230" t="e">
        <f>T1120-HLOOKUP(V1120,Minimas!$C$3:$CD$12,8,FALSE)</f>
        <v>#N/A</v>
      </c>
      <c r="AI1120" s="230" t="e">
        <f>T1120-HLOOKUP(V1120,Minimas!$C$3:$CD$12,9,FALSE)</f>
        <v>#N/A</v>
      </c>
      <c r="AJ1120" s="230" t="e">
        <f>T1120-HLOOKUP(V1120,Minimas!$C$3:$CD$12,10,FALSE)</f>
        <v>#N/A</v>
      </c>
      <c r="AK1120" s="231" t="str">
        <f t="shared" si="129"/>
        <v xml:space="preserve"> </v>
      </c>
      <c r="AL1120" s="232"/>
      <c r="AM1120" s="232" t="str">
        <f t="shared" si="130"/>
        <v xml:space="preserve"> </v>
      </c>
      <c r="AN1120" s="232" t="str">
        <f t="shared" si="131"/>
        <v xml:space="preserve"> </v>
      </c>
    </row>
    <row r="1121" spans="28:40" x14ac:dyDescent="0.25">
      <c r="AB1121" s="230" t="e">
        <f>T1121-HLOOKUP(V1121,Minimas!$C$3:$CD$12,2,FALSE)</f>
        <v>#N/A</v>
      </c>
      <c r="AC1121" s="230" t="e">
        <f>T1121-HLOOKUP(V1121,Minimas!$C$3:$CD$12,3,FALSE)</f>
        <v>#N/A</v>
      </c>
      <c r="AD1121" s="230" t="e">
        <f>T1121-HLOOKUP(V1121,Minimas!$C$3:$CD$12,4,FALSE)</f>
        <v>#N/A</v>
      </c>
      <c r="AE1121" s="230" t="e">
        <f>T1121-HLOOKUP(V1121,Minimas!$C$3:$CD$12,5,FALSE)</f>
        <v>#N/A</v>
      </c>
      <c r="AF1121" s="230" t="e">
        <f>T1121-HLOOKUP(V1121,Minimas!$C$3:$CD$12,6,FALSE)</f>
        <v>#N/A</v>
      </c>
      <c r="AG1121" s="230" t="e">
        <f>T1121-HLOOKUP(V1121,Minimas!$C$3:$CD$12,7,FALSE)</f>
        <v>#N/A</v>
      </c>
      <c r="AH1121" s="230" t="e">
        <f>T1121-HLOOKUP(V1121,Minimas!$C$3:$CD$12,8,FALSE)</f>
        <v>#N/A</v>
      </c>
      <c r="AI1121" s="230" t="e">
        <f>T1121-HLOOKUP(V1121,Minimas!$C$3:$CD$12,9,FALSE)</f>
        <v>#N/A</v>
      </c>
      <c r="AJ1121" s="230" t="e">
        <f>T1121-HLOOKUP(V1121,Minimas!$C$3:$CD$12,10,FALSE)</f>
        <v>#N/A</v>
      </c>
      <c r="AK1121" s="231" t="str">
        <f t="shared" si="129"/>
        <v xml:space="preserve"> </v>
      </c>
      <c r="AL1121" s="232"/>
      <c r="AM1121" s="232" t="str">
        <f t="shared" si="130"/>
        <v xml:space="preserve"> </v>
      </c>
      <c r="AN1121" s="232" t="str">
        <f t="shared" si="131"/>
        <v xml:space="preserve"> </v>
      </c>
    </row>
    <row r="1122" spans="28:40" x14ac:dyDescent="0.25">
      <c r="AB1122" s="230" t="e">
        <f>T1122-HLOOKUP(V1122,Minimas!$C$3:$CD$12,2,FALSE)</f>
        <v>#N/A</v>
      </c>
      <c r="AC1122" s="230" t="e">
        <f>T1122-HLOOKUP(V1122,Minimas!$C$3:$CD$12,3,FALSE)</f>
        <v>#N/A</v>
      </c>
      <c r="AD1122" s="230" t="e">
        <f>T1122-HLOOKUP(V1122,Minimas!$C$3:$CD$12,4,FALSE)</f>
        <v>#N/A</v>
      </c>
      <c r="AE1122" s="230" t="e">
        <f>T1122-HLOOKUP(V1122,Minimas!$C$3:$CD$12,5,FALSE)</f>
        <v>#N/A</v>
      </c>
      <c r="AF1122" s="230" t="e">
        <f>T1122-HLOOKUP(V1122,Minimas!$C$3:$CD$12,6,FALSE)</f>
        <v>#N/A</v>
      </c>
      <c r="AG1122" s="230" t="e">
        <f>T1122-HLOOKUP(V1122,Minimas!$C$3:$CD$12,7,FALSE)</f>
        <v>#N/A</v>
      </c>
      <c r="AH1122" s="230" t="e">
        <f>T1122-HLOOKUP(V1122,Minimas!$C$3:$CD$12,8,FALSE)</f>
        <v>#N/A</v>
      </c>
      <c r="AI1122" s="230" t="e">
        <f>T1122-HLOOKUP(V1122,Minimas!$C$3:$CD$12,9,FALSE)</f>
        <v>#N/A</v>
      </c>
      <c r="AJ1122" s="230" t="e">
        <f>T1122-HLOOKUP(V1122,Minimas!$C$3:$CD$12,10,FALSE)</f>
        <v>#N/A</v>
      </c>
      <c r="AK1122" s="231" t="str">
        <f t="shared" si="129"/>
        <v xml:space="preserve"> </v>
      </c>
      <c r="AL1122" s="232"/>
      <c r="AM1122" s="232" t="str">
        <f t="shared" si="130"/>
        <v xml:space="preserve"> </v>
      </c>
      <c r="AN1122" s="232" t="str">
        <f t="shared" si="131"/>
        <v xml:space="preserve"> </v>
      </c>
    </row>
    <row r="1123" spans="28:40" x14ac:dyDescent="0.25">
      <c r="AB1123" s="230" t="e">
        <f>T1123-HLOOKUP(V1123,Minimas!$C$3:$CD$12,2,FALSE)</f>
        <v>#N/A</v>
      </c>
      <c r="AC1123" s="230" t="e">
        <f>T1123-HLOOKUP(V1123,Minimas!$C$3:$CD$12,3,FALSE)</f>
        <v>#N/A</v>
      </c>
      <c r="AD1123" s="230" t="e">
        <f>T1123-HLOOKUP(V1123,Minimas!$C$3:$CD$12,4,FALSE)</f>
        <v>#N/A</v>
      </c>
      <c r="AE1123" s="230" t="e">
        <f>T1123-HLOOKUP(V1123,Minimas!$C$3:$CD$12,5,FALSE)</f>
        <v>#N/A</v>
      </c>
      <c r="AF1123" s="230" t="e">
        <f>T1123-HLOOKUP(V1123,Minimas!$C$3:$CD$12,6,FALSE)</f>
        <v>#N/A</v>
      </c>
      <c r="AG1123" s="230" t="e">
        <f>T1123-HLOOKUP(V1123,Minimas!$C$3:$CD$12,7,FALSE)</f>
        <v>#N/A</v>
      </c>
      <c r="AH1123" s="230" t="e">
        <f>T1123-HLOOKUP(V1123,Minimas!$C$3:$CD$12,8,FALSE)</f>
        <v>#N/A</v>
      </c>
      <c r="AI1123" s="230" t="e">
        <f>T1123-HLOOKUP(V1123,Minimas!$C$3:$CD$12,9,FALSE)</f>
        <v>#N/A</v>
      </c>
      <c r="AJ1123" s="230" t="e">
        <f>T1123-HLOOKUP(V1123,Minimas!$C$3:$CD$12,10,FALSE)</f>
        <v>#N/A</v>
      </c>
      <c r="AK1123" s="231" t="str">
        <f t="shared" si="129"/>
        <v xml:space="preserve"> </v>
      </c>
      <c r="AL1123" s="232"/>
      <c r="AM1123" s="232" t="str">
        <f t="shared" si="130"/>
        <v xml:space="preserve"> </v>
      </c>
      <c r="AN1123" s="232" t="str">
        <f t="shared" si="131"/>
        <v xml:space="preserve"> </v>
      </c>
    </row>
    <row r="1124" spans="28:40" x14ac:dyDescent="0.25">
      <c r="AB1124" s="230" t="e">
        <f>T1124-HLOOKUP(V1124,Minimas!$C$3:$CD$12,2,FALSE)</f>
        <v>#N/A</v>
      </c>
      <c r="AC1124" s="230" t="e">
        <f>T1124-HLOOKUP(V1124,Minimas!$C$3:$CD$12,3,FALSE)</f>
        <v>#N/A</v>
      </c>
      <c r="AD1124" s="230" t="e">
        <f>T1124-HLOOKUP(V1124,Minimas!$C$3:$CD$12,4,FALSE)</f>
        <v>#N/A</v>
      </c>
      <c r="AE1124" s="230" t="e">
        <f>T1124-HLOOKUP(V1124,Minimas!$C$3:$CD$12,5,FALSE)</f>
        <v>#N/A</v>
      </c>
      <c r="AF1124" s="230" t="e">
        <f>T1124-HLOOKUP(V1124,Minimas!$C$3:$CD$12,6,FALSE)</f>
        <v>#N/A</v>
      </c>
      <c r="AG1124" s="230" t="e">
        <f>T1124-HLOOKUP(V1124,Minimas!$C$3:$CD$12,7,FALSE)</f>
        <v>#N/A</v>
      </c>
      <c r="AH1124" s="230" t="e">
        <f>T1124-HLOOKUP(V1124,Minimas!$C$3:$CD$12,8,FALSE)</f>
        <v>#N/A</v>
      </c>
      <c r="AI1124" s="230" t="e">
        <f>T1124-HLOOKUP(V1124,Minimas!$C$3:$CD$12,9,FALSE)</f>
        <v>#N/A</v>
      </c>
      <c r="AJ1124" s="230" t="e">
        <f>T1124-HLOOKUP(V1124,Minimas!$C$3:$CD$12,10,FALSE)</f>
        <v>#N/A</v>
      </c>
      <c r="AK1124" s="231" t="str">
        <f t="shared" si="129"/>
        <v xml:space="preserve"> </v>
      </c>
      <c r="AL1124" s="232"/>
      <c r="AM1124" s="232" t="str">
        <f t="shared" si="130"/>
        <v xml:space="preserve"> </v>
      </c>
      <c r="AN1124" s="232" t="str">
        <f t="shared" si="131"/>
        <v xml:space="preserve"> </v>
      </c>
    </row>
    <row r="1125" spans="28:40" x14ac:dyDescent="0.25">
      <c r="AB1125" s="230" t="e">
        <f>T1125-HLOOKUP(V1125,Minimas!$C$3:$CD$12,2,FALSE)</f>
        <v>#N/A</v>
      </c>
      <c r="AC1125" s="230" t="e">
        <f>T1125-HLOOKUP(V1125,Minimas!$C$3:$CD$12,3,FALSE)</f>
        <v>#N/A</v>
      </c>
      <c r="AD1125" s="230" t="e">
        <f>T1125-HLOOKUP(V1125,Minimas!$C$3:$CD$12,4,FALSE)</f>
        <v>#N/A</v>
      </c>
      <c r="AE1125" s="230" t="e">
        <f>T1125-HLOOKUP(V1125,Minimas!$C$3:$CD$12,5,FALSE)</f>
        <v>#N/A</v>
      </c>
      <c r="AF1125" s="230" t="e">
        <f>T1125-HLOOKUP(V1125,Minimas!$C$3:$CD$12,6,FALSE)</f>
        <v>#N/A</v>
      </c>
      <c r="AG1125" s="230" t="e">
        <f>T1125-HLOOKUP(V1125,Minimas!$C$3:$CD$12,7,FALSE)</f>
        <v>#N/A</v>
      </c>
      <c r="AH1125" s="230" t="e">
        <f>T1125-HLOOKUP(V1125,Minimas!$C$3:$CD$12,8,FALSE)</f>
        <v>#N/A</v>
      </c>
      <c r="AI1125" s="230" t="e">
        <f>T1125-HLOOKUP(V1125,Minimas!$C$3:$CD$12,9,FALSE)</f>
        <v>#N/A</v>
      </c>
      <c r="AJ1125" s="230" t="e">
        <f>T1125-HLOOKUP(V1125,Minimas!$C$3:$CD$12,10,FALSE)</f>
        <v>#N/A</v>
      </c>
      <c r="AK1125" s="231" t="str">
        <f t="shared" si="129"/>
        <v xml:space="preserve"> </v>
      </c>
      <c r="AL1125" s="232"/>
      <c r="AM1125" s="232" t="str">
        <f t="shared" si="130"/>
        <v xml:space="preserve"> </v>
      </c>
      <c r="AN1125" s="232" t="str">
        <f t="shared" si="131"/>
        <v xml:space="preserve"> </v>
      </c>
    </row>
    <row r="1126" spans="28:40" x14ac:dyDescent="0.25">
      <c r="AB1126" s="230" t="e">
        <f>T1126-HLOOKUP(V1126,Minimas!$C$3:$CD$12,2,FALSE)</f>
        <v>#N/A</v>
      </c>
      <c r="AC1126" s="230" t="e">
        <f>T1126-HLOOKUP(V1126,Minimas!$C$3:$CD$12,3,FALSE)</f>
        <v>#N/A</v>
      </c>
      <c r="AD1126" s="230" t="e">
        <f>T1126-HLOOKUP(V1126,Minimas!$C$3:$CD$12,4,FALSE)</f>
        <v>#N/A</v>
      </c>
      <c r="AE1126" s="230" t="e">
        <f>T1126-HLOOKUP(V1126,Minimas!$C$3:$CD$12,5,FALSE)</f>
        <v>#N/A</v>
      </c>
      <c r="AF1126" s="230" t="e">
        <f>T1126-HLOOKUP(V1126,Minimas!$C$3:$CD$12,6,FALSE)</f>
        <v>#N/A</v>
      </c>
      <c r="AG1126" s="230" t="e">
        <f>T1126-HLOOKUP(V1126,Minimas!$C$3:$CD$12,7,FALSE)</f>
        <v>#N/A</v>
      </c>
      <c r="AH1126" s="230" t="e">
        <f>T1126-HLOOKUP(V1126,Minimas!$C$3:$CD$12,8,FALSE)</f>
        <v>#N/A</v>
      </c>
      <c r="AI1126" s="230" t="e">
        <f>T1126-HLOOKUP(V1126,Minimas!$C$3:$CD$12,9,FALSE)</f>
        <v>#N/A</v>
      </c>
      <c r="AJ1126" s="230" t="e">
        <f>T1126-HLOOKUP(V1126,Minimas!$C$3:$CD$12,10,FALSE)</f>
        <v>#N/A</v>
      </c>
      <c r="AK1126" s="231" t="str">
        <f t="shared" si="129"/>
        <v xml:space="preserve"> </v>
      </c>
      <c r="AL1126" s="232"/>
      <c r="AM1126" s="232" t="str">
        <f t="shared" si="130"/>
        <v xml:space="preserve"> </v>
      </c>
      <c r="AN1126" s="232" t="str">
        <f t="shared" si="131"/>
        <v xml:space="preserve"> </v>
      </c>
    </row>
    <row r="1127" spans="28:40" x14ac:dyDescent="0.25">
      <c r="AB1127" s="230" t="e">
        <f>T1127-HLOOKUP(V1127,Minimas!$C$3:$CD$12,2,FALSE)</f>
        <v>#N/A</v>
      </c>
      <c r="AC1127" s="230" t="e">
        <f>T1127-HLOOKUP(V1127,Minimas!$C$3:$CD$12,3,FALSE)</f>
        <v>#N/A</v>
      </c>
      <c r="AD1127" s="230" t="e">
        <f>T1127-HLOOKUP(V1127,Minimas!$C$3:$CD$12,4,FALSE)</f>
        <v>#N/A</v>
      </c>
      <c r="AE1127" s="230" t="e">
        <f>T1127-HLOOKUP(V1127,Minimas!$C$3:$CD$12,5,FALSE)</f>
        <v>#N/A</v>
      </c>
      <c r="AF1127" s="230" t="e">
        <f>T1127-HLOOKUP(V1127,Minimas!$C$3:$CD$12,6,FALSE)</f>
        <v>#N/A</v>
      </c>
      <c r="AG1127" s="230" t="e">
        <f>T1127-HLOOKUP(V1127,Minimas!$C$3:$CD$12,7,FALSE)</f>
        <v>#N/A</v>
      </c>
      <c r="AH1127" s="230" t="e">
        <f>T1127-HLOOKUP(V1127,Minimas!$C$3:$CD$12,8,FALSE)</f>
        <v>#N/A</v>
      </c>
      <c r="AI1127" s="230" t="e">
        <f>T1127-HLOOKUP(V1127,Minimas!$C$3:$CD$12,9,FALSE)</f>
        <v>#N/A</v>
      </c>
      <c r="AJ1127" s="230" t="e">
        <f>T1127-HLOOKUP(V1127,Minimas!$C$3:$CD$12,10,FALSE)</f>
        <v>#N/A</v>
      </c>
      <c r="AK1127" s="231" t="str">
        <f t="shared" si="129"/>
        <v xml:space="preserve"> </v>
      </c>
      <c r="AL1127" s="232"/>
      <c r="AM1127" s="232" t="str">
        <f t="shared" si="130"/>
        <v xml:space="preserve"> </v>
      </c>
      <c r="AN1127" s="232" t="str">
        <f t="shared" si="131"/>
        <v xml:space="preserve"> </v>
      </c>
    </row>
    <row r="1128" spans="28:40" x14ac:dyDescent="0.25">
      <c r="AB1128" s="230" t="e">
        <f>T1128-HLOOKUP(V1128,Minimas!$C$3:$CD$12,2,FALSE)</f>
        <v>#N/A</v>
      </c>
      <c r="AC1128" s="230" t="e">
        <f>T1128-HLOOKUP(V1128,Minimas!$C$3:$CD$12,3,FALSE)</f>
        <v>#N/A</v>
      </c>
      <c r="AD1128" s="230" t="e">
        <f>T1128-HLOOKUP(V1128,Minimas!$C$3:$CD$12,4,FALSE)</f>
        <v>#N/A</v>
      </c>
      <c r="AE1128" s="230" t="e">
        <f>T1128-HLOOKUP(V1128,Minimas!$C$3:$CD$12,5,FALSE)</f>
        <v>#N/A</v>
      </c>
      <c r="AF1128" s="230" t="e">
        <f>T1128-HLOOKUP(V1128,Minimas!$C$3:$CD$12,6,FALSE)</f>
        <v>#N/A</v>
      </c>
      <c r="AG1128" s="230" t="e">
        <f>T1128-HLOOKUP(V1128,Minimas!$C$3:$CD$12,7,FALSE)</f>
        <v>#N/A</v>
      </c>
      <c r="AH1128" s="230" t="e">
        <f>T1128-HLOOKUP(V1128,Minimas!$C$3:$CD$12,8,FALSE)</f>
        <v>#N/A</v>
      </c>
      <c r="AI1128" s="230" t="e">
        <f>T1128-HLOOKUP(V1128,Minimas!$C$3:$CD$12,9,FALSE)</f>
        <v>#N/A</v>
      </c>
      <c r="AJ1128" s="230" t="e">
        <f>T1128-HLOOKUP(V1128,Minimas!$C$3:$CD$12,10,FALSE)</f>
        <v>#N/A</v>
      </c>
      <c r="AK1128" s="231" t="str">
        <f t="shared" si="129"/>
        <v xml:space="preserve"> </v>
      </c>
      <c r="AL1128" s="232"/>
      <c r="AM1128" s="232" t="str">
        <f t="shared" si="130"/>
        <v xml:space="preserve"> </v>
      </c>
      <c r="AN1128" s="232" t="str">
        <f t="shared" si="131"/>
        <v xml:space="preserve"> </v>
      </c>
    </row>
    <row r="1129" spans="28:40" x14ac:dyDescent="0.25">
      <c r="AB1129" s="230" t="e">
        <f>T1129-HLOOKUP(V1129,Minimas!$C$3:$CD$12,2,FALSE)</f>
        <v>#N/A</v>
      </c>
      <c r="AC1129" s="230" t="e">
        <f>T1129-HLOOKUP(V1129,Minimas!$C$3:$CD$12,3,FALSE)</f>
        <v>#N/A</v>
      </c>
      <c r="AD1129" s="230" t="e">
        <f>T1129-HLOOKUP(V1129,Minimas!$C$3:$CD$12,4,FALSE)</f>
        <v>#N/A</v>
      </c>
      <c r="AE1129" s="230" t="e">
        <f>T1129-HLOOKUP(V1129,Minimas!$C$3:$CD$12,5,FALSE)</f>
        <v>#N/A</v>
      </c>
      <c r="AF1129" s="230" t="e">
        <f>T1129-HLOOKUP(V1129,Minimas!$C$3:$CD$12,6,FALSE)</f>
        <v>#N/A</v>
      </c>
      <c r="AG1129" s="230" t="e">
        <f>T1129-HLOOKUP(V1129,Minimas!$C$3:$CD$12,7,FALSE)</f>
        <v>#N/A</v>
      </c>
      <c r="AH1129" s="230" t="e">
        <f>T1129-HLOOKUP(V1129,Minimas!$C$3:$CD$12,8,FALSE)</f>
        <v>#N/A</v>
      </c>
      <c r="AI1129" s="230" t="e">
        <f>T1129-HLOOKUP(V1129,Minimas!$C$3:$CD$12,9,FALSE)</f>
        <v>#N/A</v>
      </c>
      <c r="AJ1129" s="230" t="e">
        <f>T1129-HLOOKUP(V1129,Minimas!$C$3:$CD$12,10,FALSE)</f>
        <v>#N/A</v>
      </c>
      <c r="AK1129" s="231" t="str">
        <f t="shared" si="129"/>
        <v xml:space="preserve"> </v>
      </c>
      <c r="AL1129" s="232"/>
      <c r="AM1129" s="232" t="str">
        <f t="shared" si="130"/>
        <v xml:space="preserve"> </v>
      </c>
      <c r="AN1129" s="232" t="str">
        <f t="shared" si="131"/>
        <v xml:space="preserve"> </v>
      </c>
    </row>
    <row r="1130" spans="28:40" x14ac:dyDescent="0.25">
      <c r="AB1130" s="230" t="e">
        <f>T1130-HLOOKUP(V1130,Minimas!$C$3:$CD$12,2,FALSE)</f>
        <v>#N/A</v>
      </c>
      <c r="AC1130" s="230" t="e">
        <f>T1130-HLOOKUP(V1130,Minimas!$C$3:$CD$12,3,FALSE)</f>
        <v>#N/A</v>
      </c>
      <c r="AD1130" s="230" t="e">
        <f>T1130-HLOOKUP(V1130,Minimas!$C$3:$CD$12,4,FALSE)</f>
        <v>#N/A</v>
      </c>
      <c r="AE1130" s="230" t="e">
        <f>T1130-HLOOKUP(V1130,Minimas!$C$3:$CD$12,5,FALSE)</f>
        <v>#N/A</v>
      </c>
      <c r="AF1130" s="230" t="e">
        <f>T1130-HLOOKUP(V1130,Minimas!$C$3:$CD$12,6,FALSE)</f>
        <v>#N/A</v>
      </c>
      <c r="AG1130" s="230" t="e">
        <f>T1130-HLOOKUP(V1130,Minimas!$C$3:$CD$12,7,FALSE)</f>
        <v>#N/A</v>
      </c>
      <c r="AH1130" s="230" t="e">
        <f>T1130-HLOOKUP(V1130,Minimas!$C$3:$CD$12,8,FALSE)</f>
        <v>#N/A</v>
      </c>
      <c r="AI1130" s="230" t="e">
        <f>T1130-HLOOKUP(V1130,Minimas!$C$3:$CD$12,9,FALSE)</f>
        <v>#N/A</v>
      </c>
      <c r="AJ1130" s="230" t="e">
        <f>T1130-HLOOKUP(V1130,Minimas!$C$3:$CD$12,10,FALSE)</f>
        <v>#N/A</v>
      </c>
      <c r="AK1130" s="231" t="str">
        <f t="shared" si="129"/>
        <v xml:space="preserve"> </v>
      </c>
      <c r="AL1130" s="232"/>
      <c r="AM1130" s="232" t="str">
        <f t="shared" si="130"/>
        <v xml:space="preserve"> </v>
      </c>
      <c r="AN1130" s="232" t="str">
        <f t="shared" si="131"/>
        <v xml:space="preserve"> </v>
      </c>
    </row>
    <row r="1131" spans="28:40" x14ac:dyDescent="0.25">
      <c r="AB1131" s="230" t="e">
        <f>T1131-HLOOKUP(V1131,Minimas!$C$3:$CD$12,2,FALSE)</f>
        <v>#N/A</v>
      </c>
      <c r="AC1131" s="230" t="e">
        <f>T1131-HLOOKUP(V1131,Minimas!$C$3:$CD$12,3,FALSE)</f>
        <v>#N/A</v>
      </c>
      <c r="AD1131" s="230" t="e">
        <f>T1131-HLOOKUP(V1131,Minimas!$C$3:$CD$12,4,FALSE)</f>
        <v>#N/A</v>
      </c>
      <c r="AE1131" s="230" t="e">
        <f>T1131-HLOOKUP(V1131,Minimas!$C$3:$CD$12,5,FALSE)</f>
        <v>#N/A</v>
      </c>
      <c r="AF1131" s="230" t="e">
        <f>T1131-HLOOKUP(V1131,Minimas!$C$3:$CD$12,6,FALSE)</f>
        <v>#N/A</v>
      </c>
      <c r="AG1131" s="230" t="e">
        <f>T1131-HLOOKUP(V1131,Minimas!$C$3:$CD$12,7,FALSE)</f>
        <v>#N/A</v>
      </c>
      <c r="AH1131" s="230" t="e">
        <f>T1131-HLOOKUP(V1131,Minimas!$C$3:$CD$12,8,FALSE)</f>
        <v>#N/A</v>
      </c>
      <c r="AI1131" s="230" t="e">
        <f>T1131-HLOOKUP(V1131,Minimas!$C$3:$CD$12,9,FALSE)</f>
        <v>#N/A</v>
      </c>
      <c r="AJ1131" s="230" t="e">
        <f>T1131-HLOOKUP(V1131,Minimas!$C$3:$CD$12,10,FALSE)</f>
        <v>#N/A</v>
      </c>
      <c r="AK1131" s="231" t="str">
        <f t="shared" si="129"/>
        <v xml:space="preserve"> </v>
      </c>
      <c r="AL1131" s="232"/>
      <c r="AM1131" s="232" t="str">
        <f t="shared" si="130"/>
        <v xml:space="preserve"> </v>
      </c>
      <c r="AN1131" s="232" t="str">
        <f t="shared" si="131"/>
        <v xml:space="preserve"> </v>
      </c>
    </row>
    <row r="1132" spans="28:40" x14ac:dyDescent="0.25">
      <c r="AB1132" s="230" t="e">
        <f>T1132-HLOOKUP(V1132,Minimas!$C$3:$CD$12,2,FALSE)</f>
        <v>#N/A</v>
      </c>
      <c r="AC1132" s="230" t="e">
        <f>T1132-HLOOKUP(V1132,Minimas!$C$3:$CD$12,3,FALSE)</f>
        <v>#N/A</v>
      </c>
      <c r="AD1132" s="230" t="e">
        <f>T1132-HLOOKUP(V1132,Minimas!$C$3:$CD$12,4,FALSE)</f>
        <v>#N/A</v>
      </c>
      <c r="AE1132" s="230" t="e">
        <f>T1132-HLOOKUP(V1132,Minimas!$C$3:$CD$12,5,FALSE)</f>
        <v>#N/A</v>
      </c>
      <c r="AF1132" s="230" t="e">
        <f>T1132-HLOOKUP(V1132,Minimas!$C$3:$CD$12,6,FALSE)</f>
        <v>#N/A</v>
      </c>
      <c r="AG1132" s="230" t="e">
        <f>T1132-HLOOKUP(V1132,Minimas!$C$3:$CD$12,7,FALSE)</f>
        <v>#N/A</v>
      </c>
      <c r="AH1132" s="230" t="e">
        <f>T1132-HLOOKUP(V1132,Minimas!$C$3:$CD$12,8,FALSE)</f>
        <v>#N/A</v>
      </c>
      <c r="AI1132" s="230" t="e">
        <f>T1132-HLOOKUP(V1132,Minimas!$C$3:$CD$12,9,FALSE)</f>
        <v>#N/A</v>
      </c>
      <c r="AJ1132" s="230" t="e">
        <f>T1132-HLOOKUP(V1132,Minimas!$C$3:$CD$12,10,FALSE)</f>
        <v>#N/A</v>
      </c>
      <c r="AK1132" s="231" t="str">
        <f t="shared" si="129"/>
        <v xml:space="preserve"> </v>
      </c>
      <c r="AL1132" s="232"/>
      <c r="AM1132" s="232" t="str">
        <f t="shared" si="130"/>
        <v xml:space="preserve"> </v>
      </c>
      <c r="AN1132" s="232" t="str">
        <f t="shared" si="131"/>
        <v xml:space="preserve"> </v>
      </c>
    </row>
    <row r="1133" spans="28:40" x14ac:dyDescent="0.25">
      <c r="AB1133" s="230" t="e">
        <f>T1133-HLOOKUP(V1133,Minimas!$C$3:$CD$12,2,FALSE)</f>
        <v>#N/A</v>
      </c>
      <c r="AC1133" s="230" t="e">
        <f>T1133-HLOOKUP(V1133,Minimas!$C$3:$CD$12,3,FALSE)</f>
        <v>#N/A</v>
      </c>
      <c r="AD1133" s="230" t="e">
        <f>T1133-HLOOKUP(V1133,Minimas!$C$3:$CD$12,4,FALSE)</f>
        <v>#N/A</v>
      </c>
      <c r="AE1133" s="230" t="e">
        <f>T1133-HLOOKUP(V1133,Minimas!$C$3:$CD$12,5,FALSE)</f>
        <v>#N/A</v>
      </c>
      <c r="AF1133" s="230" t="e">
        <f>T1133-HLOOKUP(V1133,Minimas!$C$3:$CD$12,6,FALSE)</f>
        <v>#N/A</v>
      </c>
      <c r="AG1133" s="230" t="e">
        <f>T1133-HLOOKUP(V1133,Minimas!$C$3:$CD$12,7,FALSE)</f>
        <v>#N/A</v>
      </c>
      <c r="AH1133" s="230" t="e">
        <f>T1133-HLOOKUP(V1133,Minimas!$C$3:$CD$12,8,FALSE)</f>
        <v>#N/A</v>
      </c>
      <c r="AI1133" s="230" t="e">
        <f>T1133-HLOOKUP(V1133,Minimas!$C$3:$CD$12,9,FALSE)</f>
        <v>#N/A</v>
      </c>
      <c r="AJ1133" s="230" t="e">
        <f>T1133-HLOOKUP(V1133,Minimas!$C$3:$CD$12,10,FALSE)</f>
        <v>#N/A</v>
      </c>
      <c r="AK1133" s="231" t="str">
        <f t="shared" si="129"/>
        <v xml:space="preserve"> </v>
      </c>
      <c r="AL1133" s="232"/>
      <c r="AM1133" s="232" t="str">
        <f t="shared" si="130"/>
        <v xml:space="preserve"> </v>
      </c>
      <c r="AN1133" s="232" t="str">
        <f t="shared" si="131"/>
        <v xml:space="preserve"> </v>
      </c>
    </row>
    <row r="1134" spans="28:40" x14ac:dyDescent="0.25">
      <c r="AB1134" s="230" t="e">
        <f>T1134-HLOOKUP(V1134,Minimas!$C$3:$CD$12,2,FALSE)</f>
        <v>#N/A</v>
      </c>
      <c r="AC1134" s="230" t="e">
        <f>T1134-HLOOKUP(V1134,Minimas!$C$3:$CD$12,3,FALSE)</f>
        <v>#N/A</v>
      </c>
      <c r="AD1134" s="230" t="e">
        <f>T1134-HLOOKUP(V1134,Minimas!$C$3:$CD$12,4,FALSE)</f>
        <v>#N/A</v>
      </c>
      <c r="AE1134" s="230" t="e">
        <f>T1134-HLOOKUP(V1134,Minimas!$C$3:$CD$12,5,FALSE)</f>
        <v>#N/A</v>
      </c>
      <c r="AF1134" s="230" t="e">
        <f>T1134-HLOOKUP(V1134,Minimas!$C$3:$CD$12,6,FALSE)</f>
        <v>#N/A</v>
      </c>
      <c r="AG1134" s="230" t="e">
        <f>T1134-HLOOKUP(V1134,Minimas!$C$3:$CD$12,7,FALSE)</f>
        <v>#N/A</v>
      </c>
      <c r="AH1134" s="230" t="e">
        <f>T1134-HLOOKUP(V1134,Minimas!$C$3:$CD$12,8,FALSE)</f>
        <v>#N/A</v>
      </c>
      <c r="AI1134" s="230" t="e">
        <f>T1134-HLOOKUP(V1134,Minimas!$C$3:$CD$12,9,FALSE)</f>
        <v>#N/A</v>
      </c>
      <c r="AJ1134" s="230" t="e">
        <f>T1134-HLOOKUP(V1134,Minimas!$C$3:$CD$12,10,FALSE)</f>
        <v>#N/A</v>
      </c>
      <c r="AK1134" s="231" t="str">
        <f t="shared" si="129"/>
        <v xml:space="preserve"> </v>
      </c>
      <c r="AL1134" s="232"/>
      <c r="AM1134" s="232" t="str">
        <f t="shared" si="130"/>
        <v xml:space="preserve"> </v>
      </c>
      <c r="AN1134" s="232" t="str">
        <f t="shared" si="131"/>
        <v xml:space="preserve"> </v>
      </c>
    </row>
    <row r="1135" spans="28:40" x14ac:dyDescent="0.25">
      <c r="AB1135" s="230" t="e">
        <f>T1135-HLOOKUP(V1135,Minimas!$C$3:$CD$12,2,FALSE)</f>
        <v>#N/A</v>
      </c>
      <c r="AC1135" s="230" t="e">
        <f>T1135-HLOOKUP(V1135,Minimas!$C$3:$CD$12,3,FALSE)</f>
        <v>#N/A</v>
      </c>
      <c r="AD1135" s="230" t="e">
        <f>T1135-HLOOKUP(V1135,Minimas!$C$3:$CD$12,4,FALSE)</f>
        <v>#N/A</v>
      </c>
      <c r="AE1135" s="230" t="e">
        <f>T1135-HLOOKUP(V1135,Minimas!$C$3:$CD$12,5,FALSE)</f>
        <v>#N/A</v>
      </c>
      <c r="AF1135" s="230" t="e">
        <f>T1135-HLOOKUP(V1135,Minimas!$C$3:$CD$12,6,FALSE)</f>
        <v>#N/A</v>
      </c>
      <c r="AG1135" s="230" t="e">
        <f>T1135-HLOOKUP(V1135,Minimas!$C$3:$CD$12,7,FALSE)</f>
        <v>#N/A</v>
      </c>
      <c r="AH1135" s="230" t="e">
        <f>T1135-HLOOKUP(V1135,Minimas!$C$3:$CD$12,8,FALSE)</f>
        <v>#N/A</v>
      </c>
      <c r="AI1135" s="230" t="e">
        <f>T1135-HLOOKUP(V1135,Minimas!$C$3:$CD$12,9,FALSE)</f>
        <v>#N/A</v>
      </c>
      <c r="AJ1135" s="230" t="e">
        <f>T1135-HLOOKUP(V1135,Minimas!$C$3:$CD$12,10,FALSE)</f>
        <v>#N/A</v>
      </c>
      <c r="AK1135" s="231" t="str">
        <f t="shared" si="129"/>
        <v xml:space="preserve"> </v>
      </c>
      <c r="AL1135" s="232"/>
      <c r="AM1135" s="232" t="str">
        <f t="shared" si="130"/>
        <v xml:space="preserve"> </v>
      </c>
      <c r="AN1135" s="232" t="str">
        <f t="shared" si="131"/>
        <v xml:space="preserve"> </v>
      </c>
    </row>
    <row r="1136" spans="28:40" x14ac:dyDescent="0.25">
      <c r="AB1136" s="230" t="e">
        <f>T1136-HLOOKUP(V1136,Minimas!$C$3:$CD$12,2,FALSE)</f>
        <v>#N/A</v>
      </c>
      <c r="AC1136" s="230" t="e">
        <f>T1136-HLOOKUP(V1136,Minimas!$C$3:$CD$12,3,FALSE)</f>
        <v>#N/A</v>
      </c>
      <c r="AD1136" s="230" t="e">
        <f>T1136-HLOOKUP(V1136,Minimas!$C$3:$CD$12,4,FALSE)</f>
        <v>#N/A</v>
      </c>
      <c r="AE1136" s="230" t="e">
        <f>T1136-HLOOKUP(V1136,Minimas!$C$3:$CD$12,5,FALSE)</f>
        <v>#N/A</v>
      </c>
      <c r="AF1136" s="230" t="e">
        <f>T1136-HLOOKUP(V1136,Minimas!$C$3:$CD$12,6,FALSE)</f>
        <v>#N/A</v>
      </c>
      <c r="AG1136" s="230" t="e">
        <f>T1136-HLOOKUP(V1136,Minimas!$C$3:$CD$12,7,FALSE)</f>
        <v>#N/A</v>
      </c>
      <c r="AH1136" s="230" t="e">
        <f>T1136-HLOOKUP(V1136,Minimas!$C$3:$CD$12,8,FALSE)</f>
        <v>#N/A</v>
      </c>
      <c r="AI1136" s="230" t="e">
        <f>T1136-HLOOKUP(V1136,Minimas!$C$3:$CD$12,9,FALSE)</f>
        <v>#N/A</v>
      </c>
      <c r="AJ1136" s="230" t="e">
        <f>T1136-HLOOKUP(V1136,Minimas!$C$3:$CD$12,10,FALSE)</f>
        <v>#N/A</v>
      </c>
      <c r="AK1136" s="231" t="str">
        <f t="shared" si="129"/>
        <v xml:space="preserve"> </v>
      </c>
      <c r="AL1136" s="232"/>
      <c r="AM1136" s="232" t="str">
        <f t="shared" si="130"/>
        <v xml:space="preserve"> </v>
      </c>
      <c r="AN1136" s="232" t="str">
        <f t="shared" si="131"/>
        <v xml:space="preserve"> </v>
      </c>
    </row>
    <row r="1137" spans="28:40" x14ac:dyDescent="0.25">
      <c r="AB1137" s="230" t="e">
        <f>T1137-HLOOKUP(V1137,Minimas!$C$3:$CD$12,2,FALSE)</f>
        <v>#N/A</v>
      </c>
      <c r="AC1137" s="230" t="e">
        <f>T1137-HLOOKUP(V1137,Minimas!$C$3:$CD$12,3,FALSE)</f>
        <v>#N/A</v>
      </c>
      <c r="AD1137" s="230" t="e">
        <f>T1137-HLOOKUP(V1137,Minimas!$C$3:$CD$12,4,FALSE)</f>
        <v>#N/A</v>
      </c>
      <c r="AE1137" s="230" t="e">
        <f>T1137-HLOOKUP(V1137,Minimas!$C$3:$CD$12,5,FALSE)</f>
        <v>#N/A</v>
      </c>
      <c r="AF1137" s="230" t="e">
        <f>T1137-HLOOKUP(V1137,Minimas!$C$3:$CD$12,6,FALSE)</f>
        <v>#N/A</v>
      </c>
      <c r="AG1137" s="230" t="e">
        <f>T1137-HLOOKUP(V1137,Minimas!$C$3:$CD$12,7,FALSE)</f>
        <v>#N/A</v>
      </c>
      <c r="AH1137" s="230" t="e">
        <f>T1137-HLOOKUP(V1137,Minimas!$C$3:$CD$12,8,FALSE)</f>
        <v>#N/A</v>
      </c>
      <c r="AI1137" s="230" t="e">
        <f>T1137-HLOOKUP(V1137,Minimas!$C$3:$CD$12,9,FALSE)</f>
        <v>#N/A</v>
      </c>
      <c r="AJ1137" s="230" t="e">
        <f>T1137-HLOOKUP(V1137,Minimas!$C$3:$CD$12,10,FALSE)</f>
        <v>#N/A</v>
      </c>
      <c r="AK1137" s="231" t="str">
        <f t="shared" si="129"/>
        <v xml:space="preserve"> </v>
      </c>
      <c r="AL1137" s="232"/>
      <c r="AM1137" s="232" t="str">
        <f t="shared" si="130"/>
        <v xml:space="preserve"> </v>
      </c>
      <c r="AN1137" s="232" t="str">
        <f t="shared" si="131"/>
        <v xml:space="preserve"> </v>
      </c>
    </row>
    <row r="1138" spans="28:40" x14ac:dyDescent="0.25">
      <c r="AB1138" s="230" t="e">
        <f>T1138-HLOOKUP(V1138,Minimas!$C$3:$CD$12,2,FALSE)</f>
        <v>#N/A</v>
      </c>
      <c r="AC1138" s="230" t="e">
        <f>T1138-HLOOKUP(V1138,Minimas!$C$3:$CD$12,3,FALSE)</f>
        <v>#N/A</v>
      </c>
      <c r="AD1138" s="230" t="e">
        <f>T1138-HLOOKUP(V1138,Minimas!$C$3:$CD$12,4,FALSE)</f>
        <v>#N/A</v>
      </c>
      <c r="AE1138" s="230" t="e">
        <f>T1138-HLOOKUP(V1138,Minimas!$C$3:$CD$12,5,FALSE)</f>
        <v>#N/A</v>
      </c>
      <c r="AF1138" s="230" t="e">
        <f>T1138-HLOOKUP(V1138,Minimas!$C$3:$CD$12,6,FALSE)</f>
        <v>#N/A</v>
      </c>
      <c r="AG1138" s="230" t="e">
        <f>T1138-HLOOKUP(V1138,Minimas!$C$3:$CD$12,7,FALSE)</f>
        <v>#N/A</v>
      </c>
      <c r="AH1138" s="230" t="e">
        <f>T1138-HLOOKUP(V1138,Minimas!$C$3:$CD$12,8,FALSE)</f>
        <v>#N/A</v>
      </c>
      <c r="AI1138" s="230" t="e">
        <f>T1138-HLOOKUP(V1138,Minimas!$C$3:$CD$12,9,FALSE)</f>
        <v>#N/A</v>
      </c>
      <c r="AJ1138" s="230" t="e">
        <f>T1138-HLOOKUP(V1138,Minimas!$C$3:$CD$12,10,FALSE)</f>
        <v>#N/A</v>
      </c>
      <c r="AK1138" s="231" t="str">
        <f t="shared" si="129"/>
        <v xml:space="preserve"> </v>
      </c>
      <c r="AL1138" s="232"/>
      <c r="AM1138" s="232" t="str">
        <f t="shared" si="130"/>
        <v xml:space="preserve"> </v>
      </c>
      <c r="AN1138" s="232" t="str">
        <f t="shared" si="131"/>
        <v xml:space="preserve"> </v>
      </c>
    </row>
    <row r="1139" spans="28:40" x14ac:dyDescent="0.25">
      <c r="AB1139" s="230" t="e">
        <f>T1139-HLOOKUP(V1139,Minimas!$C$3:$CD$12,2,FALSE)</f>
        <v>#N/A</v>
      </c>
      <c r="AC1139" s="230" t="e">
        <f>T1139-HLOOKUP(V1139,Minimas!$C$3:$CD$12,3,FALSE)</f>
        <v>#N/A</v>
      </c>
      <c r="AD1139" s="230" t="e">
        <f>T1139-HLOOKUP(V1139,Minimas!$C$3:$CD$12,4,FALSE)</f>
        <v>#N/A</v>
      </c>
      <c r="AE1139" s="230" t="e">
        <f>T1139-HLOOKUP(V1139,Minimas!$C$3:$CD$12,5,FALSE)</f>
        <v>#N/A</v>
      </c>
      <c r="AF1139" s="230" t="e">
        <f>T1139-HLOOKUP(V1139,Minimas!$C$3:$CD$12,6,FALSE)</f>
        <v>#N/A</v>
      </c>
      <c r="AG1139" s="230" t="e">
        <f>T1139-HLOOKUP(V1139,Minimas!$C$3:$CD$12,7,FALSE)</f>
        <v>#N/A</v>
      </c>
      <c r="AH1139" s="230" t="e">
        <f>T1139-HLOOKUP(V1139,Minimas!$C$3:$CD$12,8,FALSE)</f>
        <v>#N/A</v>
      </c>
      <c r="AI1139" s="230" t="e">
        <f>T1139-HLOOKUP(V1139,Minimas!$C$3:$CD$12,9,FALSE)</f>
        <v>#N/A</v>
      </c>
      <c r="AJ1139" s="230" t="e">
        <f>T1139-HLOOKUP(V1139,Minimas!$C$3:$CD$12,10,FALSE)</f>
        <v>#N/A</v>
      </c>
      <c r="AK1139" s="231" t="str">
        <f t="shared" si="129"/>
        <v xml:space="preserve"> </v>
      </c>
      <c r="AL1139" s="232"/>
      <c r="AM1139" s="232" t="str">
        <f t="shared" si="130"/>
        <v xml:space="preserve"> </v>
      </c>
      <c r="AN1139" s="232" t="str">
        <f t="shared" si="131"/>
        <v xml:space="preserve"> </v>
      </c>
    </row>
    <row r="1140" spans="28:40" x14ac:dyDescent="0.25">
      <c r="AB1140" s="230" t="e">
        <f>T1140-HLOOKUP(V1140,Minimas!$C$3:$CD$12,2,FALSE)</f>
        <v>#N/A</v>
      </c>
      <c r="AC1140" s="230" t="e">
        <f>T1140-HLOOKUP(V1140,Minimas!$C$3:$CD$12,3,FALSE)</f>
        <v>#N/A</v>
      </c>
      <c r="AD1140" s="230" t="e">
        <f>T1140-HLOOKUP(V1140,Minimas!$C$3:$CD$12,4,FALSE)</f>
        <v>#N/A</v>
      </c>
      <c r="AE1140" s="230" t="e">
        <f>T1140-HLOOKUP(V1140,Minimas!$C$3:$CD$12,5,FALSE)</f>
        <v>#N/A</v>
      </c>
      <c r="AF1140" s="230" t="e">
        <f>T1140-HLOOKUP(V1140,Minimas!$C$3:$CD$12,6,FALSE)</f>
        <v>#N/A</v>
      </c>
      <c r="AG1140" s="230" t="e">
        <f>T1140-HLOOKUP(V1140,Minimas!$C$3:$CD$12,7,FALSE)</f>
        <v>#N/A</v>
      </c>
      <c r="AH1140" s="230" t="e">
        <f>T1140-HLOOKUP(V1140,Minimas!$C$3:$CD$12,8,FALSE)</f>
        <v>#N/A</v>
      </c>
      <c r="AI1140" s="230" t="e">
        <f>T1140-HLOOKUP(V1140,Minimas!$C$3:$CD$12,9,FALSE)</f>
        <v>#N/A</v>
      </c>
      <c r="AJ1140" s="230" t="e">
        <f>T1140-HLOOKUP(V1140,Minimas!$C$3:$CD$12,10,FALSE)</f>
        <v>#N/A</v>
      </c>
      <c r="AK1140" s="231" t="str">
        <f t="shared" si="129"/>
        <v xml:space="preserve"> </v>
      </c>
      <c r="AL1140" s="232"/>
      <c r="AM1140" s="232" t="str">
        <f t="shared" si="130"/>
        <v xml:space="preserve"> </v>
      </c>
      <c r="AN1140" s="232" t="str">
        <f t="shared" si="131"/>
        <v xml:space="preserve"> </v>
      </c>
    </row>
    <row r="1141" spans="28:40" x14ac:dyDescent="0.25">
      <c r="AB1141" s="230" t="e">
        <f>T1141-HLOOKUP(V1141,Minimas!$C$3:$CD$12,2,FALSE)</f>
        <v>#N/A</v>
      </c>
      <c r="AC1141" s="230" t="e">
        <f>T1141-HLOOKUP(V1141,Minimas!$C$3:$CD$12,3,FALSE)</f>
        <v>#N/A</v>
      </c>
      <c r="AD1141" s="230" t="e">
        <f>T1141-HLOOKUP(V1141,Minimas!$C$3:$CD$12,4,FALSE)</f>
        <v>#N/A</v>
      </c>
      <c r="AE1141" s="230" t="e">
        <f>T1141-HLOOKUP(V1141,Minimas!$C$3:$CD$12,5,FALSE)</f>
        <v>#N/A</v>
      </c>
      <c r="AF1141" s="230" t="e">
        <f>T1141-HLOOKUP(V1141,Minimas!$C$3:$CD$12,6,FALSE)</f>
        <v>#N/A</v>
      </c>
      <c r="AG1141" s="230" t="e">
        <f>T1141-HLOOKUP(V1141,Minimas!$C$3:$CD$12,7,FALSE)</f>
        <v>#N/A</v>
      </c>
      <c r="AH1141" s="230" t="e">
        <f>T1141-HLOOKUP(V1141,Minimas!$C$3:$CD$12,8,FALSE)</f>
        <v>#N/A</v>
      </c>
      <c r="AI1141" s="230" t="e">
        <f>T1141-HLOOKUP(V1141,Minimas!$C$3:$CD$12,9,FALSE)</f>
        <v>#N/A</v>
      </c>
      <c r="AJ1141" s="230" t="e">
        <f>T1141-HLOOKUP(V1141,Minimas!$C$3:$CD$12,10,FALSE)</f>
        <v>#N/A</v>
      </c>
      <c r="AK1141" s="231" t="str">
        <f t="shared" si="129"/>
        <v xml:space="preserve"> </v>
      </c>
      <c r="AL1141" s="232"/>
      <c r="AM1141" s="232" t="str">
        <f t="shared" si="130"/>
        <v xml:space="preserve"> </v>
      </c>
      <c r="AN1141" s="232" t="str">
        <f t="shared" si="131"/>
        <v xml:space="preserve"> </v>
      </c>
    </row>
    <row r="1142" spans="28:40" x14ac:dyDescent="0.25">
      <c r="AB1142" s="230" t="e">
        <f>T1142-HLOOKUP(V1142,Minimas!$C$3:$CD$12,2,FALSE)</f>
        <v>#N/A</v>
      </c>
      <c r="AC1142" s="230" t="e">
        <f>T1142-HLOOKUP(V1142,Minimas!$C$3:$CD$12,3,FALSE)</f>
        <v>#N/A</v>
      </c>
      <c r="AD1142" s="230" t="e">
        <f>T1142-HLOOKUP(V1142,Minimas!$C$3:$CD$12,4,FALSE)</f>
        <v>#N/A</v>
      </c>
      <c r="AE1142" s="230" t="e">
        <f>T1142-HLOOKUP(V1142,Minimas!$C$3:$CD$12,5,FALSE)</f>
        <v>#N/A</v>
      </c>
      <c r="AF1142" s="230" t="e">
        <f>T1142-HLOOKUP(V1142,Minimas!$C$3:$CD$12,6,FALSE)</f>
        <v>#N/A</v>
      </c>
      <c r="AG1142" s="230" t="e">
        <f>T1142-HLOOKUP(V1142,Minimas!$C$3:$CD$12,7,FALSE)</f>
        <v>#N/A</v>
      </c>
      <c r="AH1142" s="230" t="e">
        <f>T1142-HLOOKUP(V1142,Minimas!$C$3:$CD$12,8,FALSE)</f>
        <v>#N/A</v>
      </c>
      <c r="AI1142" s="230" t="e">
        <f>T1142-HLOOKUP(V1142,Minimas!$C$3:$CD$12,9,FALSE)</f>
        <v>#N/A</v>
      </c>
      <c r="AJ1142" s="230" t="e">
        <f>T1142-HLOOKUP(V1142,Minimas!$C$3:$CD$12,10,FALSE)</f>
        <v>#N/A</v>
      </c>
      <c r="AK1142" s="231" t="str">
        <f t="shared" si="129"/>
        <v xml:space="preserve"> </v>
      </c>
      <c r="AL1142" s="232"/>
      <c r="AM1142" s="232" t="str">
        <f t="shared" si="130"/>
        <v xml:space="preserve"> </v>
      </c>
      <c r="AN1142" s="232" t="str">
        <f t="shared" si="131"/>
        <v xml:space="preserve"> </v>
      </c>
    </row>
    <row r="1143" spans="28:40" x14ac:dyDescent="0.25">
      <c r="AB1143" s="230" t="e">
        <f>T1143-HLOOKUP(V1143,Minimas!$C$3:$CD$12,2,FALSE)</f>
        <v>#N/A</v>
      </c>
      <c r="AC1143" s="230" t="e">
        <f>T1143-HLOOKUP(V1143,Minimas!$C$3:$CD$12,3,FALSE)</f>
        <v>#N/A</v>
      </c>
      <c r="AD1143" s="230" t="e">
        <f>T1143-HLOOKUP(V1143,Minimas!$C$3:$CD$12,4,FALSE)</f>
        <v>#N/A</v>
      </c>
      <c r="AE1143" s="230" t="e">
        <f>T1143-HLOOKUP(V1143,Minimas!$C$3:$CD$12,5,FALSE)</f>
        <v>#N/A</v>
      </c>
      <c r="AF1143" s="230" t="e">
        <f>T1143-HLOOKUP(V1143,Minimas!$C$3:$CD$12,6,FALSE)</f>
        <v>#N/A</v>
      </c>
      <c r="AG1143" s="230" t="e">
        <f>T1143-HLOOKUP(V1143,Minimas!$C$3:$CD$12,7,FALSE)</f>
        <v>#N/A</v>
      </c>
      <c r="AH1143" s="230" t="e">
        <f>T1143-HLOOKUP(V1143,Minimas!$C$3:$CD$12,8,FALSE)</f>
        <v>#N/A</v>
      </c>
      <c r="AI1143" s="230" t="e">
        <f>T1143-HLOOKUP(V1143,Minimas!$C$3:$CD$12,9,FALSE)</f>
        <v>#N/A</v>
      </c>
      <c r="AJ1143" s="230" t="e">
        <f>T1143-HLOOKUP(V1143,Minimas!$C$3:$CD$12,10,FALSE)</f>
        <v>#N/A</v>
      </c>
      <c r="AK1143" s="231" t="str">
        <f t="shared" si="129"/>
        <v xml:space="preserve"> </v>
      </c>
      <c r="AL1143" s="232"/>
      <c r="AM1143" s="232" t="str">
        <f t="shared" si="130"/>
        <v xml:space="preserve"> </v>
      </c>
      <c r="AN1143" s="232" t="str">
        <f t="shared" si="131"/>
        <v xml:space="preserve"> </v>
      </c>
    </row>
    <row r="1144" spans="28:40" x14ac:dyDescent="0.25">
      <c r="AB1144" s="230" t="e">
        <f>T1144-HLOOKUP(V1144,Minimas!$C$3:$CD$12,2,FALSE)</f>
        <v>#N/A</v>
      </c>
      <c r="AC1144" s="230" t="e">
        <f>T1144-HLOOKUP(V1144,Minimas!$C$3:$CD$12,3,FALSE)</f>
        <v>#N/A</v>
      </c>
      <c r="AD1144" s="230" t="e">
        <f>T1144-HLOOKUP(V1144,Minimas!$C$3:$CD$12,4,FALSE)</f>
        <v>#N/A</v>
      </c>
      <c r="AE1144" s="230" t="e">
        <f>T1144-HLOOKUP(V1144,Minimas!$C$3:$CD$12,5,FALSE)</f>
        <v>#N/A</v>
      </c>
      <c r="AF1144" s="230" t="e">
        <f>T1144-HLOOKUP(V1144,Minimas!$C$3:$CD$12,6,FALSE)</f>
        <v>#N/A</v>
      </c>
      <c r="AG1144" s="230" t="e">
        <f>T1144-HLOOKUP(V1144,Minimas!$C$3:$CD$12,7,FALSE)</f>
        <v>#N/A</v>
      </c>
      <c r="AH1144" s="230" t="e">
        <f>T1144-HLOOKUP(V1144,Minimas!$C$3:$CD$12,8,FALSE)</f>
        <v>#N/A</v>
      </c>
      <c r="AI1144" s="230" t="e">
        <f>T1144-HLOOKUP(V1144,Minimas!$C$3:$CD$12,9,FALSE)</f>
        <v>#N/A</v>
      </c>
      <c r="AJ1144" s="230" t="e">
        <f>T1144-HLOOKUP(V1144,Minimas!$C$3:$CD$12,10,FALSE)</f>
        <v>#N/A</v>
      </c>
      <c r="AK1144" s="231" t="str">
        <f t="shared" si="129"/>
        <v xml:space="preserve"> </v>
      </c>
      <c r="AL1144" s="232"/>
      <c r="AM1144" s="232" t="str">
        <f t="shared" si="130"/>
        <v xml:space="preserve"> </v>
      </c>
      <c r="AN1144" s="232" t="str">
        <f t="shared" si="131"/>
        <v xml:space="preserve"> </v>
      </c>
    </row>
    <row r="1145" spans="28:40" x14ac:dyDescent="0.25">
      <c r="AB1145" s="230" t="e">
        <f>T1145-HLOOKUP(V1145,Minimas!$C$3:$CD$12,2,FALSE)</f>
        <v>#N/A</v>
      </c>
      <c r="AC1145" s="230" t="e">
        <f>T1145-HLOOKUP(V1145,Minimas!$C$3:$CD$12,3,FALSE)</f>
        <v>#N/A</v>
      </c>
      <c r="AD1145" s="230" t="e">
        <f>T1145-HLOOKUP(V1145,Minimas!$C$3:$CD$12,4,FALSE)</f>
        <v>#N/A</v>
      </c>
      <c r="AE1145" s="230" t="e">
        <f>T1145-HLOOKUP(V1145,Minimas!$C$3:$CD$12,5,FALSE)</f>
        <v>#N/A</v>
      </c>
      <c r="AF1145" s="230" t="e">
        <f>T1145-HLOOKUP(V1145,Minimas!$C$3:$CD$12,6,FALSE)</f>
        <v>#N/A</v>
      </c>
      <c r="AG1145" s="230" t="e">
        <f>T1145-HLOOKUP(V1145,Minimas!$C$3:$CD$12,7,FALSE)</f>
        <v>#N/A</v>
      </c>
      <c r="AH1145" s="230" t="e">
        <f>T1145-HLOOKUP(V1145,Minimas!$C$3:$CD$12,8,FALSE)</f>
        <v>#N/A</v>
      </c>
      <c r="AI1145" s="230" t="e">
        <f>T1145-HLOOKUP(V1145,Minimas!$C$3:$CD$12,9,FALSE)</f>
        <v>#N/A</v>
      </c>
      <c r="AJ1145" s="230" t="e">
        <f>T1145-HLOOKUP(V1145,Minimas!$C$3:$CD$12,10,FALSE)</f>
        <v>#N/A</v>
      </c>
      <c r="AK1145" s="231" t="str">
        <f t="shared" si="129"/>
        <v xml:space="preserve"> </v>
      </c>
      <c r="AL1145" s="232"/>
      <c r="AM1145" s="232" t="str">
        <f t="shared" si="130"/>
        <v xml:space="preserve"> </v>
      </c>
      <c r="AN1145" s="232" t="str">
        <f t="shared" si="131"/>
        <v xml:space="preserve"> </v>
      </c>
    </row>
    <row r="1146" spans="28:40" x14ac:dyDescent="0.25">
      <c r="AB1146" s="230" t="e">
        <f>T1146-HLOOKUP(V1146,Minimas!$C$3:$CD$12,2,FALSE)</f>
        <v>#N/A</v>
      </c>
      <c r="AC1146" s="230" t="e">
        <f>T1146-HLOOKUP(V1146,Minimas!$C$3:$CD$12,3,FALSE)</f>
        <v>#N/A</v>
      </c>
      <c r="AD1146" s="230" t="e">
        <f>T1146-HLOOKUP(V1146,Minimas!$C$3:$CD$12,4,FALSE)</f>
        <v>#N/A</v>
      </c>
      <c r="AE1146" s="230" t="e">
        <f>T1146-HLOOKUP(V1146,Minimas!$C$3:$CD$12,5,FALSE)</f>
        <v>#N/A</v>
      </c>
      <c r="AF1146" s="230" t="e">
        <f>T1146-HLOOKUP(V1146,Minimas!$C$3:$CD$12,6,FALSE)</f>
        <v>#N/A</v>
      </c>
      <c r="AG1146" s="230" t="e">
        <f>T1146-HLOOKUP(V1146,Minimas!$C$3:$CD$12,7,FALSE)</f>
        <v>#N/A</v>
      </c>
      <c r="AH1146" s="230" t="e">
        <f>T1146-HLOOKUP(V1146,Minimas!$C$3:$CD$12,8,FALSE)</f>
        <v>#N/A</v>
      </c>
      <c r="AI1146" s="230" t="e">
        <f>T1146-HLOOKUP(V1146,Minimas!$C$3:$CD$12,9,FALSE)</f>
        <v>#N/A</v>
      </c>
      <c r="AJ1146" s="230" t="e">
        <f>T1146-HLOOKUP(V1146,Minimas!$C$3:$CD$12,10,FALSE)</f>
        <v>#N/A</v>
      </c>
      <c r="AK1146" s="231" t="str">
        <f t="shared" si="129"/>
        <v xml:space="preserve"> </v>
      </c>
      <c r="AL1146" s="232"/>
      <c r="AM1146" s="232" t="str">
        <f t="shared" si="130"/>
        <v xml:space="preserve"> </v>
      </c>
      <c r="AN1146" s="232" t="str">
        <f t="shared" si="131"/>
        <v xml:space="preserve"> </v>
      </c>
    </row>
    <row r="1147" spans="28:40" x14ac:dyDescent="0.25">
      <c r="AB1147" s="230" t="e">
        <f>T1147-HLOOKUP(V1147,Minimas!$C$3:$CD$12,2,FALSE)</f>
        <v>#N/A</v>
      </c>
      <c r="AC1147" s="230" t="e">
        <f>T1147-HLOOKUP(V1147,Minimas!$C$3:$CD$12,3,FALSE)</f>
        <v>#N/A</v>
      </c>
      <c r="AD1147" s="230" t="e">
        <f>T1147-HLOOKUP(V1147,Minimas!$C$3:$CD$12,4,FALSE)</f>
        <v>#N/A</v>
      </c>
      <c r="AE1147" s="230" t="e">
        <f>T1147-HLOOKUP(V1147,Minimas!$C$3:$CD$12,5,FALSE)</f>
        <v>#N/A</v>
      </c>
      <c r="AF1147" s="230" t="e">
        <f>T1147-HLOOKUP(V1147,Minimas!$C$3:$CD$12,6,FALSE)</f>
        <v>#N/A</v>
      </c>
      <c r="AG1147" s="230" t="e">
        <f>T1147-HLOOKUP(V1147,Minimas!$C$3:$CD$12,7,FALSE)</f>
        <v>#N/A</v>
      </c>
      <c r="AH1147" s="230" t="e">
        <f>T1147-HLOOKUP(V1147,Minimas!$C$3:$CD$12,8,FALSE)</f>
        <v>#N/A</v>
      </c>
      <c r="AI1147" s="230" t="e">
        <f>T1147-HLOOKUP(V1147,Minimas!$C$3:$CD$12,9,FALSE)</f>
        <v>#N/A</v>
      </c>
      <c r="AJ1147" s="230" t="e">
        <f>T1147-HLOOKUP(V1147,Minimas!$C$3:$CD$12,10,FALSE)</f>
        <v>#N/A</v>
      </c>
      <c r="AK1147" s="231" t="str">
        <f t="shared" si="129"/>
        <v xml:space="preserve"> </v>
      </c>
      <c r="AL1147" s="232"/>
      <c r="AM1147" s="232" t="str">
        <f t="shared" si="130"/>
        <v xml:space="preserve"> </v>
      </c>
      <c r="AN1147" s="232" t="str">
        <f t="shared" si="131"/>
        <v xml:space="preserve"> </v>
      </c>
    </row>
    <row r="1148" spans="28:40" x14ac:dyDescent="0.25">
      <c r="AB1148" s="230" t="e">
        <f>T1148-HLOOKUP(V1148,Minimas!$C$3:$CD$12,2,FALSE)</f>
        <v>#N/A</v>
      </c>
      <c r="AC1148" s="230" t="e">
        <f>T1148-HLOOKUP(V1148,Minimas!$C$3:$CD$12,3,FALSE)</f>
        <v>#N/A</v>
      </c>
      <c r="AD1148" s="230" t="e">
        <f>T1148-HLOOKUP(V1148,Minimas!$C$3:$CD$12,4,FALSE)</f>
        <v>#N/A</v>
      </c>
      <c r="AE1148" s="230" t="e">
        <f>T1148-HLOOKUP(V1148,Minimas!$C$3:$CD$12,5,FALSE)</f>
        <v>#N/A</v>
      </c>
      <c r="AF1148" s="230" t="e">
        <f>T1148-HLOOKUP(V1148,Minimas!$C$3:$CD$12,6,FALSE)</f>
        <v>#N/A</v>
      </c>
      <c r="AG1148" s="230" t="e">
        <f>T1148-HLOOKUP(V1148,Minimas!$C$3:$CD$12,7,FALSE)</f>
        <v>#N/A</v>
      </c>
      <c r="AH1148" s="230" t="e">
        <f>T1148-HLOOKUP(V1148,Minimas!$C$3:$CD$12,8,FALSE)</f>
        <v>#N/A</v>
      </c>
      <c r="AI1148" s="230" t="e">
        <f>T1148-HLOOKUP(V1148,Minimas!$C$3:$CD$12,9,FALSE)</f>
        <v>#N/A</v>
      </c>
      <c r="AJ1148" s="230" t="e">
        <f>T1148-HLOOKUP(V1148,Minimas!$C$3:$CD$12,10,FALSE)</f>
        <v>#N/A</v>
      </c>
      <c r="AK1148" s="231" t="str">
        <f t="shared" si="129"/>
        <v xml:space="preserve"> </v>
      </c>
      <c r="AL1148" s="232"/>
      <c r="AM1148" s="232" t="str">
        <f t="shared" si="130"/>
        <v xml:space="preserve"> </v>
      </c>
      <c r="AN1148" s="232" t="str">
        <f t="shared" si="131"/>
        <v xml:space="preserve"> </v>
      </c>
    </row>
    <row r="1149" spans="28:40" x14ac:dyDescent="0.25">
      <c r="AB1149" s="230" t="e">
        <f>T1149-HLOOKUP(V1149,Minimas!$C$3:$CD$12,2,FALSE)</f>
        <v>#N/A</v>
      </c>
      <c r="AC1149" s="230" t="e">
        <f>T1149-HLOOKUP(V1149,Minimas!$C$3:$CD$12,3,FALSE)</f>
        <v>#N/A</v>
      </c>
      <c r="AD1149" s="230" t="e">
        <f>T1149-HLOOKUP(V1149,Minimas!$C$3:$CD$12,4,FALSE)</f>
        <v>#N/A</v>
      </c>
      <c r="AE1149" s="230" t="e">
        <f>T1149-HLOOKUP(V1149,Minimas!$C$3:$CD$12,5,FALSE)</f>
        <v>#N/A</v>
      </c>
      <c r="AF1149" s="230" t="e">
        <f>T1149-HLOOKUP(V1149,Minimas!$C$3:$CD$12,6,FALSE)</f>
        <v>#N/A</v>
      </c>
      <c r="AG1149" s="230" t="e">
        <f>T1149-HLOOKUP(V1149,Minimas!$C$3:$CD$12,7,FALSE)</f>
        <v>#N/A</v>
      </c>
      <c r="AH1149" s="230" t="e">
        <f>T1149-HLOOKUP(V1149,Minimas!$C$3:$CD$12,8,FALSE)</f>
        <v>#N/A</v>
      </c>
      <c r="AI1149" s="230" t="e">
        <f>T1149-HLOOKUP(V1149,Minimas!$C$3:$CD$12,9,FALSE)</f>
        <v>#N/A</v>
      </c>
      <c r="AJ1149" s="230" t="e">
        <f>T1149-HLOOKUP(V1149,Minimas!$C$3:$CD$12,10,FALSE)</f>
        <v>#N/A</v>
      </c>
      <c r="AK1149" s="231" t="str">
        <f t="shared" si="129"/>
        <v xml:space="preserve"> </v>
      </c>
      <c r="AL1149" s="232"/>
      <c r="AM1149" s="232" t="str">
        <f t="shared" si="130"/>
        <v xml:space="preserve"> </v>
      </c>
      <c r="AN1149" s="232" t="str">
        <f t="shared" si="131"/>
        <v xml:space="preserve"> </v>
      </c>
    </row>
    <row r="1150" spans="28:40" x14ac:dyDescent="0.25">
      <c r="AB1150" s="230" t="e">
        <f>T1150-HLOOKUP(V1150,Minimas!$C$3:$CD$12,2,FALSE)</f>
        <v>#N/A</v>
      </c>
      <c r="AC1150" s="230" t="e">
        <f>T1150-HLOOKUP(V1150,Minimas!$C$3:$CD$12,3,FALSE)</f>
        <v>#N/A</v>
      </c>
      <c r="AD1150" s="230" t="e">
        <f>T1150-HLOOKUP(V1150,Minimas!$C$3:$CD$12,4,FALSE)</f>
        <v>#N/A</v>
      </c>
      <c r="AE1150" s="230" t="e">
        <f>T1150-HLOOKUP(V1150,Minimas!$C$3:$CD$12,5,FALSE)</f>
        <v>#N/A</v>
      </c>
      <c r="AF1150" s="230" t="e">
        <f>T1150-HLOOKUP(V1150,Minimas!$C$3:$CD$12,6,FALSE)</f>
        <v>#N/A</v>
      </c>
      <c r="AG1150" s="230" t="e">
        <f>T1150-HLOOKUP(V1150,Minimas!$C$3:$CD$12,7,FALSE)</f>
        <v>#N/A</v>
      </c>
      <c r="AH1150" s="230" t="e">
        <f>T1150-HLOOKUP(V1150,Minimas!$C$3:$CD$12,8,FALSE)</f>
        <v>#N/A</v>
      </c>
      <c r="AI1150" s="230" t="e">
        <f>T1150-HLOOKUP(V1150,Minimas!$C$3:$CD$12,9,FALSE)</f>
        <v>#N/A</v>
      </c>
      <c r="AJ1150" s="230" t="e">
        <f>T1150-HLOOKUP(V1150,Minimas!$C$3:$CD$12,10,FALSE)</f>
        <v>#N/A</v>
      </c>
      <c r="AK1150" s="231" t="str">
        <f t="shared" si="129"/>
        <v xml:space="preserve"> </v>
      </c>
      <c r="AL1150" s="232"/>
      <c r="AM1150" s="232" t="str">
        <f t="shared" si="130"/>
        <v xml:space="preserve"> </v>
      </c>
      <c r="AN1150" s="232" t="str">
        <f t="shared" si="131"/>
        <v xml:space="preserve"> </v>
      </c>
    </row>
    <row r="1151" spans="28:40" x14ac:dyDescent="0.25">
      <c r="AB1151" s="230" t="e">
        <f>T1151-HLOOKUP(V1151,Minimas!$C$3:$CD$12,2,FALSE)</f>
        <v>#N/A</v>
      </c>
      <c r="AC1151" s="230" t="e">
        <f>T1151-HLOOKUP(V1151,Minimas!$C$3:$CD$12,3,FALSE)</f>
        <v>#N/A</v>
      </c>
      <c r="AD1151" s="230" t="e">
        <f>T1151-HLOOKUP(V1151,Minimas!$C$3:$CD$12,4,FALSE)</f>
        <v>#N/A</v>
      </c>
      <c r="AE1151" s="230" t="e">
        <f>T1151-HLOOKUP(V1151,Minimas!$C$3:$CD$12,5,FALSE)</f>
        <v>#N/A</v>
      </c>
      <c r="AF1151" s="230" t="e">
        <f>T1151-HLOOKUP(V1151,Minimas!$C$3:$CD$12,6,FALSE)</f>
        <v>#N/A</v>
      </c>
      <c r="AG1151" s="230" t="e">
        <f>T1151-HLOOKUP(V1151,Minimas!$C$3:$CD$12,7,FALSE)</f>
        <v>#N/A</v>
      </c>
      <c r="AH1151" s="230" t="e">
        <f>T1151-HLOOKUP(V1151,Minimas!$C$3:$CD$12,8,FALSE)</f>
        <v>#N/A</v>
      </c>
      <c r="AI1151" s="230" t="e">
        <f>T1151-HLOOKUP(V1151,Minimas!$C$3:$CD$12,9,FALSE)</f>
        <v>#N/A</v>
      </c>
      <c r="AJ1151" s="230" t="e">
        <f>T1151-HLOOKUP(V1151,Minimas!$C$3:$CD$12,10,FALSE)</f>
        <v>#N/A</v>
      </c>
      <c r="AK1151" s="231" t="str">
        <f t="shared" si="129"/>
        <v xml:space="preserve"> </v>
      </c>
      <c r="AL1151" s="232"/>
      <c r="AM1151" s="232" t="str">
        <f t="shared" si="130"/>
        <v xml:space="preserve"> </v>
      </c>
      <c r="AN1151" s="232" t="str">
        <f t="shared" si="131"/>
        <v xml:space="preserve"> </v>
      </c>
    </row>
    <row r="1152" spans="28:40" x14ac:dyDescent="0.25">
      <c r="AB1152" s="230" t="e">
        <f>T1152-HLOOKUP(V1152,Minimas!$C$3:$CD$12,2,FALSE)</f>
        <v>#N/A</v>
      </c>
      <c r="AC1152" s="230" t="e">
        <f>T1152-HLOOKUP(V1152,Minimas!$C$3:$CD$12,3,FALSE)</f>
        <v>#N/A</v>
      </c>
      <c r="AD1152" s="230" t="e">
        <f>T1152-HLOOKUP(V1152,Minimas!$C$3:$CD$12,4,FALSE)</f>
        <v>#N/A</v>
      </c>
      <c r="AE1152" s="230" t="e">
        <f>T1152-HLOOKUP(V1152,Minimas!$C$3:$CD$12,5,FALSE)</f>
        <v>#N/A</v>
      </c>
      <c r="AF1152" s="230" t="e">
        <f>T1152-HLOOKUP(V1152,Minimas!$C$3:$CD$12,6,FALSE)</f>
        <v>#N/A</v>
      </c>
      <c r="AG1152" s="230" t="e">
        <f>T1152-HLOOKUP(V1152,Minimas!$C$3:$CD$12,7,FALSE)</f>
        <v>#N/A</v>
      </c>
      <c r="AH1152" s="230" t="e">
        <f>T1152-HLOOKUP(V1152,Minimas!$C$3:$CD$12,8,FALSE)</f>
        <v>#N/A</v>
      </c>
      <c r="AI1152" s="230" t="e">
        <f>T1152-HLOOKUP(V1152,Minimas!$C$3:$CD$12,9,FALSE)</f>
        <v>#N/A</v>
      </c>
      <c r="AJ1152" s="230" t="e">
        <f>T1152-HLOOKUP(V1152,Minimas!$C$3:$CD$12,10,FALSE)</f>
        <v>#N/A</v>
      </c>
      <c r="AK1152" s="231" t="str">
        <f t="shared" si="129"/>
        <v xml:space="preserve"> </v>
      </c>
      <c r="AL1152" s="232"/>
      <c r="AM1152" s="232" t="str">
        <f t="shared" si="130"/>
        <v xml:space="preserve"> </v>
      </c>
      <c r="AN1152" s="232" t="str">
        <f t="shared" si="131"/>
        <v xml:space="preserve"> </v>
      </c>
    </row>
    <row r="1153" spans="28:40" x14ac:dyDescent="0.25">
      <c r="AB1153" s="230" t="e">
        <f>T1153-HLOOKUP(V1153,Minimas!$C$3:$CD$12,2,FALSE)</f>
        <v>#N/A</v>
      </c>
      <c r="AC1153" s="230" t="e">
        <f>T1153-HLOOKUP(V1153,Minimas!$C$3:$CD$12,3,FALSE)</f>
        <v>#N/A</v>
      </c>
      <c r="AD1153" s="230" t="e">
        <f>T1153-HLOOKUP(V1153,Minimas!$C$3:$CD$12,4,FALSE)</f>
        <v>#N/A</v>
      </c>
      <c r="AE1153" s="230" t="e">
        <f>T1153-HLOOKUP(V1153,Minimas!$C$3:$CD$12,5,FALSE)</f>
        <v>#N/A</v>
      </c>
      <c r="AF1153" s="230" t="e">
        <f>T1153-HLOOKUP(V1153,Minimas!$C$3:$CD$12,6,FALSE)</f>
        <v>#N/A</v>
      </c>
      <c r="AG1153" s="230" t="e">
        <f>T1153-HLOOKUP(V1153,Minimas!$C$3:$CD$12,7,FALSE)</f>
        <v>#N/A</v>
      </c>
      <c r="AH1153" s="230" t="e">
        <f>T1153-HLOOKUP(V1153,Minimas!$C$3:$CD$12,8,FALSE)</f>
        <v>#N/A</v>
      </c>
      <c r="AI1153" s="230" t="e">
        <f>T1153-HLOOKUP(V1153,Minimas!$C$3:$CD$12,9,FALSE)</f>
        <v>#N/A</v>
      </c>
      <c r="AJ1153" s="230" t="e">
        <f>T1153-HLOOKUP(V1153,Minimas!$C$3:$CD$12,10,FALSE)</f>
        <v>#N/A</v>
      </c>
      <c r="AK1153" s="231" t="str">
        <f t="shared" si="129"/>
        <v xml:space="preserve"> </v>
      </c>
      <c r="AL1153" s="232"/>
      <c r="AM1153" s="232" t="str">
        <f t="shared" si="130"/>
        <v xml:space="preserve"> </v>
      </c>
      <c r="AN1153" s="232" t="str">
        <f t="shared" si="131"/>
        <v xml:space="preserve"> </v>
      </c>
    </row>
    <row r="1154" spans="28:40" x14ac:dyDescent="0.25">
      <c r="AB1154" s="230" t="e">
        <f>T1154-HLOOKUP(V1154,Minimas!$C$3:$CD$12,2,FALSE)</f>
        <v>#N/A</v>
      </c>
      <c r="AC1154" s="230" t="e">
        <f>T1154-HLOOKUP(V1154,Minimas!$C$3:$CD$12,3,FALSE)</f>
        <v>#N/A</v>
      </c>
      <c r="AD1154" s="230" t="e">
        <f>T1154-HLOOKUP(V1154,Minimas!$C$3:$CD$12,4,FALSE)</f>
        <v>#N/A</v>
      </c>
      <c r="AE1154" s="230" t="e">
        <f>T1154-HLOOKUP(V1154,Minimas!$C$3:$CD$12,5,FALSE)</f>
        <v>#N/A</v>
      </c>
      <c r="AF1154" s="230" t="e">
        <f>T1154-HLOOKUP(V1154,Minimas!$C$3:$CD$12,6,FALSE)</f>
        <v>#N/A</v>
      </c>
      <c r="AG1154" s="230" t="e">
        <f>T1154-HLOOKUP(V1154,Minimas!$C$3:$CD$12,7,FALSE)</f>
        <v>#N/A</v>
      </c>
      <c r="AH1154" s="230" t="e">
        <f>T1154-HLOOKUP(V1154,Minimas!$C$3:$CD$12,8,FALSE)</f>
        <v>#N/A</v>
      </c>
      <c r="AI1154" s="230" t="e">
        <f>T1154-HLOOKUP(V1154,Minimas!$C$3:$CD$12,9,FALSE)</f>
        <v>#N/A</v>
      </c>
      <c r="AJ1154" s="230" t="e">
        <f>T1154-HLOOKUP(V1154,Minimas!$C$3:$CD$12,10,FALSE)</f>
        <v>#N/A</v>
      </c>
      <c r="AK1154" s="231" t="str">
        <f t="shared" si="129"/>
        <v xml:space="preserve"> </v>
      </c>
      <c r="AL1154" s="232"/>
      <c r="AM1154" s="232" t="str">
        <f t="shared" si="130"/>
        <v xml:space="preserve"> </v>
      </c>
      <c r="AN1154" s="232" t="str">
        <f t="shared" si="131"/>
        <v xml:space="preserve"> </v>
      </c>
    </row>
    <row r="1155" spans="28:40" x14ac:dyDescent="0.25">
      <c r="AB1155" s="230" t="e">
        <f>T1155-HLOOKUP(V1155,Minimas!$C$3:$CD$12,2,FALSE)</f>
        <v>#N/A</v>
      </c>
      <c r="AC1155" s="230" t="e">
        <f>T1155-HLOOKUP(V1155,Minimas!$C$3:$CD$12,3,FALSE)</f>
        <v>#N/A</v>
      </c>
      <c r="AD1155" s="230" t="e">
        <f>T1155-HLOOKUP(V1155,Minimas!$C$3:$CD$12,4,FALSE)</f>
        <v>#N/A</v>
      </c>
      <c r="AE1155" s="230" t="e">
        <f>T1155-HLOOKUP(V1155,Minimas!$C$3:$CD$12,5,FALSE)</f>
        <v>#N/A</v>
      </c>
      <c r="AF1155" s="230" t="e">
        <f>T1155-HLOOKUP(V1155,Minimas!$C$3:$CD$12,6,FALSE)</f>
        <v>#N/A</v>
      </c>
      <c r="AG1155" s="230" t="e">
        <f>T1155-HLOOKUP(V1155,Minimas!$C$3:$CD$12,7,FALSE)</f>
        <v>#N/A</v>
      </c>
      <c r="AH1155" s="230" t="e">
        <f>T1155-HLOOKUP(V1155,Minimas!$C$3:$CD$12,8,FALSE)</f>
        <v>#N/A</v>
      </c>
      <c r="AI1155" s="230" t="e">
        <f>T1155-HLOOKUP(V1155,Minimas!$C$3:$CD$12,9,FALSE)</f>
        <v>#N/A</v>
      </c>
      <c r="AJ1155" s="230" t="e">
        <f>T1155-HLOOKUP(V1155,Minimas!$C$3:$CD$12,10,FALSE)</f>
        <v>#N/A</v>
      </c>
      <c r="AK1155" s="231" t="str">
        <f t="shared" si="129"/>
        <v xml:space="preserve"> </v>
      </c>
      <c r="AL1155" s="232"/>
      <c r="AM1155" s="232" t="str">
        <f t="shared" si="130"/>
        <v xml:space="preserve"> </v>
      </c>
      <c r="AN1155" s="232" t="str">
        <f t="shared" si="131"/>
        <v xml:space="preserve"> </v>
      </c>
    </row>
    <row r="1156" spans="28:40" x14ac:dyDescent="0.25">
      <c r="AB1156" s="230" t="e">
        <f>T1156-HLOOKUP(V1156,Minimas!$C$3:$CD$12,2,FALSE)</f>
        <v>#N/A</v>
      </c>
      <c r="AC1156" s="230" t="e">
        <f>T1156-HLOOKUP(V1156,Minimas!$C$3:$CD$12,3,FALSE)</f>
        <v>#N/A</v>
      </c>
      <c r="AD1156" s="230" t="e">
        <f>T1156-HLOOKUP(V1156,Minimas!$C$3:$CD$12,4,FALSE)</f>
        <v>#N/A</v>
      </c>
      <c r="AE1156" s="230" t="e">
        <f>T1156-HLOOKUP(V1156,Minimas!$C$3:$CD$12,5,FALSE)</f>
        <v>#N/A</v>
      </c>
      <c r="AF1156" s="230" t="e">
        <f>T1156-HLOOKUP(V1156,Minimas!$C$3:$CD$12,6,FALSE)</f>
        <v>#N/A</v>
      </c>
      <c r="AG1156" s="230" t="e">
        <f>T1156-HLOOKUP(V1156,Minimas!$C$3:$CD$12,7,FALSE)</f>
        <v>#N/A</v>
      </c>
      <c r="AH1156" s="230" t="e">
        <f>T1156-HLOOKUP(V1156,Minimas!$C$3:$CD$12,8,FALSE)</f>
        <v>#N/A</v>
      </c>
      <c r="AI1156" s="230" t="e">
        <f>T1156-HLOOKUP(V1156,Minimas!$C$3:$CD$12,9,FALSE)</f>
        <v>#N/A</v>
      </c>
      <c r="AJ1156" s="230" t="e">
        <f>T1156-HLOOKUP(V1156,Minimas!$C$3:$CD$12,10,FALSE)</f>
        <v>#N/A</v>
      </c>
      <c r="AK1156" s="231" t="str">
        <f t="shared" ref="AK1156" si="132">IF(E1156=0," ",IF(AJ1156&gt;=0,$AJ$5,IF(AI1156&gt;=0,$AI$5,IF(AH1156&gt;=0,$AH$5,IF(AG1156&gt;=0,$AG$5,IF(AF1156&gt;=0,$AF$5,IF(AE1156&gt;=0,$AE$5,IF(AD1156&gt;=0,$AD$5,IF(AC1156&gt;=0,$AC$5,$AB$5)))))))))</f>
        <v xml:space="preserve"> </v>
      </c>
      <c r="AL1156" s="232"/>
      <c r="AM1156" s="232" t="str">
        <f t="shared" ref="AM1156" si="133">IF(AK1156="","",AK1156)</f>
        <v xml:space="preserve"> </v>
      </c>
      <c r="AN1156" s="232" t="str">
        <f t="shared" ref="AN1156" si="134">IF(E1156=0," ",IF(AJ1156&gt;=0,AJ1156,IF(AI1156&gt;=0,AI1156,IF(AH1156&gt;=0,AH1156,IF(AG1156&gt;=0,AG1156,IF(AF1156&gt;=0,AF1156,IF(AE1156&gt;=0,AE1156,IF(AD1156&gt;=0,AD1156,IF(AC1156&gt;=0,AC1156,AB1156)))))))))</f>
        <v xml:space="preserve"> </v>
      </c>
    </row>
  </sheetData>
  <sortState xmlns:xlrd2="http://schemas.microsoft.com/office/spreadsheetml/2017/richdata2" ref="A140:FX141">
    <sortCondition descending="1" ref="T140:T141"/>
  </sortState>
  <mergeCells count="6">
    <mergeCell ref="F5:G5"/>
    <mergeCell ref="D2:K2"/>
    <mergeCell ref="V2:W2"/>
    <mergeCell ref="D3:K3"/>
    <mergeCell ref="V3:W3"/>
    <mergeCell ref="N2:S3"/>
  </mergeCells>
  <phoneticPr fontId="0" type="noConversion"/>
  <conditionalFormatting sqref="L81:N88 P81:R88 L90:N90 P90:R90 L99:N100 P99:R100 L103:N103 P103:R103 L105:N107 P105:R107 L110:N110 P110:R110 P112:R124 L112:N124 L130:N134 P130:R134 L7:N79 P7:R79">
    <cfRule type="cellIs" dxfId="108" priority="188" operator="lessThan">
      <formula>0</formula>
    </cfRule>
  </conditionalFormatting>
  <conditionalFormatting sqref="P80:R80 L80:N80">
    <cfRule type="cellIs" dxfId="107" priority="137" operator="lessThan">
      <formula>0</formula>
    </cfRule>
  </conditionalFormatting>
  <conditionalFormatting sqref="P80:R80 L80:N80">
    <cfRule type="cellIs" dxfId="106" priority="135" operator="lessThan">
      <formula>0</formula>
    </cfRule>
  </conditionalFormatting>
  <conditionalFormatting sqref="P89:R89 L89:N89">
    <cfRule type="cellIs" dxfId="105" priority="126" operator="lessThan">
      <formula>0</formula>
    </cfRule>
  </conditionalFormatting>
  <conditionalFormatting sqref="L89:N89">
    <cfRule type="cellIs" dxfId="104" priority="125" operator="lessThan">
      <formula>0</formula>
    </cfRule>
  </conditionalFormatting>
  <conditionalFormatting sqref="P89">
    <cfRule type="cellIs" dxfId="103" priority="124" operator="lessThan">
      <formula>0</formula>
    </cfRule>
  </conditionalFormatting>
  <conditionalFormatting sqref="L89:N89">
    <cfRule type="cellIs" dxfId="102" priority="123" operator="lessThan">
      <formula>0</formula>
    </cfRule>
  </conditionalFormatting>
  <conditionalFormatting sqref="P89:R89">
    <cfRule type="cellIs" dxfId="101" priority="122" operator="lessThan">
      <formula>0</formula>
    </cfRule>
  </conditionalFormatting>
  <conditionalFormatting sqref="L90:N90">
    <cfRule type="cellIs" dxfId="100" priority="113" operator="lessThan">
      <formula>0</formula>
    </cfRule>
  </conditionalFormatting>
  <conditionalFormatting sqref="P90">
    <cfRule type="cellIs" dxfId="99" priority="111" operator="lessThan">
      <formula>0</formula>
    </cfRule>
  </conditionalFormatting>
  <conditionalFormatting sqref="L90:N90">
    <cfRule type="cellIs" dxfId="98" priority="109" operator="lessThan">
      <formula>0</formula>
    </cfRule>
  </conditionalFormatting>
  <conditionalFormatting sqref="P90:R90">
    <cfRule type="cellIs" dxfId="97" priority="107" operator="lessThan">
      <formula>0</formula>
    </cfRule>
  </conditionalFormatting>
  <conditionalFormatting sqref="L91:N92 P91:R92">
    <cfRule type="cellIs" dxfId="96" priority="106" operator="lessThan">
      <formula>0</formula>
    </cfRule>
  </conditionalFormatting>
  <conditionalFormatting sqref="L91:N91">
    <cfRule type="cellIs" dxfId="95" priority="105" operator="lessThan">
      <formula>0</formula>
    </cfRule>
  </conditionalFormatting>
  <conditionalFormatting sqref="P93:R93 L93:N93">
    <cfRule type="cellIs" dxfId="94" priority="104" operator="lessThan">
      <formula>0</formula>
    </cfRule>
  </conditionalFormatting>
  <conditionalFormatting sqref="L93:N93">
    <cfRule type="cellIs" dxfId="93" priority="103" operator="lessThan">
      <formula>0</formula>
    </cfRule>
  </conditionalFormatting>
  <conditionalFormatting sqref="P93:R93">
    <cfRule type="cellIs" dxfId="92" priority="102" operator="lessThan">
      <formula>0</formula>
    </cfRule>
  </conditionalFormatting>
  <conditionalFormatting sqref="L94:N95 P94:R95">
    <cfRule type="cellIs" dxfId="91" priority="101" operator="lessThan">
      <formula>0</formula>
    </cfRule>
  </conditionalFormatting>
  <conditionalFormatting sqref="P96:R97 L96:N97">
    <cfRule type="cellIs" dxfId="90" priority="100" operator="lessThan">
      <formula>0</formula>
    </cfRule>
  </conditionalFormatting>
  <conditionalFormatting sqref="L98:N98 P98:R98">
    <cfRule type="cellIs" dxfId="89" priority="99" operator="lessThan">
      <formula>0</formula>
    </cfRule>
  </conditionalFormatting>
  <conditionalFormatting sqref="P101:R102 L101:N102">
    <cfRule type="cellIs" dxfId="88" priority="96" operator="lessThan">
      <formula>0</formula>
    </cfRule>
  </conditionalFormatting>
  <conditionalFormatting sqref="L104:N104 P104:R104">
    <cfRule type="cellIs" dxfId="87" priority="94" operator="lessThan">
      <formula>0</formula>
    </cfRule>
  </conditionalFormatting>
  <conditionalFormatting sqref="P108:R109 L108:N109">
    <cfRule type="cellIs" dxfId="86" priority="89" operator="lessThan">
      <formula>0</formula>
    </cfRule>
  </conditionalFormatting>
  <conditionalFormatting sqref="L111:N111 P111:R111">
    <cfRule type="cellIs" dxfId="85" priority="67" operator="lessThan">
      <formula>0</formula>
    </cfRule>
  </conditionalFormatting>
  <conditionalFormatting sqref="L126:N126 P126:R126">
    <cfRule type="cellIs" dxfId="84" priority="61" operator="lessThan">
      <formula>0</formula>
    </cfRule>
  </conditionalFormatting>
  <conditionalFormatting sqref="P125:R125 L125:N125">
    <cfRule type="cellIs" dxfId="83" priority="59" operator="lessThan">
      <formula>0</formula>
    </cfRule>
  </conditionalFormatting>
  <conditionalFormatting sqref="L127:N127 P127:R127">
    <cfRule type="cellIs" dxfId="82" priority="53" operator="lessThan">
      <formula>0</formula>
    </cfRule>
  </conditionalFormatting>
  <conditionalFormatting sqref="L128:N128 P128:R128">
    <cfRule type="cellIs" dxfId="81" priority="51" operator="lessThan">
      <formula>0</formula>
    </cfRule>
  </conditionalFormatting>
  <conditionalFormatting sqref="L129:N129 P129:R129">
    <cfRule type="cellIs" dxfId="80" priority="46" operator="lessThan">
      <formula>0</formula>
    </cfRule>
  </conditionalFormatting>
  <conditionalFormatting sqref="L135:N135 P135:R135">
    <cfRule type="cellIs" dxfId="79" priority="40" operator="lessThan">
      <formula>0</formula>
    </cfRule>
  </conditionalFormatting>
  <conditionalFormatting sqref="L136:N136 P136:R136">
    <cfRule type="cellIs" dxfId="78" priority="38" operator="lessThan">
      <formula>0</formula>
    </cfRule>
  </conditionalFormatting>
  <conditionalFormatting sqref="L137:N137 P137:R137">
    <cfRule type="cellIs" dxfId="77" priority="37" operator="lessThan">
      <formula>0</formula>
    </cfRule>
  </conditionalFormatting>
  <conditionalFormatting sqref="L138:N138 P138:R138">
    <cfRule type="cellIs" dxfId="76" priority="33" operator="lessThan">
      <formula>0</formula>
    </cfRule>
  </conditionalFormatting>
  <conditionalFormatting sqref="L139:N139 P139:R139">
    <cfRule type="cellIs" dxfId="75" priority="31" operator="lessThan">
      <formula>0</formula>
    </cfRule>
  </conditionalFormatting>
  <conditionalFormatting sqref="L140:N140 P140:R140">
    <cfRule type="cellIs" dxfId="74" priority="30" operator="lessThan">
      <formula>0</formula>
    </cfRule>
  </conditionalFormatting>
  <conditionalFormatting sqref="L141:N141 P141:R141">
    <cfRule type="cellIs" dxfId="73" priority="29" operator="lessThan">
      <formula>0</formula>
    </cfRule>
  </conditionalFormatting>
  <conditionalFormatting sqref="L142:N142 P142:R142">
    <cfRule type="cellIs" dxfId="72" priority="21" operator="lessThan">
      <formula>0</formula>
    </cfRule>
  </conditionalFormatting>
  <conditionalFormatting sqref="L143:N143 P143:R143">
    <cfRule type="cellIs" dxfId="71" priority="20" operator="lessThan">
      <formula>0</formula>
    </cfRule>
  </conditionalFormatting>
  <conditionalFormatting sqref="L144:N144 P144:R144">
    <cfRule type="cellIs" dxfId="70" priority="19" operator="lessThan">
      <formula>0</formula>
    </cfRule>
  </conditionalFormatting>
  <conditionalFormatting sqref="L145:N145 P145:R145">
    <cfRule type="cellIs" dxfId="69" priority="18" operator="lessThan">
      <formula>0</formula>
    </cfRule>
  </conditionalFormatting>
  <conditionalFormatting sqref="L146:N146 P146:R146">
    <cfRule type="cellIs" dxfId="68" priority="17" operator="lessThan">
      <formula>0</formula>
    </cfRule>
  </conditionalFormatting>
  <conditionalFormatting sqref="L147:N147 P147:R147">
    <cfRule type="cellIs" dxfId="67" priority="16" operator="lessThan">
      <formula>0</formula>
    </cfRule>
  </conditionalFormatting>
  <conditionalFormatting sqref="L148:N148 P148:R148">
    <cfRule type="cellIs" dxfId="66" priority="15" operator="lessThan">
      <formula>0</formula>
    </cfRule>
  </conditionalFormatting>
  <conditionalFormatting sqref="L149:N149 P149:R149">
    <cfRule type="cellIs" dxfId="65" priority="14" operator="lessThan">
      <formula>0</formula>
    </cfRule>
  </conditionalFormatting>
  <conditionalFormatting sqref="L150:N150 P150:R150">
    <cfRule type="cellIs" dxfId="64" priority="13" operator="lessThan">
      <formula>0</formula>
    </cfRule>
  </conditionalFormatting>
  <conditionalFormatting sqref="L151:N151 P151:R151">
    <cfRule type="cellIs" dxfId="63" priority="12" operator="lessThan">
      <formula>0</formula>
    </cfRule>
  </conditionalFormatting>
  <conditionalFormatting sqref="L152:N152 P152:R152">
    <cfRule type="cellIs" dxfId="62" priority="11" operator="lessThan">
      <formula>0</formula>
    </cfRule>
  </conditionalFormatting>
  <conditionalFormatting sqref="L153:N153 P153:R153">
    <cfRule type="cellIs" dxfId="61" priority="10" operator="lessThan">
      <formula>0</formula>
    </cfRule>
  </conditionalFormatting>
  <conditionalFormatting sqref="L154:N154 P154:R154">
    <cfRule type="cellIs" dxfId="60" priority="9" operator="lessThan">
      <formula>0</formula>
    </cfRule>
  </conditionalFormatting>
  <conditionalFormatting sqref="L155:N155 P155:R155">
    <cfRule type="cellIs" dxfId="59" priority="8" operator="lessThan">
      <formula>0</formula>
    </cfRule>
  </conditionalFormatting>
  <conditionalFormatting sqref="L156:N156 P156:R156">
    <cfRule type="cellIs" dxfId="58" priority="7" operator="lessThan">
      <formula>0</formula>
    </cfRule>
  </conditionalFormatting>
  <printOptions horizontalCentered="1"/>
  <pageMargins left="0.39370078740157483" right="0.39370078740157483" top="0.59055118110236227" bottom="0.39370078740157483" header="0.39370078740157483" footer="0.39370078740157483"/>
  <pageSetup paperSize="9" scale="58" orientation="landscape" horizontalDpi="180" verticalDpi="1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  <pageSetUpPr fitToPage="1"/>
  </sheetPr>
  <dimension ref="A1:DU703"/>
  <sheetViews>
    <sheetView tabSelected="1" topLeftCell="J1" zoomScale="55" zoomScaleNormal="55" workbookViewId="0">
      <pane ySplit="4" topLeftCell="A296" activePane="bottomLeft" state="frozen"/>
      <selection pane="bottomLeft" activeCell="U150" sqref="U150"/>
    </sheetView>
  </sheetViews>
  <sheetFormatPr baseColWidth="10" defaultColWidth="11.453125" defaultRowHeight="13" x14ac:dyDescent="0.25"/>
  <cols>
    <col min="1" max="1" width="1.7265625" style="1" customWidth="1"/>
    <col min="2" max="2" width="8.26953125" style="92" bestFit="1" customWidth="1"/>
    <col min="3" max="3" width="11.54296875" style="1" bestFit="1" customWidth="1"/>
    <col min="4" max="5" width="6.7265625" style="1" customWidth="1"/>
    <col min="6" max="6" width="27.26953125" style="1" customWidth="1"/>
    <col min="7" max="7" width="20.7265625" style="1" customWidth="1"/>
    <col min="8" max="8" width="9" style="1" bestFit="1" customWidth="1"/>
    <col min="9" max="9" width="36.1796875" style="3" customWidth="1"/>
    <col min="10" max="10" width="9.54296875" style="2" bestFit="1" customWidth="1"/>
    <col min="11" max="11" width="11.26953125" style="1" bestFit="1" customWidth="1"/>
    <col min="12" max="14" width="9.26953125" style="1" customWidth="1"/>
    <col min="15" max="15" width="9.26953125" style="3" customWidth="1"/>
    <col min="16" max="18" width="9.26953125" style="1" customWidth="1"/>
    <col min="19" max="20" width="9.26953125" style="3" customWidth="1"/>
    <col min="21" max="21" width="11.7265625" style="4" customWidth="1"/>
    <col min="22" max="22" width="12" style="1" bestFit="1" customWidth="1"/>
    <col min="23" max="23" width="13" style="1" customWidth="1"/>
    <col min="24" max="24" width="11" style="253" customWidth="1"/>
    <col min="25" max="25" width="57.453125" style="3" bestFit="1" customWidth="1"/>
    <col min="26" max="26" width="20.54296875" style="3" customWidth="1"/>
    <col min="27" max="27" width="6.54296875" style="34" customWidth="1"/>
    <col min="28" max="36" width="13.453125" style="34" bestFit="1" customWidth="1"/>
    <col min="37" max="37" width="9.1796875" style="34" bestFit="1" customWidth="1"/>
    <col min="38" max="38" width="10.81640625" style="34" customWidth="1"/>
    <col min="39" max="39" width="9.1796875" style="34" bestFit="1" customWidth="1"/>
    <col min="40" max="40" width="8.54296875" style="34" bestFit="1" customWidth="1"/>
    <col min="41" max="41" width="23.81640625" style="34" customWidth="1"/>
    <col min="42" max="42" width="11.453125" style="34" customWidth="1"/>
    <col min="43" max="124" width="11.453125" style="34"/>
    <col min="125" max="16384" width="11.453125" style="1"/>
  </cols>
  <sheetData>
    <row r="1" spans="1:125" ht="5.15" customHeight="1" thickBot="1" x14ac:dyDescent="0.3"/>
    <row r="2" spans="1:125" s="9" customFormat="1" ht="30" customHeight="1" x14ac:dyDescent="0.25">
      <c r="B2" s="93"/>
      <c r="C2" s="39"/>
      <c r="D2" s="899" t="s">
        <v>499</v>
      </c>
      <c r="E2" s="900"/>
      <c r="F2" s="900"/>
      <c r="G2" s="900"/>
      <c r="H2" s="900"/>
      <c r="I2" s="900"/>
      <c r="J2" s="900"/>
      <c r="K2" s="900"/>
      <c r="L2" s="40"/>
      <c r="M2" s="41"/>
      <c r="N2" s="908" t="s">
        <v>126</v>
      </c>
      <c r="O2" s="908"/>
      <c r="P2" s="908"/>
      <c r="Q2" s="908"/>
      <c r="R2" s="908"/>
      <c r="S2" s="908"/>
      <c r="T2" s="41"/>
      <c r="U2" s="41"/>
      <c r="V2" s="900" t="s">
        <v>14</v>
      </c>
      <c r="W2" s="901"/>
      <c r="X2" s="254"/>
      <c r="Y2" s="258"/>
      <c r="Z2" s="258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  <c r="DN2" s="35"/>
      <c r="DO2" s="35"/>
      <c r="DP2" s="35"/>
      <c r="DQ2" s="35"/>
      <c r="DR2" s="35"/>
      <c r="DS2" s="35"/>
      <c r="DT2" s="35"/>
    </row>
    <row r="3" spans="1:125" s="9" customFormat="1" ht="30" customHeight="1" thickBot="1" x14ac:dyDescent="0.3">
      <c r="B3" s="93"/>
      <c r="C3" s="39"/>
      <c r="D3" s="910" t="s">
        <v>530</v>
      </c>
      <c r="E3" s="911"/>
      <c r="F3" s="911"/>
      <c r="G3" s="911"/>
      <c r="H3" s="911"/>
      <c r="I3" s="911"/>
      <c r="J3" s="911"/>
      <c r="K3" s="911"/>
      <c r="L3" s="42"/>
      <c r="M3" s="42"/>
      <c r="N3" s="909"/>
      <c r="O3" s="909"/>
      <c r="P3" s="909"/>
      <c r="Q3" s="909"/>
      <c r="R3" s="909"/>
      <c r="S3" s="909"/>
      <c r="T3" s="42"/>
      <c r="U3" s="42"/>
      <c r="V3" s="912">
        <v>43647</v>
      </c>
      <c r="W3" s="913"/>
      <c r="X3" s="254"/>
      <c r="Y3" s="258"/>
      <c r="Z3" s="258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</row>
    <row r="4" spans="1:125" s="8" customFormat="1" ht="10" customHeight="1" thickBot="1" x14ac:dyDescent="0.3">
      <c r="A4" s="7"/>
      <c r="B4" s="94"/>
      <c r="C4" s="13"/>
      <c r="D4" s="14"/>
      <c r="E4" s="14"/>
      <c r="F4" s="15"/>
      <c r="G4" s="16"/>
      <c r="H4" s="17"/>
      <c r="I4" s="18"/>
      <c r="J4" s="19"/>
      <c r="K4" s="20"/>
      <c r="L4" s="21"/>
      <c r="M4" s="21"/>
      <c r="N4" s="21"/>
      <c r="O4" s="22"/>
      <c r="P4" s="21"/>
      <c r="Q4" s="21"/>
      <c r="R4" s="21"/>
      <c r="S4" s="22"/>
      <c r="T4" s="22"/>
      <c r="U4" s="23"/>
      <c r="V4" s="15"/>
      <c r="W4" s="15"/>
      <c r="X4" s="255"/>
      <c r="Y4" s="259"/>
      <c r="Z4" s="259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</row>
    <row r="5" spans="1:125" s="12" customFormat="1" ht="21" customHeight="1" thickBot="1" x14ac:dyDescent="0.3">
      <c r="A5" s="11"/>
      <c r="B5" s="95" t="s">
        <v>8</v>
      </c>
      <c r="C5" s="91" t="s">
        <v>9</v>
      </c>
      <c r="D5" s="91" t="s">
        <v>6</v>
      </c>
      <c r="E5" s="91" t="s">
        <v>39</v>
      </c>
      <c r="F5" s="898" t="s">
        <v>0</v>
      </c>
      <c r="G5" s="898"/>
      <c r="H5" s="91" t="s">
        <v>11</v>
      </c>
      <c r="I5" s="216" t="s">
        <v>10</v>
      </c>
      <c r="J5" s="44" t="s">
        <v>5</v>
      </c>
      <c r="K5" s="45" t="s">
        <v>1</v>
      </c>
      <c r="L5" s="46">
        <v>1</v>
      </c>
      <c r="M5" s="47">
        <v>2</v>
      </c>
      <c r="N5" s="47">
        <v>3</v>
      </c>
      <c r="O5" s="50" t="s">
        <v>12</v>
      </c>
      <c r="P5" s="46">
        <v>1</v>
      </c>
      <c r="Q5" s="47">
        <v>2</v>
      </c>
      <c r="R5" s="47">
        <v>3</v>
      </c>
      <c r="S5" s="50" t="s">
        <v>13</v>
      </c>
      <c r="T5" s="55" t="s">
        <v>2</v>
      </c>
      <c r="U5" s="56" t="s">
        <v>3</v>
      </c>
      <c r="V5" s="56" t="s">
        <v>7</v>
      </c>
      <c r="W5" s="57" t="s">
        <v>4</v>
      </c>
      <c r="X5" s="262" t="s">
        <v>14</v>
      </c>
      <c r="Y5" s="189" t="s">
        <v>501</v>
      </c>
      <c r="Z5" s="187" t="s">
        <v>502</v>
      </c>
      <c r="AA5" s="235"/>
      <c r="AB5" s="233" t="s">
        <v>43</v>
      </c>
      <c r="AC5" s="233" t="s">
        <v>42</v>
      </c>
      <c r="AD5" s="233" t="s">
        <v>32</v>
      </c>
      <c r="AE5" s="233" t="s">
        <v>33</v>
      </c>
      <c r="AF5" s="233" t="s">
        <v>34</v>
      </c>
      <c r="AG5" s="233" t="s">
        <v>35</v>
      </c>
      <c r="AH5" s="233" t="s">
        <v>36</v>
      </c>
      <c r="AI5" s="233" t="s">
        <v>37</v>
      </c>
      <c r="AJ5" s="233" t="s">
        <v>38</v>
      </c>
      <c r="AK5" s="234"/>
      <c r="AL5" s="235"/>
      <c r="AM5" s="235"/>
      <c r="AN5" s="235"/>
      <c r="AO5" s="235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</row>
    <row r="6" spans="1:125" s="8" customFormat="1" ht="11.5" customHeight="1" thickBot="1" x14ac:dyDescent="0.3">
      <c r="A6" s="7"/>
      <c r="B6" s="96"/>
      <c r="C6" s="61"/>
      <c r="D6" s="62"/>
      <c r="E6" s="62"/>
      <c r="F6" s="63"/>
      <c r="G6" s="64"/>
      <c r="H6" s="65"/>
      <c r="I6" s="66"/>
      <c r="J6" s="67"/>
      <c r="K6" s="68"/>
      <c r="L6" s="69"/>
      <c r="M6" s="69"/>
      <c r="N6" s="69"/>
      <c r="O6" s="70"/>
      <c r="P6" s="69"/>
      <c r="Q6" s="69"/>
      <c r="R6" s="69"/>
      <c r="S6" s="70"/>
      <c r="T6" s="70"/>
      <c r="U6" s="71"/>
      <c r="V6" s="71"/>
      <c r="W6" s="71"/>
      <c r="X6" s="263"/>
      <c r="Y6" s="264"/>
      <c r="Z6" s="264"/>
      <c r="AA6" s="236"/>
      <c r="AB6" s="233" t="s">
        <v>30</v>
      </c>
      <c r="AC6" s="233" t="s">
        <v>31</v>
      </c>
      <c r="AD6" s="233" t="s">
        <v>32</v>
      </c>
      <c r="AE6" s="233" t="s">
        <v>33</v>
      </c>
      <c r="AF6" s="233" t="s">
        <v>34</v>
      </c>
      <c r="AG6" s="233" t="s">
        <v>35</v>
      </c>
      <c r="AH6" s="233" t="s">
        <v>36</v>
      </c>
      <c r="AI6" s="233" t="s">
        <v>37</v>
      </c>
      <c r="AJ6" s="233" t="s">
        <v>38</v>
      </c>
      <c r="AK6" s="233"/>
      <c r="AL6" s="236"/>
      <c r="AM6" s="236"/>
      <c r="AN6" s="236"/>
      <c r="AO6" s="2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</row>
    <row r="7" spans="1:125" s="5" customFormat="1" ht="30" customHeight="1" x14ac:dyDescent="0.25">
      <c r="A7" s="484"/>
      <c r="B7" s="251" t="s">
        <v>543</v>
      </c>
      <c r="C7" s="166">
        <v>439528</v>
      </c>
      <c r="D7" s="171"/>
      <c r="E7" s="476" t="s">
        <v>40</v>
      </c>
      <c r="F7" s="143" t="s">
        <v>699</v>
      </c>
      <c r="G7" s="144" t="s">
        <v>293</v>
      </c>
      <c r="H7" s="145">
        <v>2008</v>
      </c>
      <c r="I7" s="759" t="s">
        <v>173</v>
      </c>
      <c r="J7" s="155" t="s">
        <v>44</v>
      </c>
      <c r="K7" s="200">
        <v>26.5</v>
      </c>
      <c r="L7" s="118">
        <v>14</v>
      </c>
      <c r="M7" s="118">
        <v>15</v>
      </c>
      <c r="N7" s="240">
        <v>-17</v>
      </c>
      <c r="O7" s="501">
        <f t="shared" ref="O7:O18" si="0">IF(AA7&lt;=0,0,AA7)</f>
        <v>29</v>
      </c>
      <c r="P7" s="118">
        <v>14</v>
      </c>
      <c r="Q7" s="118">
        <v>15</v>
      </c>
      <c r="R7" s="118">
        <v>17</v>
      </c>
      <c r="S7" s="501">
        <f t="shared" ref="S7:S18" si="1">IF(AB7&lt;=0,0,AB7)</f>
        <v>32</v>
      </c>
      <c r="T7" s="502">
        <f t="shared" ref="T7:T21" si="2">IF(E7="","",IF(OR(O7=0,S7=0),0,O7+S7))</f>
        <v>61</v>
      </c>
      <c r="U7" s="340" t="s">
        <v>698</v>
      </c>
      <c r="V7" s="48" t="str">
        <f>IF(H7=0," ",IF(E7="H",IF(AND(H7&gt;2005,H7&lt;2009),VLOOKUP(K7,[1]Minimas!$A$15:$C$29,3),IF(AND(H7&gt;2008,H7&lt;2011),VLOOKUP(K7,[1]Minimas!$A$15:$C$29,2),"ERREUR")),IF(AND(H7&gt;2005,H7&lt;2009),VLOOKUP(K7,[1]Minimas!$H$15:J$29,3),IF(AND(H7&gt;2008,H7&lt;2011),VLOOKUP(K7,[1]Minimas!$H$15:$J$29,2),"ERREUR"))))</f>
        <v>U13 M35</v>
      </c>
      <c r="W7" s="60">
        <f>IF(E7=" "," ",IF(E7="H",10^(0.75194503*LOG(K7/175.508)^2)*T7,IF(E7="F",10^(0.783497476* LOG(K7/153.655)^2)*T7,"")))</f>
        <v>195.99032803204977</v>
      </c>
      <c r="X7" s="257">
        <v>43492</v>
      </c>
      <c r="Y7" s="261" t="s">
        <v>525</v>
      </c>
      <c r="Z7" s="261"/>
      <c r="AA7" s="897">
        <f t="shared" ref="AA7:AA18" si="3">IF(L7=0," ",MAXA(L7+M7,M7+N7,L7+N7))</f>
        <v>29</v>
      </c>
      <c r="AB7" s="462">
        <f t="shared" ref="AB7:AB18" si="4">IF(P7=0," ",MAXA(P7+Q7,Q7+R7,P7+R7))</f>
        <v>32</v>
      </c>
      <c r="AC7" s="232"/>
      <c r="AD7" s="232"/>
      <c r="AE7" s="232"/>
      <c r="AF7" s="232"/>
      <c r="AG7" s="232"/>
      <c r="AH7" s="232"/>
      <c r="AI7" s="232"/>
      <c r="AJ7" s="232"/>
      <c r="AK7" s="232"/>
      <c r="AL7" s="232"/>
      <c r="AM7" s="232"/>
      <c r="AN7" s="232"/>
      <c r="AO7" s="232"/>
      <c r="AP7" s="232"/>
      <c r="AQ7" s="485"/>
      <c r="AR7" s="485"/>
      <c r="AS7" s="485"/>
      <c r="AT7" s="485"/>
      <c r="AU7" s="485"/>
      <c r="AV7" s="485"/>
      <c r="AW7" s="485"/>
      <c r="AX7" s="485"/>
      <c r="AY7" s="485"/>
      <c r="AZ7" s="485"/>
      <c r="BA7" s="485"/>
      <c r="BB7" s="485"/>
      <c r="BC7" s="485"/>
      <c r="BD7" s="485"/>
      <c r="BE7" s="485"/>
      <c r="BF7" s="485"/>
      <c r="BG7" s="485"/>
      <c r="BH7" s="485"/>
      <c r="BI7" s="485"/>
      <c r="BJ7" s="485"/>
      <c r="BK7" s="485"/>
      <c r="BL7" s="485"/>
      <c r="BM7" s="485"/>
      <c r="BN7" s="485"/>
      <c r="BO7" s="485"/>
      <c r="BP7" s="485"/>
      <c r="BQ7" s="485"/>
      <c r="BR7" s="485"/>
      <c r="BS7" s="485"/>
      <c r="BT7" s="485"/>
      <c r="BU7" s="485"/>
      <c r="BV7" s="485"/>
      <c r="BW7" s="485"/>
      <c r="BX7" s="485"/>
      <c r="BY7" s="485"/>
      <c r="BZ7" s="485"/>
      <c r="CA7" s="485"/>
      <c r="CB7" s="485"/>
      <c r="CC7" s="485"/>
      <c r="CD7" s="485"/>
      <c r="CE7" s="485"/>
      <c r="CF7" s="485"/>
      <c r="CG7" s="485"/>
      <c r="CH7" s="485"/>
      <c r="CI7" s="485"/>
      <c r="CJ7" s="485"/>
      <c r="CK7" s="485"/>
      <c r="CL7" s="485"/>
      <c r="CM7" s="485"/>
      <c r="CN7" s="485"/>
      <c r="CO7" s="485"/>
      <c r="CP7" s="485"/>
      <c r="CQ7" s="485"/>
      <c r="CR7" s="485"/>
      <c r="CS7" s="485"/>
      <c r="CT7" s="485"/>
      <c r="CU7" s="485"/>
      <c r="CV7" s="485"/>
      <c r="CW7" s="485"/>
      <c r="CX7" s="485"/>
      <c r="CY7" s="485"/>
      <c r="CZ7" s="485"/>
      <c r="DA7" s="485"/>
      <c r="DB7" s="485"/>
      <c r="DC7" s="485"/>
      <c r="DD7" s="485"/>
      <c r="DE7" s="484"/>
      <c r="DF7" s="484"/>
      <c r="DG7" s="484"/>
      <c r="DH7" s="484"/>
      <c r="DI7" s="484"/>
      <c r="DJ7" s="484"/>
      <c r="DK7" s="484"/>
      <c r="DL7" s="484"/>
      <c r="DM7" s="484"/>
      <c r="DN7" s="484"/>
      <c r="DO7" s="484"/>
      <c r="DP7" s="484"/>
      <c r="DQ7" s="484"/>
      <c r="DR7" s="484"/>
      <c r="DS7" s="484"/>
      <c r="DT7" s="484"/>
      <c r="DU7" s="484"/>
    </row>
    <row r="8" spans="1:125" s="5" customFormat="1" ht="30" customHeight="1" x14ac:dyDescent="0.25">
      <c r="A8" s="376"/>
      <c r="B8" s="633" t="s">
        <v>543</v>
      </c>
      <c r="C8" s="633">
        <v>450093</v>
      </c>
      <c r="D8" s="706"/>
      <c r="E8" s="175" t="s">
        <v>40</v>
      </c>
      <c r="F8" s="266" t="s">
        <v>824</v>
      </c>
      <c r="G8" s="125" t="s">
        <v>825</v>
      </c>
      <c r="H8" s="267">
        <v>2010</v>
      </c>
      <c r="I8" s="127" t="s">
        <v>214</v>
      </c>
      <c r="J8" s="120" t="s">
        <v>44</v>
      </c>
      <c r="K8" s="768">
        <v>29.6</v>
      </c>
      <c r="L8" s="780">
        <v>6</v>
      </c>
      <c r="M8" s="780">
        <v>8</v>
      </c>
      <c r="N8" s="780">
        <v>10</v>
      </c>
      <c r="O8" s="501">
        <f t="shared" si="0"/>
        <v>18</v>
      </c>
      <c r="P8" s="780">
        <v>10</v>
      </c>
      <c r="Q8" s="780">
        <v>12</v>
      </c>
      <c r="R8" s="780">
        <v>13</v>
      </c>
      <c r="S8" s="501">
        <f t="shared" si="1"/>
        <v>25</v>
      </c>
      <c r="T8" s="502">
        <f t="shared" si="2"/>
        <v>43</v>
      </c>
      <c r="U8" s="365" t="s">
        <v>698</v>
      </c>
      <c r="V8" s="48" t="str">
        <f>IF(H8=0," ",IF(E8="H",IF(AND(H8&gt;2005,H8&lt;2009),VLOOKUP(K8,[1]Minimas!$A$15:$C$29,3),IF(AND(H8&gt;2008,H8&lt;2011),VLOOKUP(K8,[1]Minimas!$A$15:$C$29,2),"ERREUR")),IF(AND(H8&gt;2005,H8&lt;2009),VLOOKUP(K8,[1]Minimas!$H$15:J$29,3),IF(AND(H8&gt;2008,H8&lt;2011),VLOOKUP(K8,[1]Minimas!$H$15:$J$29,2),"ERREUR"))))</f>
        <v>BENJ</v>
      </c>
      <c r="W8" s="378">
        <v>64.720646987681903</v>
      </c>
      <c r="X8" s="257">
        <v>43554</v>
      </c>
      <c r="Y8" s="261" t="s">
        <v>805</v>
      </c>
      <c r="Z8" s="261" t="s">
        <v>829</v>
      </c>
      <c r="AA8" s="897">
        <f t="shared" si="3"/>
        <v>18</v>
      </c>
      <c r="AB8" s="462">
        <f t="shared" si="4"/>
        <v>25</v>
      </c>
      <c r="AC8" s="232"/>
      <c r="AD8" s="232"/>
      <c r="AE8" s="232"/>
      <c r="AF8" s="232"/>
      <c r="AG8" s="232"/>
      <c r="AH8" s="232"/>
      <c r="AI8" s="232"/>
      <c r="AJ8" s="232"/>
      <c r="AK8" s="232"/>
      <c r="AL8" s="232"/>
      <c r="AM8" s="232"/>
      <c r="AN8" s="232"/>
      <c r="AO8" s="232"/>
      <c r="AP8" s="485"/>
      <c r="AQ8" s="377"/>
      <c r="AR8" s="377"/>
      <c r="AS8" s="377"/>
      <c r="AT8" s="377"/>
      <c r="AU8" s="377"/>
      <c r="AV8" s="377"/>
      <c r="AW8" s="377"/>
      <c r="AX8" s="377"/>
      <c r="AY8" s="377"/>
      <c r="AZ8" s="377"/>
      <c r="BA8" s="377"/>
      <c r="BB8" s="377"/>
      <c r="BC8" s="377"/>
      <c r="BD8" s="377"/>
      <c r="BE8" s="377"/>
      <c r="BF8" s="377"/>
      <c r="BG8" s="377"/>
      <c r="BH8" s="377"/>
      <c r="BI8" s="377"/>
      <c r="BJ8" s="377"/>
      <c r="BK8" s="377"/>
      <c r="BL8" s="377"/>
      <c r="BM8" s="377"/>
      <c r="BN8" s="377"/>
      <c r="BO8" s="377"/>
      <c r="BP8" s="377"/>
      <c r="BQ8" s="377"/>
      <c r="BR8" s="377"/>
      <c r="BS8" s="377"/>
      <c r="BT8" s="377"/>
      <c r="BU8" s="377"/>
      <c r="BV8" s="377"/>
      <c r="BW8" s="377"/>
      <c r="BX8" s="377"/>
      <c r="BY8" s="377"/>
      <c r="BZ8" s="377"/>
      <c r="CA8" s="377"/>
      <c r="CB8" s="377"/>
      <c r="CC8" s="377"/>
      <c r="CD8" s="377"/>
      <c r="CE8" s="377"/>
      <c r="CF8" s="377"/>
      <c r="CG8" s="377"/>
      <c r="CH8" s="377"/>
      <c r="CI8" s="377"/>
      <c r="CJ8" s="377"/>
      <c r="CK8" s="377"/>
      <c r="CL8" s="377"/>
      <c r="CM8" s="377"/>
      <c r="CN8" s="377"/>
      <c r="CO8" s="377"/>
      <c r="CP8" s="377"/>
      <c r="CQ8" s="377"/>
      <c r="CR8" s="377"/>
      <c r="CS8" s="377"/>
      <c r="CT8" s="377"/>
      <c r="CU8" s="377"/>
      <c r="CV8" s="377"/>
      <c r="CW8" s="377"/>
      <c r="CX8" s="377"/>
      <c r="CY8" s="377"/>
      <c r="CZ8" s="377"/>
      <c r="DA8" s="377"/>
      <c r="DB8" s="377"/>
      <c r="DC8" s="377"/>
      <c r="DD8" s="377"/>
      <c r="DE8" s="377"/>
      <c r="DF8" s="377"/>
      <c r="DG8" s="377"/>
      <c r="DH8" s="377"/>
      <c r="DI8" s="377"/>
      <c r="DJ8" s="377"/>
      <c r="DK8" s="377"/>
      <c r="DL8" s="377"/>
      <c r="DM8" s="377"/>
      <c r="DN8" s="377"/>
      <c r="DO8" s="377"/>
      <c r="DP8" s="377"/>
      <c r="DQ8" s="377"/>
      <c r="DR8" s="377"/>
      <c r="DS8" s="377"/>
      <c r="DT8" s="377"/>
    </row>
    <row r="9" spans="1:125" s="5" customFormat="1" ht="30" customHeight="1" x14ac:dyDescent="0.25">
      <c r="B9" s="685" t="s">
        <v>543</v>
      </c>
      <c r="C9" s="703">
        <v>450322</v>
      </c>
      <c r="D9" s="716"/>
      <c r="E9" s="476" t="s">
        <v>40</v>
      </c>
      <c r="F9" s="217" t="s">
        <v>812</v>
      </c>
      <c r="G9" s="144" t="s">
        <v>813</v>
      </c>
      <c r="H9" s="218">
        <v>2008</v>
      </c>
      <c r="I9" s="169" t="s">
        <v>155</v>
      </c>
      <c r="J9" s="168" t="s">
        <v>44</v>
      </c>
      <c r="K9" s="200">
        <v>30</v>
      </c>
      <c r="L9" s="118">
        <v>15</v>
      </c>
      <c r="M9" s="118">
        <v>17</v>
      </c>
      <c r="N9" s="118">
        <v>19</v>
      </c>
      <c r="O9" s="501">
        <f t="shared" si="0"/>
        <v>36</v>
      </c>
      <c r="P9" s="118">
        <v>22</v>
      </c>
      <c r="Q9" s="118">
        <v>24</v>
      </c>
      <c r="R9" s="148">
        <v>-35</v>
      </c>
      <c r="S9" s="501">
        <f t="shared" si="1"/>
        <v>46</v>
      </c>
      <c r="T9" s="489">
        <f t="shared" si="2"/>
        <v>82</v>
      </c>
      <c r="U9" s="365" t="s">
        <v>698</v>
      </c>
      <c r="V9" s="48" t="str">
        <f>IF(H9=0," ",IF(E9="H",IF(AND(H9&gt;2005,H9&lt;2009),VLOOKUP(K9,[1]Minimas!$A$15:$C$29,3),IF(AND(H9&gt;2008,H9&lt;2011),VLOOKUP(K9,[1]Minimas!$A$15:$C$29,2),"ERREUR")),IF(AND(H9&gt;2005,H9&lt;2009),VLOOKUP(K9,[1]Minimas!$H$15:J$29,3),IF(AND(H9&gt;2008,H9&lt;2011),VLOOKUP(K9,[1]Minimas!$H$15:$J$29,2),"ERREUR"))))</f>
        <v>U13 M35</v>
      </c>
      <c r="W9" s="49">
        <f t="shared" ref="W9:W16" si="5">IF(E9=" "," ",IF(E9="H",10^(0.75194503*LOG(K9/175.508)^2)*T9,IF(E9="F",10^(0.783497476* LOG(K9/153.655)^2)*T9,"")))</f>
        <v>227.18386784044728</v>
      </c>
      <c r="X9" s="257">
        <v>43555</v>
      </c>
      <c r="Y9" s="261" t="s">
        <v>805</v>
      </c>
      <c r="Z9" s="261" t="s">
        <v>806</v>
      </c>
      <c r="AA9" s="897">
        <f t="shared" si="3"/>
        <v>36</v>
      </c>
      <c r="AB9" s="462">
        <f t="shared" si="4"/>
        <v>46</v>
      </c>
      <c r="AC9" s="232"/>
      <c r="AD9" s="232"/>
      <c r="AE9" s="232"/>
      <c r="AF9" s="232"/>
      <c r="AG9" s="232"/>
      <c r="AH9" s="232"/>
      <c r="AI9" s="232"/>
      <c r="AJ9" s="232"/>
      <c r="AK9" s="232"/>
      <c r="AL9" s="232"/>
      <c r="AM9" s="232"/>
      <c r="AN9" s="232"/>
      <c r="AO9" s="232"/>
      <c r="AP9" s="485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485"/>
      <c r="DE9" s="485"/>
      <c r="DF9" s="485"/>
      <c r="DG9" s="485"/>
      <c r="DH9" s="485"/>
      <c r="DI9" s="485"/>
      <c r="DJ9" s="485"/>
      <c r="DK9" s="485"/>
      <c r="DL9" s="485"/>
      <c r="DM9" s="485"/>
      <c r="DN9" s="485"/>
      <c r="DO9" s="485"/>
      <c r="DP9" s="485"/>
      <c r="DQ9" s="485"/>
      <c r="DR9" s="485"/>
      <c r="DS9" s="485"/>
      <c r="DT9" s="485"/>
    </row>
    <row r="10" spans="1:125" s="5" customFormat="1" ht="30" customHeight="1" x14ac:dyDescent="0.25">
      <c r="A10" s="484"/>
      <c r="B10" s="687" t="s">
        <v>543</v>
      </c>
      <c r="C10" s="516">
        <v>448169</v>
      </c>
      <c r="D10" s="709"/>
      <c r="E10" s="476" t="s">
        <v>40</v>
      </c>
      <c r="F10" s="143" t="s">
        <v>781</v>
      </c>
      <c r="G10" s="144" t="s">
        <v>782</v>
      </c>
      <c r="H10" s="145">
        <v>2007</v>
      </c>
      <c r="I10" s="755" t="s">
        <v>214</v>
      </c>
      <c r="J10" s="155" t="s">
        <v>44</v>
      </c>
      <c r="K10" s="200">
        <v>34.6</v>
      </c>
      <c r="L10" s="118">
        <v>14</v>
      </c>
      <c r="M10" s="118">
        <v>16</v>
      </c>
      <c r="N10" s="118">
        <v>-17</v>
      </c>
      <c r="O10" s="501">
        <f t="shared" si="0"/>
        <v>30</v>
      </c>
      <c r="P10" s="118">
        <v>15</v>
      </c>
      <c r="Q10" s="118">
        <v>17</v>
      </c>
      <c r="R10" s="118">
        <v>-19</v>
      </c>
      <c r="S10" s="501">
        <f t="shared" si="1"/>
        <v>32</v>
      </c>
      <c r="T10" s="359">
        <f t="shared" si="2"/>
        <v>62</v>
      </c>
      <c r="U10" s="365" t="s">
        <v>698</v>
      </c>
      <c r="V10" s="360" t="str">
        <f>IF(H10=0," ",IF(E10="H",IF(AND(H10&gt;2005,H10&lt;2009),VLOOKUP(K10,[19]Minimas!$A$15:$C$29,3),IF(AND(H10&gt;2008,H10&lt;2011),VLOOKUP(K10,[19]Minimas!$A$15:$C$29,2),"ERREUR")),IF(AND(H10&gt;2005,H10&lt;2009),VLOOKUP(K10,[19]Minimas!$H$15:J$29,3),IF(AND(H10&gt;2008,H10&lt;2011),VLOOKUP(K10,[19]Minimas!$H$15:$J$29,2),"ERREUR"))))</f>
        <v>U13 M35</v>
      </c>
      <c r="W10" s="361">
        <f t="shared" si="5"/>
        <v>146.67676598338986</v>
      </c>
      <c r="X10" s="257">
        <v>43561</v>
      </c>
      <c r="Y10" s="261" t="s">
        <v>846</v>
      </c>
      <c r="Z10" s="261" t="s">
        <v>806</v>
      </c>
      <c r="AA10" s="897">
        <f t="shared" si="3"/>
        <v>30</v>
      </c>
      <c r="AB10" s="462">
        <f t="shared" si="4"/>
        <v>32</v>
      </c>
      <c r="AC10" s="232"/>
      <c r="AD10" s="232"/>
      <c r="AE10" s="232"/>
      <c r="AF10" s="232"/>
      <c r="AG10" s="232"/>
      <c r="AH10" s="232"/>
      <c r="AI10" s="232"/>
      <c r="AJ10" s="232"/>
      <c r="AK10" s="232"/>
      <c r="AL10" s="232"/>
      <c r="AM10" s="232"/>
      <c r="AN10" s="232"/>
      <c r="AO10" s="232"/>
      <c r="AP10" s="485"/>
      <c r="AQ10" s="485"/>
      <c r="AR10" s="485"/>
      <c r="AS10" s="485"/>
      <c r="AT10" s="485"/>
      <c r="AU10" s="485"/>
      <c r="AV10" s="485"/>
      <c r="AW10" s="485"/>
      <c r="AX10" s="485"/>
      <c r="AY10" s="485"/>
      <c r="AZ10" s="485"/>
      <c r="BA10" s="485"/>
      <c r="BB10" s="485"/>
      <c r="BC10" s="485"/>
      <c r="BD10" s="485"/>
      <c r="BE10" s="485"/>
      <c r="BF10" s="485"/>
      <c r="BG10" s="485"/>
      <c r="BH10" s="485"/>
      <c r="BI10" s="485"/>
      <c r="BJ10" s="485"/>
      <c r="BK10" s="485"/>
      <c r="BL10" s="485"/>
      <c r="BM10" s="485"/>
      <c r="BN10" s="485"/>
      <c r="BO10" s="485"/>
      <c r="BP10" s="485"/>
      <c r="BQ10" s="485"/>
      <c r="BR10" s="485"/>
      <c r="BS10" s="485"/>
      <c r="BT10" s="485"/>
      <c r="BU10" s="485"/>
      <c r="BV10" s="485"/>
      <c r="BW10" s="485"/>
      <c r="BX10" s="485"/>
      <c r="BY10" s="485"/>
      <c r="BZ10" s="485"/>
      <c r="CA10" s="485"/>
      <c r="CB10" s="485"/>
      <c r="CC10" s="485"/>
      <c r="CD10" s="485"/>
      <c r="CE10" s="485"/>
      <c r="CF10" s="485"/>
      <c r="CG10" s="485"/>
      <c r="CH10" s="485"/>
      <c r="CI10" s="485"/>
      <c r="CJ10" s="485"/>
      <c r="CK10" s="485"/>
      <c r="CL10" s="485"/>
      <c r="CM10" s="485"/>
      <c r="CN10" s="485"/>
      <c r="CO10" s="485"/>
      <c r="CP10" s="485"/>
      <c r="CQ10" s="485"/>
      <c r="CR10" s="485"/>
      <c r="CS10" s="485"/>
      <c r="CT10" s="485"/>
      <c r="CU10" s="485"/>
      <c r="CV10" s="485"/>
      <c r="CW10" s="485"/>
      <c r="CX10" s="485"/>
      <c r="CY10" s="485"/>
      <c r="CZ10" s="485"/>
      <c r="DA10" s="485"/>
      <c r="DB10" s="485"/>
      <c r="DC10" s="485"/>
      <c r="DD10" s="484"/>
      <c r="DE10" s="484"/>
      <c r="DF10" s="484"/>
      <c r="DG10" s="484"/>
      <c r="DH10" s="484"/>
      <c r="DI10" s="484"/>
      <c r="DJ10" s="484"/>
      <c r="DK10" s="484"/>
      <c r="DL10" s="484"/>
      <c r="DM10" s="484"/>
      <c r="DN10" s="484"/>
      <c r="DO10" s="484"/>
      <c r="DP10" s="484"/>
      <c r="DQ10" s="484"/>
      <c r="DR10" s="484"/>
      <c r="DS10" s="484"/>
      <c r="DT10" s="484"/>
    </row>
    <row r="11" spans="1:125" s="5" customFormat="1" ht="30" customHeight="1" x14ac:dyDescent="0.25">
      <c r="A11" s="484"/>
      <c r="B11" s="687" t="s">
        <v>543</v>
      </c>
      <c r="C11" s="516">
        <v>444306</v>
      </c>
      <c r="D11" s="709"/>
      <c r="E11" s="476" t="s">
        <v>40</v>
      </c>
      <c r="F11" s="143" t="s">
        <v>230</v>
      </c>
      <c r="G11" s="144" t="s">
        <v>231</v>
      </c>
      <c r="H11" s="145">
        <v>2008</v>
      </c>
      <c r="I11" s="748" t="s">
        <v>214</v>
      </c>
      <c r="J11" s="155" t="s">
        <v>44</v>
      </c>
      <c r="K11" s="200">
        <v>41.1</v>
      </c>
      <c r="L11" s="118">
        <v>12</v>
      </c>
      <c r="M11" s="118">
        <v>14</v>
      </c>
      <c r="N11" s="118">
        <v>15</v>
      </c>
      <c r="O11" s="501">
        <f t="shared" si="0"/>
        <v>29</v>
      </c>
      <c r="P11" s="118">
        <v>15</v>
      </c>
      <c r="Q11" s="118">
        <v>17</v>
      </c>
      <c r="R11" s="118">
        <v>19</v>
      </c>
      <c r="S11" s="501">
        <f t="shared" si="1"/>
        <v>36</v>
      </c>
      <c r="T11" s="359">
        <f t="shared" si="2"/>
        <v>65</v>
      </c>
      <c r="U11" s="365" t="s">
        <v>698</v>
      </c>
      <c r="V11" s="360" t="str">
        <f>IF(H11=0," ",IF(E11="H",IF(AND(H11&gt;2005,H11&lt;2009),VLOOKUP(K11,[19]Minimas!$A$15:$C$29,3),IF(AND(H11&gt;2008,H11&lt;2011),VLOOKUP(K11,[19]Minimas!$A$15:$C$29,2),"ERREUR")),IF(AND(H11&gt;2005,H11&lt;2009),VLOOKUP(K11,[19]Minimas!$H$15:J$29,3),IF(AND(H11&gt;2008,H11&lt;2011),VLOOKUP(K11,[19]Minimas!$H$15:$J$29,2),"ERREUR"))))</f>
        <v>U13 M45</v>
      </c>
      <c r="W11" s="361">
        <f t="shared" si="5"/>
        <v>129.35751833433551</v>
      </c>
      <c r="X11" s="257">
        <v>43561</v>
      </c>
      <c r="Y11" s="261" t="s">
        <v>846</v>
      </c>
      <c r="Z11" s="261" t="s">
        <v>806</v>
      </c>
      <c r="AA11" s="897">
        <f t="shared" si="3"/>
        <v>29</v>
      </c>
      <c r="AB11" s="462">
        <f t="shared" si="4"/>
        <v>36</v>
      </c>
      <c r="AC11" s="232"/>
      <c r="AD11" s="232"/>
      <c r="AE11" s="232"/>
      <c r="AF11" s="232"/>
      <c r="AG11" s="232"/>
      <c r="AH11" s="232"/>
      <c r="AI11" s="232"/>
      <c r="AJ11" s="232"/>
      <c r="AK11" s="232"/>
      <c r="AL11" s="232"/>
      <c r="AM11" s="232"/>
      <c r="AN11" s="232"/>
      <c r="AO11" s="232"/>
      <c r="AP11" s="485"/>
      <c r="AQ11" s="485"/>
      <c r="AR11" s="485"/>
      <c r="AS11" s="485"/>
      <c r="AT11" s="485"/>
      <c r="AU11" s="485"/>
      <c r="AV11" s="485"/>
      <c r="AW11" s="485"/>
      <c r="AX11" s="485"/>
      <c r="AY11" s="485"/>
      <c r="AZ11" s="485"/>
      <c r="BA11" s="485"/>
      <c r="BB11" s="485"/>
      <c r="BC11" s="485"/>
      <c r="BD11" s="485"/>
      <c r="BE11" s="485"/>
      <c r="BF11" s="485"/>
      <c r="BG11" s="485"/>
      <c r="BH11" s="485"/>
      <c r="BI11" s="485"/>
      <c r="BJ11" s="485"/>
      <c r="BK11" s="485"/>
      <c r="BL11" s="485"/>
      <c r="BM11" s="485"/>
      <c r="BN11" s="485"/>
      <c r="BO11" s="485"/>
      <c r="BP11" s="485"/>
      <c r="BQ11" s="485"/>
      <c r="BR11" s="485"/>
      <c r="BS11" s="485"/>
      <c r="BT11" s="485"/>
      <c r="BU11" s="485"/>
      <c r="BV11" s="485"/>
      <c r="BW11" s="485"/>
      <c r="BX11" s="485"/>
      <c r="BY11" s="485"/>
      <c r="BZ11" s="485"/>
      <c r="CA11" s="485"/>
      <c r="CB11" s="485"/>
      <c r="CC11" s="485"/>
      <c r="CD11" s="485"/>
      <c r="CE11" s="485"/>
      <c r="CF11" s="485"/>
      <c r="CG11" s="485"/>
      <c r="CH11" s="485"/>
      <c r="CI11" s="485"/>
      <c r="CJ11" s="485"/>
      <c r="CK11" s="485"/>
      <c r="CL11" s="485"/>
      <c r="CM11" s="485"/>
      <c r="CN11" s="485"/>
      <c r="CO11" s="485"/>
      <c r="CP11" s="485"/>
      <c r="CQ11" s="485"/>
      <c r="CR11" s="485"/>
      <c r="CS11" s="485"/>
      <c r="CT11" s="485"/>
      <c r="CU11" s="485"/>
      <c r="CV11" s="485"/>
      <c r="CW11" s="485"/>
      <c r="CX11" s="485"/>
      <c r="CY11" s="485"/>
      <c r="CZ11" s="485"/>
      <c r="DA11" s="485"/>
      <c r="DB11" s="485"/>
      <c r="DC11" s="485"/>
      <c r="DD11" s="484"/>
      <c r="DE11" s="484"/>
      <c r="DF11" s="484"/>
      <c r="DG11" s="484"/>
      <c r="DH11" s="484"/>
      <c r="DI11" s="484"/>
      <c r="DJ11" s="484"/>
      <c r="DK11" s="484"/>
      <c r="DL11" s="484"/>
      <c r="DM11" s="484"/>
      <c r="DN11" s="484"/>
      <c r="DO11" s="484"/>
      <c r="DP11" s="484"/>
      <c r="DQ11" s="484"/>
      <c r="DR11" s="484"/>
      <c r="DS11" s="484"/>
      <c r="DT11" s="484"/>
    </row>
    <row r="12" spans="1:125" s="5" customFormat="1" ht="30" customHeight="1" x14ac:dyDescent="0.25">
      <c r="A12" s="484"/>
      <c r="B12" s="136" t="s">
        <v>543</v>
      </c>
      <c r="C12" s="116" t="s">
        <v>226</v>
      </c>
      <c r="D12" s="122"/>
      <c r="E12" s="175" t="s">
        <v>40</v>
      </c>
      <c r="F12" s="124" t="s">
        <v>492</v>
      </c>
      <c r="G12" s="125" t="s">
        <v>304</v>
      </c>
      <c r="H12" s="156">
        <v>2006</v>
      </c>
      <c r="I12" s="756" t="s">
        <v>214</v>
      </c>
      <c r="J12" s="104" t="s">
        <v>44</v>
      </c>
      <c r="K12" s="126">
        <v>46</v>
      </c>
      <c r="L12" s="223">
        <v>12</v>
      </c>
      <c r="M12" s="223">
        <v>14</v>
      </c>
      <c r="N12" s="223">
        <v>16</v>
      </c>
      <c r="O12" s="501">
        <f t="shared" si="0"/>
        <v>30</v>
      </c>
      <c r="P12" s="223">
        <v>18</v>
      </c>
      <c r="Q12" s="223">
        <v>20</v>
      </c>
      <c r="R12" s="223">
        <v>22</v>
      </c>
      <c r="S12" s="501">
        <f t="shared" si="1"/>
        <v>42</v>
      </c>
      <c r="T12" s="489">
        <f t="shared" si="2"/>
        <v>72</v>
      </c>
      <c r="U12" s="365" t="s">
        <v>698</v>
      </c>
      <c r="V12" s="48" t="str">
        <f>IF(H12=0," ",IF(E12="H",IF(AND(H12&gt;2005,H12&lt;2009),VLOOKUP(K12,[1]Minimas!$A$15:$C$29,3),IF(AND(H12&gt;2008,H12&lt;2011),VLOOKUP(K12,[1]Minimas!$A$15:$C$29,2),"ERREUR")),IF(AND(H12&gt;2005,H12&lt;2009),VLOOKUP(K12,[1]Minimas!$H$15:J$29,3),IF(AND(H12&gt;2008,H12&lt;2011),VLOOKUP(K12,[1]Minimas!$H$15:$J$29,2),"ERREUR"))))</f>
        <v>U13 M49</v>
      </c>
      <c r="W12" s="49">
        <f t="shared" si="5"/>
        <v>129.30968766150437</v>
      </c>
      <c r="X12" s="184">
        <v>43449</v>
      </c>
      <c r="Y12" s="186" t="s">
        <v>512</v>
      </c>
      <c r="Z12" s="261" t="s">
        <v>511</v>
      </c>
      <c r="AA12" s="897">
        <f t="shared" si="3"/>
        <v>30</v>
      </c>
      <c r="AB12" s="462">
        <f t="shared" si="4"/>
        <v>42</v>
      </c>
      <c r="AC12" s="232"/>
      <c r="AD12" s="232"/>
      <c r="AE12" s="232"/>
      <c r="AF12" s="232"/>
      <c r="AG12" s="232"/>
      <c r="AH12" s="232"/>
      <c r="AI12" s="232"/>
      <c r="AJ12" s="232"/>
      <c r="AK12" s="232"/>
      <c r="AL12" s="232"/>
      <c r="AM12" s="232"/>
      <c r="AN12" s="232"/>
      <c r="AO12" s="232"/>
      <c r="AP12" s="485"/>
      <c r="AQ12" s="485"/>
      <c r="AR12" s="485"/>
      <c r="AS12" s="485"/>
      <c r="AT12" s="485"/>
      <c r="AU12" s="485"/>
      <c r="AV12" s="485"/>
      <c r="AW12" s="485"/>
      <c r="AX12" s="485"/>
      <c r="AY12" s="485"/>
      <c r="AZ12" s="485"/>
      <c r="BA12" s="485"/>
      <c r="BB12" s="485"/>
      <c r="BC12" s="485"/>
      <c r="BD12" s="485"/>
      <c r="BE12" s="485"/>
      <c r="BF12" s="485"/>
      <c r="BG12" s="485"/>
      <c r="BH12" s="485"/>
      <c r="BI12" s="485"/>
      <c r="BJ12" s="485"/>
      <c r="BK12" s="485"/>
      <c r="BL12" s="485"/>
      <c r="BM12" s="485"/>
      <c r="BN12" s="485"/>
      <c r="BO12" s="485"/>
      <c r="BP12" s="485"/>
      <c r="BQ12" s="485"/>
      <c r="BR12" s="485"/>
      <c r="BS12" s="485"/>
      <c r="BT12" s="485"/>
      <c r="BU12" s="485"/>
      <c r="BV12" s="485"/>
      <c r="BW12" s="485"/>
      <c r="BX12" s="485"/>
      <c r="BY12" s="485"/>
      <c r="BZ12" s="485"/>
      <c r="CA12" s="485"/>
      <c r="CB12" s="485"/>
      <c r="CC12" s="485"/>
      <c r="CD12" s="485"/>
      <c r="CE12" s="485"/>
      <c r="CF12" s="485"/>
      <c r="CG12" s="485"/>
      <c r="CH12" s="485"/>
      <c r="CI12" s="485"/>
      <c r="CJ12" s="485"/>
      <c r="CK12" s="485"/>
      <c r="CL12" s="485"/>
      <c r="CM12" s="485"/>
      <c r="CN12" s="485"/>
      <c r="CO12" s="485"/>
      <c r="CP12" s="485"/>
      <c r="CQ12" s="485"/>
      <c r="CR12" s="485"/>
      <c r="CS12" s="485"/>
      <c r="CT12" s="485"/>
      <c r="CU12" s="485"/>
      <c r="CV12" s="485"/>
      <c r="CW12" s="485"/>
      <c r="CX12" s="485"/>
      <c r="CY12" s="485"/>
      <c r="CZ12" s="485"/>
      <c r="DA12" s="485"/>
      <c r="DB12" s="485"/>
      <c r="DC12" s="485"/>
      <c r="DD12" s="485"/>
      <c r="DE12" s="485"/>
      <c r="DF12" s="485"/>
      <c r="DG12" s="485"/>
      <c r="DH12" s="485"/>
      <c r="DI12" s="485"/>
      <c r="DJ12" s="485"/>
      <c r="DK12" s="485"/>
      <c r="DL12" s="485"/>
      <c r="DM12" s="485"/>
      <c r="DN12" s="485"/>
      <c r="DO12" s="485"/>
      <c r="DP12" s="485"/>
      <c r="DQ12" s="485"/>
      <c r="DR12" s="485"/>
      <c r="DS12" s="485"/>
      <c r="DT12" s="485"/>
    </row>
    <row r="13" spans="1:125" s="484" customFormat="1" ht="30" customHeight="1" x14ac:dyDescent="0.25">
      <c r="B13" s="518" t="s">
        <v>543</v>
      </c>
      <c r="C13" s="166">
        <v>439449</v>
      </c>
      <c r="D13" s="167"/>
      <c r="E13" s="168" t="s">
        <v>40</v>
      </c>
      <c r="F13" s="143" t="s">
        <v>228</v>
      </c>
      <c r="G13" s="144" t="s">
        <v>828</v>
      </c>
      <c r="H13" s="145">
        <v>2006</v>
      </c>
      <c r="I13" s="569" t="s">
        <v>219</v>
      </c>
      <c r="J13" s="146" t="s">
        <v>44</v>
      </c>
      <c r="K13" s="587">
        <v>48.7</v>
      </c>
      <c r="L13" s="118">
        <v>23</v>
      </c>
      <c r="M13" s="118">
        <v>25</v>
      </c>
      <c r="N13" s="118">
        <v>27</v>
      </c>
      <c r="O13" s="501">
        <f t="shared" si="0"/>
        <v>52</v>
      </c>
      <c r="P13" s="118">
        <v>28</v>
      </c>
      <c r="Q13" s="118">
        <v>30</v>
      </c>
      <c r="R13" s="118">
        <v>32</v>
      </c>
      <c r="S13" s="501">
        <f t="shared" si="1"/>
        <v>62</v>
      </c>
      <c r="T13" s="502">
        <f t="shared" si="2"/>
        <v>114</v>
      </c>
      <c r="U13" s="340" t="s">
        <v>698</v>
      </c>
      <c r="V13" s="48" t="str">
        <f>IF(H13=0," ",IF(E13="H",IF(AND(H13&gt;2005,H13&lt;2009),VLOOKUP(K13,[1]Minimas!$A$15:$C$29,3),IF(AND(H13&gt;2008,H13&lt;2011),VLOOKUP(K13,[1]Minimas!$A$15:$C$29,2),"ERREUR")),IF(AND(H13&gt;2005,H13&lt;2009),VLOOKUP(K13,[1]Minimas!$H$15:J$29,3),IF(AND(H13&gt;2008,H13&lt;2011),VLOOKUP(K13,[1]Minimas!$H$15:$J$29,2),"ERREUR"))))</f>
        <v>U13 M49</v>
      </c>
      <c r="W13" s="361">
        <f t="shared" si="5"/>
        <v>194.98477870775361</v>
      </c>
      <c r="X13" s="616">
        <v>43610</v>
      </c>
      <c r="Y13" s="261" t="s">
        <v>892</v>
      </c>
      <c r="Z13" s="619" t="s">
        <v>829</v>
      </c>
      <c r="AA13" s="896">
        <f t="shared" si="3"/>
        <v>52</v>
      </c>
      <c r="AB13" s="462">
        <f t="shared" si="4"/>
        <v>62</v>
      </c>
      <c r="AC13" s="232"/>
      <c r="AD13" s="232"/>
      <c r="AE13" s="232"/>
      <c r="AF13" s="232"/>
      <c r="AG13" s="232"/>
      <c r="AH13" s="232"/>
      <c r="AI13" s="232"/>
      <c r="AJ13" s="232"/>
      <c r="AK13" s="232"/>
      <c r="AL13" s="232"/>
      <c r="AM13" s="232"/>
      <c r="AN13" s="232"/>
      <c r="AO13" s="232"/>
      <c r="AP13" s="485"/>
      <c r="AQ13" s="485"/>
      <c r="AR13" s="485"/>
      <c r="AS13" s="485"/>
      <c r="AT13" s="485"/>
      <c r="AU13" s="485"/>
      <c r="AV13" s="485"/>
      <c r="AW13" s="485"/>
      <c r="AX13" s="485"/>
      <c r="AY13" s="485"/>
      <c r="AZ13" s="485"/>
      <c r="BA13" s="485"/>
      <c r="BB13" s="485"/>
      <c r="BC13" s="485"/>
      <c r="BD13" s="485"/>
      <c r="BE13" s="485"/>
      <c r="BF13" s="485"/>
      <c r="BG13" s="485"/>
      <c r="BH13" s="485"/>
      <c r="BI13" s="485"/>
      <c r="BJ13" s="485"/>
      <c r="BK13" s="485"/>
      <c r="BL13" s="485"/>
      <c r="BM13" s="485"/>
      <c r="BN13" s="485"/>
      <c r="BO13" s="485"/>
      <c r="BP13" s="485"/>
      <c r="BQ13" s="485"/>
      <c r="BR13" s="485"/>
      <c r="BS13" s="485"/>
      <c r="BT13" s="485"/>
      <c r="BU13" s="485"/>
      <c r="BV13" s="485"/>
      <c r="BW13" s="485"/>
      <c r="BX13" s="485"/>
      <c r="BY13" s="485"/>
      <c r="BZ13" s="485"/>
      <c r="CA13" s="485"/>
      <c r="CB13" s="485"/>
      <c r="CC13" s="485"/>
      <c r="CD13" s="485"/>
      <c r="CE13" s="485"/>
      <c r="CF13" s="485"/>
      <c r="CG13" s="485"/>
      <c r="CH13" s="485"/>
      <c r="CI13" s="485"/>
      <c r="CJ13" s="485"/>
      <c r="CK13" s="485"/>
      <c r="CL13" s="485"/>
      <c r="CM13" s="485"/>
      <c r="CN13" s="485"/>
      <c r="CO13" s="485"/>
      <c r="CP13" s="485"/>
      <c r="CQ13" s="485"/>
      <c r="CR13" s="485"/>
      <c r="CS13" s="485"/>
      <c r="CT13" s="485"/>
      <c r="CU13" s="485"/>
      <c r="CV13" s="485"/>
      <c r="CW13" s="485"/>
      <c r="CX13" s="485"/>
      <c r="CY13" s="485"/>
      <c r="CZ13" s="485"/>
      <c r="DA13" s="485"/>
      <c r="DB13" s="485"/>
      <c r="DC13" s="485"/>
      <c r="DD13" s="485"/>
      <c r="DE13" s="485"/>
      <c r="DF13" s="485"/>
      <c r="DG13" s="485"/>
      <c r="DH13" s="485"/>
      <c r="DI13" s="485"/>
      <c r="DJ13" s="485"/>
      <c r="DK13" s="485"/>
      <c r="DL13" s="485"/>
      <c r="DM13" s="485"/>
      <c r="DN13" s="485"/>
      <c r="DO13" s="485"/>
      <c r="DP13" s="485"/>
      <c r="DQ13" s="485"/>
      <c r="DR13" s="485"/>
      <c r="DS13" s="485"/>
      <c r="DT13" s="485"/>
    </row>
    <row r="14" spans="1:125" s="5" customFormat="1" ht="30" customHeight="1" x14ac:dyDescent="0.25">
      <c r="B14" s="687" t="s">
        <v>543</v>
      </c>
      <c r="C14" s="516">
        <v>439590</v>
      </c>
      <c r="D14" s="709"/>
      <c r="E14" s="476" t="s">
        <v>40</v>
      </c>
      <c r="F14" s="143" t="s">
        <v>432</v>
      </c>
      <c r="G14" s="144" t="s">
        <v>783</v>
      </c>
      <c r="H14" s="145">
        <v>2006</v>
      </c>
      <c r="I14" s="748" t="s">
        <v>214</v>
      </c>
      <c r="J14" s="155" t="s">
        <v>44</v>
      </c>
      <c r="K14" s="200">
        <v>52.3</v>
      </c>
      <c r="L14" s="118">
        <v>20</v>
      </c>
      <c r="M14" s="118">
        <v>22</v>
      </c>
      <c r="N14" s="118">
        <v>24</v>
      </c>
      <c r="O14" s="501">
        <f t="shared" si="0"/>
        <v>46</v>
      </c>
      <c r="P14" s="118">
        <v>26</v>
      </c>
      <c r="Q14" s="118">
        <v>28</v>
      </c>
      <c r="R14" s="118">
        <v>30</v>
      </c>
      <c r="S14" s="501">
        <f t="shared" si="1"/>
        <v>58</v>
      </c>
      <c r="T14" s="359">
        <f t="shared" si="2"/>
        <v>104</v>
      </c>
      <c r="U14" s="365" t="s">
        <v>698</v>
      </c>
      <c r="V14" s="360" t="str">
        <f>IF(H14=0," ",IF(E14="H",IF(AND(H14&gt;2005,H14&lt;2009),VLOOKUP(K14,[19]Minimas!$A$15:$C$29,3),IF(AND(H14&gt;2008,H14&lt;2011),VLOOKUP(K14,[19]Minimas!$A$15:$C$29,2),"ERREUR")),IF(AND(H14&gt;2005,H14&lt;2009),VLOOKUP(K14,[19]Minimas!$H$15:J$29,3),IF(AND(H14&gt;2008,H14&lt;2011),VLOOKUP(K14,[19]Minimas!$H$15:$J$29,2),"ERREUR"))))</f>
        <v>U13 M55</v>
      </c>
      <c r="W14" s="361">
        <f t="shared" si="5"/>
        <v>167.84813889669039</v>
      </c>
      <c r="X14" s="257">
        <v>43561</v>
      </c>
      <c r="Y14" s="261" t="s">
        <v>846</v>
      </c>
      <c r="Z14" s="261" t="s">
        <v>806</v>
      </c>
      <c r="AA14" s="897">
        <f t="shared" si="3"/>
        <v>46</v>
      </c>
      <c r="AB14" s="462">
        <f t="shared" si="4"/>
        <v>58</v>
      </c>
      <c r="AC14" s="232"/>
      <c r="AD14" s="232"/>
      <c r="AE14" s="232"/>
      <c r="AF14" s="232"/>
      <c r="AG14" s="232"/>
      <c r="AH14" s="232"/>
      <c r="AI14" s="232"/>
      <c r="AJ14" s="232"/>
      <c r="AK14" s="232"/>
      <c r="AL14" s="232"/>
      <c r="AM14" s="232"/>
      <c r="AN14" s="232"/>
      <c r="AO14" s="232"/>
      <c r="AP14" s="485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  <c r="DD14" s="484"/>
      <c r="DE14" s="484"/>
      <c r="DF14" s="484"/>
      <c r="DG14" s="484"/>
      <c r="DH14" s="484"/>
      <c r="DI14" s="484"/>
      <c r="DJ14" s="484"/>
      <c r="DK14" s="484"/>
      <c r="DL14" s="484"/>
      <c r="DM14" s="484"/>
      <c r="DN14" s="484"/>
      <c r="DO14" s="484"/>
      <c r="DP14" s="484"/>
      <c r="DQ14" s="484"/>
      <c r="DR14" s="484"/>
      <c r="DS14" s="484"/>
      <c r="DT14" s="484"/>
    </row>
    <row r="15" spans="1:125" s="5" customFormat="1" ht="30" customHeight="1" x14ac:dyDescent="0.25">
      <c r="A15" s="484"/>
      <c r="B15" s="516" t="s">
        <v>543</v>
      </c>
      <c r="C15" s="516">
        <v>448776</v>
      </c>
      <c r="D15" s="540"/>
      <c r="E15" s="168" t="s">
        <v>40</v>
      </c>
      <c r="F15" s="143" t="s">
        <v>900</v>
      </c>
      <c r="G15" s="144" t="s">
        <v>901</v>
      </c>
      <c r="H15" s="145">
        <v>2006</v>
      </c>
      <c r="I15" s="671" t="s">
        <v>440</v>
      </c>
      <c r="J15" s="146" t="s">
        <v>41</v>
      </c>
      <c r="K15" s="200">
        <v>52.7</v>
      </c>
      <c r="L15" s="118">
        <v>16</v>
      </c>
      <c r="M15" s="118">
        <v>-18</v>
      </c>
      <c r="N15" s="118">
        <v>18</v>
      </c>
      <c r="O15" s="501">
        <f t="shared" si="0"/>
        <v>34</v>
      </c>
      <c r="P15" s="118">
        <v>22</v>
      </c>
      <c r="Q15" s="118">
        <v>24</v>
      </c>
      <c r="R15" s="118">
        <v>26</v>
      </c>
      <c r="S15" s="501">
        <f t="shared" si="1"/>
        <v>50</v>
      </c>
      <c r="T15" s="359">
        <f t="shared" si="2"/>
        <v>84</v>
      </c>
      <c r="U15" s="365" t="s">
        <v>698</v>
      </c>
      <c r="V15" s="48" t="str">
        <f>IF(H15=0," ",IF(E15="H",IF(AND(H15&gt;2005,H15&lt;2009),VLOOKUP(K15,[1]Minimas!$A$15:$C$29,3),IF(AND(H15&gt;2008,H15&lt;2011),VLOOKUP(K15,[1]Minimas!$A$15:$C$29,2),"ERREUR")),IF(AND(H15&gt;2005,H15&lt;2009),VLOOKUP(K15,[1]Minimas!$H$15:J$29,3),IF(AND(H15&gt;2008,H15&lt;2011),VLOOKUP(K15,[1]Minimas!$H$15:$J$29,2),"ERREUR"))))</f>
        <v>U13 M55</v>
      </c>
      <c r="W15" s="361">
        <f t="shared" si="5"/>
        <v>134.75789407236581</v>
      </c>
      <c r="X15" s="257">
        <v>43610</v>
      </c>
      <c r="Y15" s="261" t="s">
        <v>892</v>
      </c>
      <c r="Z15" s="261" t="s">
        <v>829</v>
      </c>
      <c r="AA15" s="897">
        <f t="shared" si="3"/>
        <v>34</v>
      </c>
      <c r="AB15" s="462">
        <f t="shared" si="4"/>
        <v>50</v>
      </c>
      <c r="AC15" s="232"/>
      <c r="AD15" s="232"/>
      <c r="AE15" s="232"/>
      <c r="AF15" s="232"/>
      <c r="AG15" s="232"/>
      <c r="AH15" s="232"/>
      <c r="AI15" s="232"/>
      <c r="AJ15" s="232"/>
      <c r="AK15" s="232"/>
      <c r="AL15" s="232"/>
      <c r="AM15" s="232"/>
      <c r="AN15" s="232"/>
      <c r="AO15" s="232"/>
      <c r="AP15" s="485"/>
      <c r="AQ15" s="485"/>
      <c r="AR15" s="485"/>
      <c r="AS15" s="485"/>
      <c r="AT15" s="485"/>
      <c r="AU15" s="485"/>
      <c r="AV15" s="485"/>
      <c r="AW15" s="485"/>
      <c r="AX15" s="485"/>
      <c r="AY15" s="485"/>
      <c r="AZ15" s="485"/>
      <c r="BA15" s="485"/>
      <c r="BB15" s="485"/>
      <c r="BC15" s="485"/>
      <c r="BD15" s="485"/>
      <c r="BE15" s="485"/>
      <c r="BF15" s="485"/>
      <c r="BG15" s="485"/>
      <c r="BH15" s="485"/>
      <c r="BI15" s="485"/>
      <c r="BJ15" s="485"/>
      <c r="BK15" s="485"/>
      <c r="BL15" s="485"/>
      <c r="BM15" s="485"/>
      <c r="BN15" s="485"/>
      <c r="BO15" s="485"/>
      <c r="BP15" s="485"/>
      <c r="BQ15" s="485"/>
      <c r="BR15" s="485"/>
      <c r="BS15" s="485"/>
      <c r="BT15" s="485"/>
      <c r="BU15" s="485"/>
      <c r="BV15" s="485"/>
      <c r="BW15" s="485"/>
      <c r="BX15" s="485"/>
      <c r="BY15" s="485"/>
      <c r="BZ15" s="485"/>
      <c r="CA15" s="485"/>
      <c r="CB15" s="485"/>
      <c r="CC15" s="485"/>
      <c r="CD15" s="485"/>
      <c r="CE15" s="485"/>
      <c r="CF15" s="485"/>
      <c r="CG15" s="485"/>
      <c r="CH15" s="485"/>
      <c r="CI15" s="485"/>
      <c r="CJ15" s="485"/>
      <c r="CK15" s="485"/>
      <c r="CL15" s="485"/>
      <c r="CM15" s="485"/>
      <c r="CN15" s="485"/>
      <c r="CO15" s="485"/>
      <c r="CP15" s="485"/>
      <c r="CQ15" s="485"/>
      <c r="CR15" s="485"/>
      <c r="CS15" s="485"/>
      <c r="CT15" s="485"/>
      <c r="CU15" s="485"/>
      <c r="CV15" s="485"/>
      <c r="CW15" s="485"/>
      <c r="CX15" s="485"/>
      <c r="CY15" s="485"/>
      <c r="CZ15" s="485"/>
      <c r="DA15" s="485"/>
      <c r="DB15" s="485"/>
      <c r="DC15" s="485"/>
      <c r="DD15" s="485"/>
      <c r="DE15" s="485"/>
      <c r="DF15" s="485"/>
      <c r="DG15" s="485"/>
      <c r="DH15" s="485"/>
      <c r="DI15" s="485"/>
      <c r="DJ15" s="485"/>
      <c r="DK15" s="485"/>
      <c r="DL15" s="485"/>
      <c r="DM15" s="485"/>
      <c r="DN15" s="485"/>
      <c r="DO15" s="485"/>
      <c r="DP15" s="485"/>
      <c r="DQ15" s="485"/>
      <c r="DR15" s="485"/>
      <c r="DS15" s="485"/>
      <c r="DT15" s="485"/>
    </row>
    <row r="16" spans="1:125" s="5" customFormat="1" ht="30" customHeight="1" x14ac:dyDescent="0.25">
      <c r="A16" s="1"/>
      <c r="B16" s="136" t="s">
        <v>543</v>
      </c>
      <c r="C16" s="516">
        <v>439590</v>
      </c>
      <c r="D16" s="167"/>
      <c r="E16" s="476" t="s">
        <v>40</v>
      </c>
      <c r="F16" s="143" t="s">
        <v>432</v>
      </c>
      <c r="G16" s="144" t="s">
        <v>783</v>
      </c>
      <c r="H16" s="145">
        <v>2006</v>
      </c>
      <c r="I16" s="241" t="s">
        <v>214</v>
      </c>
      <c r="J16" s="146" t="s">
        <v>44</v>
      </c>
      <c r="K16" s="200">
        <v>53</v>
      </c>
      <c r="L16" s="118">
        <v>26</v>
      </c>
      <c r="M16" s="118">
        <v>28</v>
      </c>
      <c r="N16" s="118">
        <v>30</v>
      </c>
      <c r="O16" s="501">
        <f t="shared" si="0"/>
        <v>58</v>
      </c>
      <c r="P16" s="118">
        <v>36</v>
      </c>
      <c r="Q16" s="118">
        <v>38</v>
      </c>
      <c r="R16" s="118">
        <v>40</v>
      </c>
      <c r="S16" s="501">
        <f t="shared" si="1"/>
        <v>78</v>
      </c>
      <c r="T16" s="359">
        <f t="shared" si="2"/>
        <v>136</v>
      </c>
      <c r="U16" s="365" t="s">
        <v>698</v>
      </c>
      <c r="V16" s="360" t="str">
        <f>IF(H16=0," ",IF(E16="H",IF(AND(H16&gt;2005,H16&lt;2009),VLOOKUP(K16,[20]Minimas!$A$15:$C$29,3),IF(AND(H16&gt;2008,H16&lt;2011),VLOOKUP(K16,[20]Minimas!$A$15:$C$29,2),"ERREUR")),IF(AND(H16&gt;2005,H16&lt;2009),VLOOKUP(K16,[20]Minimas!$H$15:J$29,3),IF(AND(H16&gt;2008,H16&lt;2011),VLOOKUP(K16,[20]Minimas!$H$15:$J$29,2),"ERREUR"))))</f>
        <v>U13 M55</v>
      </c>
      <c r="W16" s="361">
        <f t="shared" si="5"/>
        <v>217.21074469605196</v>
      </c>
      <c r="X16" s="257">
        <v>43540</v>
      </c>
      <c r="Y16" s="261" t="s">
        <v>714</v>
      </c>
      <c r="Z16" s="261" t="s">
        <v>511</v>
      </c>
      <c r="AA16" s="897">
        <f t="shared" si="3"/>
        <v>58</v>
      </c>
      <c r="AB16" s="462">
        <f t="shared" si="4"/>
        <v>78</v>
      </c>
      <c r="AC16" s="232"/>
      <c r="AD16" s="232"/>
      <c r="AE16" s="232"/>
      <c r="AF16" s="232"/>
      <c r="AG16" s="232"/>
      <c r="AH16" s="232"/>
      <c r="AI16" s="232"/>
      <c r="AJ16" s="232"/>
      <c r="AK16" s="232"/>
      <c r="AL16" s="232"/>
      <c r="AM16" s="232"/>
      <c r="AN16" s="232"/>
      <c r="AO16" s="232"/>
      <c r="AP16" s="485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</row>
    <row r="17" spans="1:124" s="5" customFormat="1" ht="30" customHeight="1" x14ac:dyDescent="0.25">
      <c r="A17" s="376"/>
      <c r="B17" s="633" t="s">
        <v>543</v>
      </c>
      <c r="C17" s="633">
        <v>446452</v>
      </c>
      <c r="D17" s="706"/>
      <c r="E17" s="175" t="s">
        <v>40</v>
      </c>
      <c r="F17" s="266" t="s">
        <v>826</v>
      </c>
      <c r="G17" s="125" t="s">
        <v>827</v>
      </c>
      <c r="H17" s="267">
        <v>2007</v>
      </c>
      <c r="I17" s="281" t="s">
        <v>170</v>
      </c>
      <c r="J17" s="767" t="s">
        <v>44</v>
      </c>
      <c r="K17" s="778">
        <v>60.9</v>
      </c>
      <c r="L17" s="133">
        <v>17</v>
      </c>
      <c r="M17" s="133">
        <v>18</v>
      </c>
      <c r="N17" s="133">
        <v>19</v>
      </c>
      <c r="O17" s="501">
        <f t="shared" si="0"/>
        <v>37</v>
      </c>
      <c r="P17" s="133">
        <v>22</v>
      </c>
      <c r="Q17" s="133">
        <v>24</v>
      </c>
      <c r="R17" s="133">
        <v>26</v>
      </c>
      <c r="S17" s="501">
        <f t="shared" si="1"/>
        <v>50</v>
      </c>
      <c r="T17" s="359">
        <f t="shared" si="2"/>
        <v>87</v>
      </c>
      <c r="U17" s="365" t="s">
        <v>698</v>
      </c>
      <c r="V17" s="48" t="str">
        <f>IF(H17=0," ",IF(E17="H",IF(AND(H17&gt;2005,H17&lt;2009),VLOOKUP(K17,[1]Minimas!$A$15:$C$29,3),IF(AND(H17&gt;2008,H17&lt;2011),VLOOKUP(K17,[1]Minimas!$A$15:$C$29,2),"ERREUR")),IF(AND(H17&gt;2005,H17&lt;2009),VLOOKUP(K17,[1]Minimas!$H$15:J$29,3),IF(AND(H17&gt;2008,H17&lt;2011),VLOOKUP(K17,[1]Minimas!$H$15:$J$29,2),"ERREUR"))))</f>
        <v>U13 M61</v>
      </c>
      <c r="W17" s="386">
        <v>64.878757938871573</v>
      </c>
      <c r="X17" s="257">
        <v>43554</v>
      </c>
      <c r="Y17" s="261" t="s">
        <v>805</v>
      </c>
      <c r="Z17" s="261" t="s">
        <v>829</v>
      </c>
      <c r="AA17" s="897">
        <f t="shared" si="3"/>
        <v>37</v>
      </c>
      <c r="AB17" s="462">
        <f t="shared" si="4"/>
        <v>50</v>
      </c>
      <c r="AC17" s="232"/>
      <c r="AD17" s="232"/>
      <c r="AE17" s="232"/>
      <c r="AF17" s="232"/>
      <c r="AG17" s="232"/>
      <c r="AH17" s="232"/>
      <c r="AI17" s="232"/>
      <c r="AJ17" s="232"/>
      <c r="AK17" s="232"/>
      <c r="AL17" s="232"/>
      <c r="AM17" s="232"/>
      <c r="AN17" s="232"/>
      <c r="AO17" s="232"/>
      <c r="AP17" s="485"/>
      <c r="AQ17" s="377"/>
      <c r="AR17" s="377"/>
      <c r="AS17" s="377"/>
      <c r="AT17" s="377"/>
      <c r="AU17" s="377"/>
      <c r="AV17" s="377"/>
      <c r="AW17" s="377"/>
      <c r="AX17" s="377"/>
      <c r="AY17" s="377"/>
      <c r="AZ17" s="377"/>
      <c r="BA17" s="377"/>
      <c r="BB17" s="377"/>
      <c r="BC17" s="377"/>
      <c r="BD17" s="377"/>
      <c r="BE17" s="377"/>
      <c r="BF17" s="377"/>
      <c r="BG17" s="377"/>
      <c r="BH17" s="377"/>
      <c r="BI17" s="377"/>
      <c r="BJ17" s="377"/>
      <c r="BK17" s="377"/>
      <c r="BL17" s="377"/>
      <c r="BM17" s="377"/>
      <c r="BN17" s="377"/>
      <c r="BO17" s="377"/>
      <c r="BP17" s="377"/>
      <c r="BQ17" s="377"/>
      <c r="BR17" s="377"/>
      <c r="BS17" s="377"/>
      <c r="BT17" s="377"/>
      <c r="BU17" s="377"/>
      <c r="BV17" s="377"/>
      <c r="BW17" s="377"/>
      <c r="BX17" s="377"/>
      <c r="BY17" s="377"/>
      <c r="BZ17" s="377"/>
      <c r="CA17" s="377"/>
      <c r="CB17" s="377"/>
      <c r="CC17" s="377"/>
      <c r="CD17" s="377"/>
      <c r="CE17" s="377"/>
      <c r="CF17" s="377"/>
      <c r="CG17" s="377"/>
      <c r="CH17" s="377"/>
      <c r="CI17" s="377"/>
      <c r="CJ17" s="377"/>
      <c r="CK17" s="377"/>
      <c r="CL17" s="377"/>
      <c r="CM17" s="377"/>
      <c r="CN17" s="377"/>
      <c r="CO17" s="377"/>
      <c r="CP17" s="377"/>
      <c r="CQ17" s="377"/>
      <c r="CR17" s="377"/>
      <c r="CS17" s="377"/>
      <c r="CT17" s="377"/>
      <c r="CU17" s="377"/>
      <c r="CV17" s="377"/>
      <c r="CW17" s="377"/>
      <c r="CX17" s="377"/>
      <c r="CY17" s="377"/>
      <c r="CZ17" s="377"/>
      <c r="DA17" s="377"/>
      <c r="DB17" s="377"/>
      <c r="DC17" s="377"/>
      <c r="DD17" s="377"/>
      <c r="DE17" s="377"/>
      <c r="DF17" s="377"/>
      <c r="DG17" s="377"/>
      <c r="DH17" s="377"/>
      <c r="DI17" s="377"/>
      <c r="DJ17" s="377"/>
      <c r="DK17" s="377"/>
      <c r="DL17" s="377"/>
      <c r="DM17" s="377"/>
      <c r="DN17" s="377"/>
      <c r="DO17" s="377"/>
      <c r="DP17" s="377"/>
      <c r="DQ17" s="377"/>
      <c r="DR17" s="377"/>
      <c r="DS17" s="377"/>
      <c r="DT17" s="377"/>
    </row>
    <row r="18" spans="1:124" s="5" customFormat="1" ht="30" customHeight="1" x14ac:dyDescent="0.25">
      <c r="A18" s="376"/>
      <c r="B18" s="691" t="s">
        <v>543</v>
      </c>
      <c r="C18" s="691">
        <v>450272</v>
      </c>
      <c r="D18" s="715"/>
      <c r="E18" s="175" t="s">
        <v>40</v>
      </c>
      <c r="F18" s="730" t="s">
        <v>822</v>
      </c>
      <c r="G18" s="730" t="s">
        <v>823</v>
      </c>
      <c r="H18" s="740">
        <v>2007</v>
      </c>
      <c r="I18" s="751" t="s">
        <v>170</v>
      </c>
      <c r="J18" s="763" t="s">
        <v>44</v>
      </c>
      <c r="K18" s="775">
        <v>71.099999999999994</v>
      </c>
      <c r="L18" s="780">
        <v>14</v>
      </c>
      <c r="M18" s="780">
        <v>15</v>
      </c>
      <c r="N18" s="780">
        <v>17</v>
      </c>
      <c r="O18" s="501">
        <f t="shared" si="0"/>
        <v>32</v>
      </c>
      <c r="P18" s="780">
        <v>17</v>
      </c>
      <c r="Q18" s="780">
        <v>19</v>
      </c>
      <c r="R18" s="780">
        <v>20</v>
      </c>
      <c r="S18" s="501">
        <f t="shared" si="1"/>
        <v>39</v>
      </c>
      <c r="T18" s="359">
        <f t="shared" si="2"/>
        <v>71</v>
      </c>
      <c r="U18" s="365" t="s">
        <v>698</v>
      </c>
      <c r="V18" s="48" t="str">
        <f>IF(H18=0," ",IF(E18="H",IF(AND(H18&gt;2005,H18&lt;2009),VLOOKUP(K18,[1]Minimas!$A$15:$C$29,3),IF(AND(H18&gt;2008,H18&lt;2011),VLOOKUP(K18,[1]Minimas!$A$15:$C$29,2),"ERREUR")),IF(AND(H18&gt;2005,H18&lt;2009),VLOOKUP(K18,[1]Minimas!$H$15:J$29,3),IF(AND(H18&gt;2008,H18&lt;2011),VLOOKUP(K18,[1]Minimas!$H$15:$J$29,2),"ERREUR"))))</f>
        <v>U13 M73</v>
      </c>
      <c r="W18" s="378">
        <v>48.305953191224894</v>
      </c>
      <c r="X18" s="257">
        <v>43554</v>
      </c>
      <c r="Y18" s="261" t="s">
        <v>805</v>
      </c>
      <c r="Z18" s="261" t="s">
        <v>829</v>
      </c>
      <c r="AA18" s="897">
        <f t="shared" si="3"/>
        <v>32</v>
      </c>
      <c r="AB18" s="462">
        <f t="shared" si="4"/>
        <v>39</v>
      </c>
      <c r="AC18" s="232"/>
      <c r="AD18" s="232"/>
      <c r="AE18" s="232"/>
      <c r="AF18" s="232"/>
      <c r="AG18" s="232"/>
      <c r="AH18" s="232"/>
      <c r="AI18" s="232"/>
      <c r="AJ18" s="232"/>
      <c r="AK18" s="232"/>
      <c r="AL18" s="232"/>
      <c r="AM18" s="232"/>
      <c r="AN18" s="232"/>
      <c r="AO18" s="232"/>
      <c r="AP18" s="485"/>
      <c r="AQ18" s="377"/>
      <c r="AR18" s="377"/>
      <c r="AS18" s="377"/>
      <c r="AT18" s="377"/>
      <c r="AU18" s="377"/>
      <c r="AV18" s="377"/>
      <c r="AW18" s="377"/>
      <c r="AX18" s="377"/>
      <c r="AY18" s="377"/>
      <c r="AZ18" s="377"/>
      <c r="BA18" s="377"/>
      <c r="BB18" s="377"/>
      <c r="BC18" s="377"/>
      <c r="BD18" s="377"/>
      <c r="BE18" s="377"/>
      <c r="BF18" s="377"/>
      <c r="BG18" s="377"/>
      <c r="BH18" s="377"/>
      <c r="BI18" s="377"/>
      <c r="BJ18" s="377"/>
      <c r="BK18" s="377"/>
      <c r="BL18" s="377"/>
      <c r="BM18" s="377"/>
      <c r="BN18" s="377"/>
      <c r="BO18" s="377"/>
      <c r="BP18" s="377"/>
      <c r="BQ18" s="377"/>
      <c r="BR18" s="377"/>
      <c r="BS18" s="377"/>
      <c r="BT18" s="377"/>
      <c r="BU18" s="377"/>
      <c r="BV18" s="377"/>
      <c r="BW18" s="377"/>
      <c r="BX18" s="377"/>
      <c r="BY18" s="377"/>
      <c r="BZ18" s="377"/>
      <c r="CA18" s="377"/>
      <c r="CB18" s="377"/>
      <c r="CC18" s="377"/>
      <c r="CD18" s="377"/>
      <c r="CE18" s="377"/>
      <c r="CF18" s="377"/>
      <c r="CG18" s="377"/>
      <c r="CH18" s="377"/>
      <c r="CI18" s="377"/>
      <c r="CJ18" s="377"/>
      <c r="CK18" s="377"/>
      <c r="CL18" s="377"/>
      <c r="CM18" s="377"/>
      <c r="CN18" s="377"/>
      <c r="CO18" s="377"/>
      <c r="CP18" s="377"/>
      <c r="CQ18" s="377"/>
      <c r="CR18" s="377"/>
      <c r="CS18" s="377"/>
      <c r="CT18" s="377"/>
      <c r="CU18" s="377"/>
      <c r="CV18" s="377"/>
      <c r="CW18" s="377"/>
      <c r="CX18" s="377"/>
      <c r="CY18" s="377"/>
      <c r="CZ18" s="377"/>
      <c r="DA18" s="377"/>
      <c r="DB18" s="377"/>
      <c r="DC18" s="377"/>
      <c r="DD18" s="377"/>
      <c r="DE18" s="377"/>
      <c r="DF18" s="377"/>
      <c r="DG18" s="377"/>
      <c r="DH18" s="377"/>
      <c r="DI18" s="377"/>
      <c r="DJ18" s="377"/>
      <c r="DK18" s="377"/>
      <c r="DL18" s="377"/>
      <c r="DM18" s="377"/>
      <c r="DN18" s="377"/>
      <c r="DO18" s="377"/>
      <c r="DP18" s="377"/>
      <c r="DQ18" s="377"/>
      <c r="DR18" s="377"/>
      <c r="DS18" s="377"/>
      <c r="DT18" s="377"/>
    </row>
    <row r="19" spans="1:124" s="5" customFormat="1" ht="30" customHeight="1" x14ac:dyDescent="0.25">
      <c r="B19" s="516" t="s">
        <v>543</v>
      </c>
      <c r="C19" s="524">
        <v>376233</v>
      </c>
      <c r="D19" s="530"/>
      <c r="E19" s="476" t="s">
        <v>40</v>
      </c>
      <c r="F19" s="728" t="s">
        <v>245</v>
      </c>
      <c r="G19" s="735" t="s">
        <v>646</v>
      </c>
      <c r="H19" s="215">
        <v>2004</v>
      </c>
      <c r="I19" s="671" t="s">
        <v>129</v>
      </c>
      <c r="J19" s="146" t="s">
        <v>44</v>
      </c>
      <c r="K19" s="200">
        <v>48.44</v>
      </c>
      <c r="L19" s="118">
        <v>58</v>
      </c>
      <c r="M19" s="118">
        <v>-62</v>
      </c>
      <c r="N19" s="118">
        <v>62</v>
      </c>
      <c r="O19" s="358">
        <f t="shared" ref="O19:O43" si="6">IF(E19="","",IF(MAXA(L19:N19)&lt;=0,0,MAXA(L19:N19)))</f>
        <v>62</v>
      </c>
      <c r="P19" s="118">
        <v>74</v>
      </c>
      <c r="Q19" s="118">
        <v>78</v>
      </c>
      <c r="R19" s="118">
        <v>81</v>
      </c>
      <c r="S19" s="358">
        <f t="shared" ref="S19:S43" si="7">IF(E19="","",IF(MAXA(P19:R19)&lt;=0,0,MAXA(P19:R19)))</f>
        <v>81</v>
      </c>
      <c r="T19" s="359">
        <f t="shared" si="2"/>
        <v>143</v>
      </c>
      <c r="U19" s="360" t="str">
        <f t="shared" ref="U19:U43" si="8">+CONCATENATE(AM19," ",AN19)</f>
        <v>INTB + 13</v>
      </c>
      <c r="V19" s="360" t="str">
        <f>IF(E19=0," ",IF(E19="H",IF(H19&lt;1999,VLOOKUP(K19,[3]Minimas!$A$15:$F$29,6),IF(AND(H19&gt;1998,H19&lt;2002),VLOOKUP(K19,[3]Minimas!$A$15:$F$29,5),IF(AND(H19&gt;2001,H19&lt;2004),VLOOKUP(K19,[3]Minimas!$A$15:$F$29,4),IF(AND(H19&gt;2003,H19&lt;2006),VLOOKUP(K19,[3]Minimas!$A$15:$F$29,3),VLOOKUP(K19,[3]Minimas!$A$15:$F$29,2))))),IF(H19&lt;1999,VLOOKUP(K19,[3]Minimas!$G$15:$L$29,6),IF(AND(H19&gt;1998,H19&lt;2002),VLOOKUP(K19,[3]Minimas!$G$15:$L$29,5),IF(AND(H19&gt;2001,H19&lt;2004),VLOOKUP(K19,[3]Minimas!$G$15:$L$29,4),IF(AND(H19&gt;2003,H19&lt;2006),VLOOKUP(K19,[3]Minimas!$G$15:$L$29,3),VLOOKUP(K19,[3]Minimas!$G$15:$L$29,2)))))))</f>
        <v>U15 M49</v>
      </c>
      <c r="W19" s="361">
        <f t="shared" ref="W19:W43" si="9">IF(E19=" "," ",IF(E19="H",10^(0.75194503*LOG(K19/175.508)^2)*T19,IF(E19="F",10^(0.783497476* LOG(K19/153.655)^2)*T19,"")))</f>
        <v>245.68722721964386</v>
      </c>
      <c r="X19" s="257">
        <v>43624</v>
      </c>
      <c r="Y19" s="261" t="s">
        <v>886</v>
      </c>
      <c r="Z19" s="261" t="s">
        <v>887</v>
      </c>
      <c r="AA19" s="232"/>
      <c r="AB19" s="230">
        <f>T19-HLOOKUP(V19,[3]Minimas!$C$3:$CD$12,2,FALSE)</f>
        <v>103</v>
      </c>
      <c r="AC19" s="230">
        <f>T19-HLOOKUP(V19,[3]Minimas!$C$3:$CD$12,3,FALSE)</f>
        <v>88</v>
      </c>
      <c r="AD19" s="230">
        <f>T19-HLOOKUP(V19,[3]Minimas!$C$3:$CD$12,4,FALSE)</f>
        <v>73</v>
      </c>
      <c r="AE19" s="230">
        <f>T19-HLOOKUP(V19,[3]Minimas!$C$3:$CD$12,5,FALSE)</f>
        <v>58</v>
      </c>
      <c r="AF19" s="230">
        <f>T19-HLOOKUP(V19,[3]Minimas!$C$3:$CD$12,6,FALSE)</f>
        <v>43</v>
      </c>
      <c r="AG19" s="230">
        <f>T19-HLOOKUP(V19,[3]Minimas!$C$3:$CD$12,7,FALSE)</f>
        <v>28</v>
      </c>
      <c r="AH19" s="230">
        <f>T19-HLOOKUP(V19,[3]Minimas!$C$3:$CD$12,8,FALSE)</f>
        <v>13</v>
      </c>
      <c r="AI19" s="230">
        <f>T19-HLOOKUP(V19,[3]Minimas!$C$3:$CD$12,9,FALSE)</f>
        <v>-2</v>
      </c>
      <c r="AJ19" s="230">
        <f>T19-HLOOKUP(V19,[3]Minimas!$C$3:$CD$12,10,FALSE)</f>
        <v>-132</v>
      </c>
      <c r="AK19" s="231" t="str">
        <f t="shared" ref="AK19:AK43" si="10">IF(E19=0," ",IF(AJ19&gt;=0,$AJ$5,IF(AI19&gt;=0,$AI$5,IF(AH19&gt;=0,$AH$5,IF(AG19&gt;=0,$AG$5,IF(AF19&gt;=0,$AF$5,IF(AE19&gt;=0,$AE$5,IF(AD19&gt;=0,$AD$5,IF(AC19&gt;=0,$AC$5,$AB$5)))))))))</f>
        <v>INTB +</v>
      </c>
      <c r="AL19" s="232"/>
      <c r="AM19" s="232" t="str">
        <f t="shared" ref="AM19:AM43" si="11">IF(AK19="","",AK19)</f>
        <v>INTB +</v>
      </c>
      <c r="AN19" s="232">
        <f t="shared" ref="AN19:AN43" si="12">IF(E19=0," ",IF(AJ19&gt;=0,AJ19,IF(AI19&gt;=0,AI19,IF(AH19&gt;=0,AH19,IF(AG19&gt;=0,AG19,IF(AF19&gt;=0,AF19,IF(AE19&gt;=0,AE19,IF(AD19&gt;=0,AD19,IF(AC19&gt;=0,AC19,AB19)))))))))</f>
        <v>13</v>
      </c>
      <c r="AO19" s="232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</row>
    <row r="20" spans="1:124" s="5" customFormat="1" ht="30" customHeight="1" x14ac:dyDescent="0.25">
      <c r="B20" s="516" t="s">
        <v>543</v>
      </c>
      <c r="C20" s="516">
        <v>438946</v>
      </c>
      <c r="D20" s="540"/>
      <c r="E20" s="168" t="s">
        <v>40</v>
      </c>
      <c r="F20" s="143" t="s">
        <v>296</v>
      </c>
      <c r="G20" s="144" t="s">
        <v>297</v>
      </c>
      <c r="H20" s="145">
        <v>2005</v>
      </c>
      <c r="I20" s="671" t="s">
        <v>214</v>
      </c>
      <c r="J20" s="146" t="s">
        <v>41</v>
      </c>
      <c r="K20" s="200">
        <v>46</v>
      </c>
      <c r="L20" s="118">
        <v>41</v>
      </c>
      <c r="M20" s="118">
        <v>-44</v>
      </c>
      <c r="N20" s="118">
        <v>-44</v>
      </c>
      <c r="O20" s="358">
        <f t="shared" si="6"/>
        <v>41</v>
      </c>
      <c r="P20" s="118">
        <v>55</v>
      </c>
      <c r="Q20" s="118">
        <v>58</v>
      </c>
      <c r="R20" s="118">
        <v>60</v>
      </c>
      <c r="S20" s="358">
        <f t="shared" si="7"/>
        <v>60</v>
      </c>
      <c r="T20" s="359">
        <f t="shared" si="2"/>
        <v>101</v>
      </c>
      <c r="U20" s="360" t="str">
        <f t="shared" si="8"/>
        <v>FED + 1</v>
      </c>
      <c r="V20" s="360" t="str">
        <f>IF(E20=0," ",IF(E20="H",IF(H20&lt;1999,VLOOKUP(K20,[3]Minimas!$A$15:$F$29,6),IF(AND(H20&gt;1998,H20&lt;2002),VLOOKUP(K20,[3]Minimas!$A$15:$F$29,5),IF(AND(H20&gt;2001,H20&lt;2004),VLOOKUP(K20,[3]Minimas!$A$15:$F$29,4),IF(AND(H20&gt;2003,H20&lt;2006),VLOOKUP(K20,[3]Minimas!$A$15:$F$29,3),VLOOKUP(K20,[3]Minimas!$A$15:$F$29,2))))),IF(H20&lt;1999,VLOOKUP(K20,[3]Minimas!$G$15:$L$29,6),IF(AND(H20&gt;1998,H20&lt;2002),VLOOKUP(K20,[3]Minimas!$G$15:$L$29,5),IF(AND(H20&gt;2001,H20&lt;2004),VLOOKUP(K20,[3]Minimas!$G$15:$L$29,4),IF(AND(H20&gt;2003,H20&lt;2006),VLOOKUP(K20,[3]Minimas!$G$15:$L$29,3),VLOOKUP(K20,[3]Minimas!$G$15:$L$29,2)))))))</f>
        <v>U15 M49</v>
      </c>
      <c r="W20" s="361">
        <f t="shared" si="9"/>
        <v>181.39275630294364</v>
      </c>
      <c r="X20" s="257">
        <v>43610</v>
      </c>
      <c r="Y20" s="261" t="s">
        <v>892</v>
      </c>
      <c r="Z20" s="261" t="s">
        <v>829</v>
      </c>
      <c r="AA20" s="232"/>
      <c r="AB20" s="230">
        <f>T20-HLOOKUP(V20,[3]Minimas!$C$3:$CD$12,2,FALSE)</f>
        <v>61</v>
      </c>
      <c r="AC20" s="230">
        <f>T20-HLOOKUP(V20,[3]Minimas!$C$3:$CD$12,3,FALSE)</f>
        <v>46</v>
      </c>
      <c r="AD20" s="230">
        <f>T20-HLOOKUP(V20,[3]Minimas!$C$3:$CD$12,4,FALSE)</f>
        <v>31</v>
      </c>
      <c r="AE20" s="230">
        <f>T20-HLOOKUP(V20,[3]Minimas!$C$3:$CD$12,5,FALSE)</f>
        <v>16</v>
      </c>
      <c r="AF20" s="230">
        <f>T20-HLOOKUP(V20,[3]Minimas!$C$3:$CD$12,6,FALSE)</f>
        <v>1</v>
      </c>
      <c r="AG20" s="230">
        <f>T20-HLOOKUP(V20,[3]Minimas!$C$3:$CD$12,7,FALSE)</f>
        <v>-14</v>
      </c>
      <c r="AH20" s="230">
        <f>T20-HLOOKUP(V20,[3]Minimas!$C$3:$CD$12,8,FALSE)</f>
        <v>-29</v>
      </c>
      <c r="AI20" s="230">
        <f>T20-HLOOKUP(V20,[3]Minimas!$C$3:$CD$12,9,FALSE)</f>
        <v>-44</v>
      </c>
      <c r="AJ20" s="230">
        <f>T20-HLOOKUP(V20,[3]Minimas!$C$3:$CD$12,10,FALSE)</f>
        <v>-174</v>
      </c>
      <c r="AK20" s="231" t="str">
        <f t="shared" si="10"/>
        <v>FED +</v>
      </c>
      <c r="AL20" s="232"/>
      <c r="AM20" s="232" t="str">
        <f t="shared" si="11"/>
        <v>FED +</v>
      </c>
      <c r="AN20" s="232">
        <f t="shared" si="12"/>
        <v>1</v>
      </c>
      <c r="AO20" s="232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38"/>
      <c r="DG20" s="38"/>
      <c r="DH20" s="38"/>
      <c r="DI20" s="38"/>
      <c r="DJ20" s="38"/>
      <c r="DK20" s="38"/>
      <c r="DL20" s="38"/>
      <c r="DM20" s="38"/>
      <c r="DN20" s="38"/>
      <c r="DO20" s="38"/>
      <c r="DP20" s="38"/>
      <c r="DQ20" s="38"/>
      <c r="DR20" s="38"/>
      <c r="DS20" s="38"/>
      <c r="DT20" s="38"/>
    </row>
    <row r="21" spans="1:124" s="5" customFormat="1" ht="30" customHeight="1" x14ac:dyDescent="0.3">
      <c r="B21" s="136" t="s">
        <v>543</v>
      </c>
      <c r="C21" s="704">
        <v>419801</v>
      </c>
      <c r="D21" s="857"/>
      <c r="E21" s="207" t="s">
        <v>40</v>
      </c>
      <c r="F21" s="732" t="s">
        <v>294</v>
      </c>
      <c r="G21" s="279" t="s">
        <v>295</v>
      </c>
      <c r="H21" s="743">
        <v>2005</v>
      </c>
      <c r="I21" s="127" t="s">
        <v>214</v>
      </c>
      <c r="J21" s="191" t="s">
        <v>44</v>
      </c>
      <c r="K21" s="282">
        <v>45.6</v>
      </c>
      <c r="L21" s="109">
        <v>35</v>
      </c>
      <c r="M21" s="130">
        <v>-38</v>
      </c>
      <c r="N21" s="109">
        <v>40</v>
      </c>
      <c r="O21" s="490">
        <f t="shared" si="6"/>
        <v>40</v>
      </c>
      <c r="P21" s="133">
        <v>40</v>
      </c>
      <c r="Q21" s="133">
        <v>44</v>
      </c>
      <c r="R21" s="133">
        <v>48</v>
      </c>
      <c r="S21" s="490">
        <f t="shared" si="7"/>
        <v>48</v>
      </c>
      <c r="T21" s="489">
        <f t="shared" si="2"/>
        <v>88</v>
      </c>
      <c r="U21" s="48" t="str">
        <f t="shared" si="8"/>
        <v>IRG + 3</v>
      </c>
      <c r="V21" s="48" t="str">
        <f>IF(E21=0," ",IF(E21="H",IF(H21&lt;1999,VLOOKUP(K21,Minimas!$A$15:$F$29,6),IF(AND(H21&gt;1998,H21&lt;2002),VLOOKUP(K21,Minimas!$A$15:$F$29,5),IF(AND(H21&gt;2001,H21&lt;2004),VLOOKUP(K21,Minimas!$A$15:$F$29,4),IF(AND(H21&gt;2003,H21&lt;2006),VLOOKUP(K21,Minimas!$A$15:$F$29,3),VLOOKUP(K21,Minimas!$A$15:$F$29,2))))),IF(H21&lt;1999,VLOOKUP(K21,Minimas!$G$15:$L$29,6),IF(AND(H21&gt;1998,H21&lt;2002),VLOOKUP(K21,Minimas!$G$15:$L$29,5),IF(AND(H21&gt;2001,H21&lt;2004),VLOOKUP(K21,Minimas!$G$15:$L$29,4),IF(AND(H21&gt;2003,H21&lt;2006),VLOOKUP(K21,Minimas!$G$15:$L$29,3),VLOOKUP(K21,Minimas!$G$15:$L$29,2)))))))</f>
        <v>U15 M49</v>
      </c>
      <c r="W21" s="49">
        <f t="shared" si="9"/>
        <v>159.26094711035438</v>
      </c>
      <c r="X21" s="184">
        <v>43401</v>
      </c>
      <c r="Y21" s="284" t="s">
        <v>507</v>
      </c>
      <c r="Z21" s="284" t="s">
        <v>506</v>
      </c>
      <c r="AA21" s="232"/>
      <c r="AB21" s="230">
        <f>T21-HLOOKUP(V21,Minimas!$C$3:$CD$12,2,FALSE)</f>
        <v>48</v>
      </c>
      <c r="AC21" s="230">
        <f>T21-HLOOKUP(V21,Minimas!$C$3:$CD$12,3,FALSE)</f>
        <v>33</v>
      </c>
      <c r="AD21" s="230">
        <f>T21-HLOOKUP(V21,Minimas!$C$3:$CD$12,4,FALSE)</f>
        <v>18</v>
      </c>
      <c r="AE21" s="230">
        <f>T21-HLOOKUP(V21,Minimas!$C$3:$CD$12,5,FALSE)</f>
        <v>3</v>
      </c>
      <c r="AF21" s="230">
        <f>T21-HLOOKUP(V21,Minimas!$C$3:$CD$12,6,FALSE)</f>
        <v>-12</v>
      </c>
      <c r="AG21" s="230">
        <f>T21-HLOOKUP(V21,Minimas!$C$3:$CD$12,7,FALSE)</f>
        <v>-27</v>
      </c>
      <c r="AH21" s="230">
        <f>T21-HLOOKUP(V21,Minimas!$C$3:$CD$12,8,FALSE)</f>
        <v>-42</v>
      </c>
      <c r="AI21" s="230">
        <f>T21-HLOOKUP(V21,Minimas!$C$3:$CD$12,9,FALSE)</f>
        <v>-57</v>
      </c>
      <c r="AJ21" s="230">
        <f>T21-HLOOKUP(V21,Minimas!$C$3:$CD$12,10,FALSE)</f>
        <v>-187</v>
      </c>
      <c r="AK21" s="231" t="str">
        <f t="shared" si="10"/>
        <v>IRG +</v>
      </c>
      <c r="AL21" s="232"/>
      <c r="AM21" s="232" t="str">
        <f t="shared" si="11"/>
        <v>IRG +</v>
      </c>
      <c r="AN21" s="232">
        <f t="shared" si="12"/>
        <v>3</v>
      </c>
      <c r="AO21" s="232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38"/>
      <c r="DG21" s="38"/>
      <c r="DH21" s="38"/>
      <c r="DI21" s="38"/>
      <c r="DJ21" s="38"/>
      <c r="DK21" s="38"/>
      <c r="DL21" s="38"/>
      <c r="DM21" s="38"/>
      <c r="DN21" s="38"/>
      <c r="DO21" s="38"/>
      <c r="DP21" s="38"/>
      <c r="DQ21" s="38"/>
      <c r="DR21" s="38"/>
      <c r="DS21" s="38"/>
      <c r="DT21" s="38"/>
    </row>
    <row r="22" spans="1:124" s="5" customFormat="1" ht="30" customHeight="1" x14ac:dyDescent="0.25">
      <c r="A22" s="1"/>
      <c r="B22" s="136" t="s">
        <v>543</v>
      </c>
      <c r="C22" s="166">
        <v>434945</v>
      </c>
      <c r="D22" s="167"/>
      <c r="E22" s="476" t="s">
        <v>40</v>
      </c>
      <c r="F22" s="143" t="s">
        <v>722</v>
      </c>
      <c r="G22" s="144" t="s">
        <v>266</v>
      </c>
      <c r="H22" s="145">
        <v>2004</v>
      </c>
      <c r="I22" s="172" t="s">
        <v>129</v>
      </c>
      <c r="J22" s="155" t="s">
        <v>44</v>
      </c>
      <c r="K22" s="200">
        <v>42.3</v>
      </c>
      <c r="L22" s="118">
        <v>33</v>
      </c>
      <c r="M22" s="148">
        <v>-35</v>
      </c>
      <c r="N22" s="118">
        <v>35</v>
      </c>
      <c r="O22" s="490">
        <f t="shared" si="6"/>
        <v>35</v>
      </c>
      <c r="P22" s="148">
        <v>-40</v>
      </c>
      <c r="Q22" s="118">
        <v>40</v>
      </c>
      <c r="R22" s="118">
        <v>45</v>
      </c>
      <c r="S22" s="490">
        <f t="shared" si="7"/>
        <v>45</v>
      </c>
      <c r="T22" s="489">
        <f>IF(E22="","",O22+S22)</f>
        <v>80</v>
      </c>
      <c r="U22" s="48" t="str">
        <f t="shared" si="8"/>
        <v>REG + 10</v>
      </c>
      <c r="V22" s="48" t="str">
        <f>IF(E22=0," ",IF(E22="H",IF(H22&lt;1999,VLOOKUP(K22,[21]Minimas!$A$15:$F$29,6),IF(AND(H22&gt;1998,H22&lt;2002),VLOOKUP(K22,[21]Minimas!$A$15:$F$29,5),IF(AND(H22&gt;2001,H22&lt;2004),VLOOKUP(K22,[21]Minimas!$A$15:$F$29,4),IF(AND(H22&gt;2003,H22&lt;2006),VLOOKUP(K22,[21]Minimas!$A$15:$F$29,3),VLOOKUP(K22,[21]Minimas!$A$15:$F$29,2))))),IF(H22&lt;1999,VLOOKUP(K22,[21]Minimas!$G$15:$L$29,6),IF(AND(H22&gt;1998,H22&lt;2002),VLOOKUP(K22,[21]Minimas!$G$15:$L$29,5),IF(AND(H22&gt;2001,H22&lt;2004),VLOOKUP(K22,[21]Minimas!$G$15:$L$29,4),IF(AND(H22&gt;2003,H22&lt;2006),VLOOKUP(K22,[21]Minimas!$G$15:$L$29,3),VLOOKUP(K22,[21]Minimas!$G$15:$L$29,2)))))))</f>
        <v>U15 M49</v>
      </c>
      <c r="W22" s="49">
        <f t="shared" si="9"/>
        <v>154.96565609584866</v>
      </c>
      <c r="X22" s="257">
        <v>43540</v>
      </c>
      <c r="Y22" s="261" t="s">
        <v>714</v>
      </c>
      <c r="Z22" s="261" t="s">
        <v>704</v>
      </c>
      <c r="AA22" s="463"/>
      <c r="AB22" s="230">
        <f>T22-HLOOKUP(V22,Minimas!$C$3:$CD$12,2,FALSE)</f>
        <v>40</v>
      </c>
      <c r="AC22" s="230">
        <f>T22-HLOOKUP(V22,Minimas!$C$3:$CD$12,3,FALSE)</f>
        <v>25</v>
      </c>
      <c r="AD22" s="230">
        <f>T22-HLOOKUP(V22,Minimas!$C$3:$CD$12,4,FALSE)</f>
        <v>10</v>
      </c>
      <c r="AE22" s="230">
        <f>T22-HLOOKUP(V22,Minimas!$C$3:$CD$12,5,FALSE)</f>
        <v>-5</v>
      </c>
      <c r="AF22" s="230">
        <f>T22-HLOOKUP(V22,Minimas!$C$3:$CD$12,6,FALSE)</f>
        <v>-20</v>
      </c>
      <c r="AG22" s="230">
        <f>T22-HLOOKUP(V22,Minimas!$C$3:$CD$12,7,FALSE)</f>
        <v>-35</v>
      </c>
      <c r="AH22" s="230">
        <f>T22-HLOOKUP(V22,Minimas!$C$3:$CD$12,8,FALSE)</f>
        <v>-50</v>
      </c>
      <c r="AI22" s="230">
        <f>T22-HLOOKUP(V22,Minimas!$C$3:$CD$12,9,FALSE)</f>
        <v>-65</v>
      </c>
      <c r="AJ22" s="230">
        <f>T22-HLOOKUP(V22,Minimas!$C$3:$CD$12,10,FALSE)</f>
        <v>-195</v>
      </c>
      <c r="AK22" s="231" t="str">
        <f t="shared" si="10"/>
        <v>REG +</v>
      </c>
      <c r="AL22" s="232"/>
      <c r="AM22" s="232" t="str">
        <f t="shared" si="11"/>
        <v>REG +</v>
      </c>
      <c r="AN22" s="232">
        <f t="shared" si="12"/>
        <v>10</v>
      </c>
      <c r="AO22" s="463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</row>
    <row r="23" spans="1:124" s="5" customFormat="1" ht="30" customHeight="1" x14ac:dyDescent="0.25">
      <c r="B23" s="685" t="s">
        <v>543</v>
      </c>
      <c r="C23" s="166">
        <v>450321</v>
      </c>
      <c r="D23" s="167"/>
      <c r="E23" s="476" t="s">
        <v>40</v>
      </c>
      <c r="F23" s="217" t="s">
        <v>814</v>
      </c>
      <c r="G23" s="144" t="s">
        <v>815</v>
      </c>
      <c r="H23" s="218">
        <v>2005</v>
      </c>
      <c r="I23" s="169" t="s">
        <v>155</v>
      </c>
      <c r="J23" s="168" t="s">
        <v>44</v>
      </c>
      <c r="K23" s="200">
        <v>43</v>
      </c>
      <c r="L23" s="118">
        <v>29</v>
      </c>
      <c r="M23" s="148">
        <v>-31</v>
      </c>
      <c r="N23" s="118">
        <v>31</v>
      </c>
      <c r="O23" s="490">
        <f t="shared" si="6"/>
        <v>31</v>
      </c>
      <c r="P23" s="118">
        <v>35</v>
      </c>
      <c r="Q23" s="118">
        <v>37</v>
      </c>
      <c r="R23" s="118">
        <v>39</v>
      </c>
      <c r="S23" s="490">
        <f t="shared" si="7"/>
        <v>39</v>
      </c>
      <c r="T23" s="489">
        <f>IF(E23="","",IF(OR(O23=0,S23=0),0,O23+S23))</f>
        <v>70</v>
      </c>
      <c r="U23" s="48" t="str">
        <f t="shared" si="8"/>
        <v>REG + 0</v>
      </c>
      <c r="V23" s="48" t="str">
        <f>IF(E23=0," ",IF(E23="H",IF(H23&lt;1999,VLOOKUP(K23,[5]Minimas!$A$15:$F$29,6),IF(AND(H23&gt;1998,H23&lt;2002),VLOOKUP(K23,[5]Minimas!$A$15:$F$29,5),IF(AND(H23&gt;2001,H23&lt;2004),VLOOKUP(K23,[5]Minimas!$A$15:$F$29,4),IF(AND(H23&gt;2003,H23&lt;2006),VLOOKUP(K23,[5]Minimas!$A$15:$F$29,3),VLOOKUP(K23,[5]Minimas!$A$15:$F$29,2))))),IF(H23&lt;1999,VLOOKUP(K23,[5]Minimas!$G$15:$L$29,6),IF(AND(H23&gt;1998,H23&lt;2002),VLOOKUP(K23,[5]Minimas!$G$15:$L$29,5),IF(AND(H23&gt;2001,H23&lt;2004),VLOOKUP(K23,[5]Minimas!$G$15:$L$29,4),IF(AND(H23&gt;2003,H23&lt;2006),VLOOKUP(K23,[5]Minimas!$G$15:$L$29,3),VLOOKUP(K23,[5]Minimas!$G$15:$L$29,2)))))))</f>
        <v>U15 M49</v>
      </c>
      <c r="W23" s="49">
        <f t="shared" si="9"/>
        <v>133.55412615369522</v>
      </c>
      <c r="X23" s="257">
        <v>43555</v>
      </c>
      <c r="Y23" s="261" t="s">
        <v>805</v>
      </c>
      <c r="Z23" s="261" t="s">
        <v>806</v>
      </c>
      <c r="AA23" s="232"/>
      <c r="AB23" s="230">
        <f>T23-HLOOKUP(V23,[5]Minimas!$C$3:$CD$12,2,FALSE)</f>
        <v>30</v>
      </c>
      <c r="AC23" s="230">
        <f>T23-HLOOKUP(V23,[5]Minimas!$C$3:$CD$12,3,FALSE)</f>
        <v>15</v>
      </c>
      <c r="AD23" s="230">
        <f>T23-HLOOKUP(V23,[5]Minimas!$C$3:$CD$12,4,FALSE)</f>
        <v>0</v>
      </c>
      <c r="AE23" s="230">
        <f>T23-HLOOKUP(V23,[5]Minimas!$C$3:$CD$12,5,FALSE)</f>
        <v>-15</v>
      </c>
      <c r="AF23" s="230">
        <f>T23-HLOOKUP(V23,[5]Minimas!$C$3:$CD$12,6,FALSE)</f>
        <v>-30</v>
      </c>
      <c r="AG23" s="230">
        <f>T23-HLOOKUP(V23,[5]Minimas!$C$3:$CD$12,7,FALSE)</f>
        <v>-45</v>
      </c>
      <c r="AH23" s="230">
        <f>T23-HLOOKUP(V23,[5]Minimas!$C$3:$CD$12,8,FALSE)</f>
        <v>-60</v>
      </c>
      <c r="AI23" s="230">
        <f>T23-HLOOKUP(V23,[5]Minimas!$C$3:$CD$12,9,FALSE)</f>
        <v>-75</v>
      </c>
      <c r="AJ23" s="230">
        <f>T23-HLOOKUP(V23,[5]Minimas!$C$3:$CD$12,10,FALSE)</f>
        <v>-205</v>
      </c>
      <c r="AK23" s="231" t="str">
        <f t="shared" si="10"/>
        <v>REG +</v>
      </c>
      <c r="AL23" s="232"/>
      <c r="AM23" s="232" t="str">
        <f t="shared" si="11"/>
        <v>REG +</v>
      </c>
      <c r="AN23" s="232">
        <f t="shared" si="12"/>
        <v>0</v>
      </c>
      <c r="AO23" s="232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38"/>
      <c r="CN23" s="38"/>
      <c r="CO23" s="38"/>
      <c r="CP23" s="38"/>
      <c r="CQ23" s="38"/>
      <c r="CR23" s="38"/>
      <c r="CS23" s="38"/>
      <c r="CT23" s="38"/>
      <c r="CU23" s="38"/>
      <c r="CV23" s="38"/>
      <c r="CW23" s="38"/>
      <c r="CX23" s="38"/>
      <c r="CY23" s="38"/>
      <c r="CZ23" s="38"/>
      <c r="DA23" s="38"/>
      <c r="DB23" s="38"/>
      <c r="DC23" s="38"/>
      <c r="DD23" s="38"/>
      <c r="DE23" s="38"/>
      <c r="DF23" s="38"/>
      <c r="DG23" s="38"/>
      <c r="DH23" s="38"/>
      <c r="DI23" s="38"/>
      <c r="DJ23" s="38"/>
      <c r="DK23" s="38"/>
      <c r="DL23" s="38"/>
      <c r="DM23" s="38"/>
      <c r="DN23" s="38"/>
      <c r="DO23" s="38"/>
      <c r="DP23" s="38"/>
      <c r="DQ23" s="38"/>
      <c r="DR23" s="38"/>
      <c r="DS23" s="38"/>
      <c r="DT23" s="38"/>
    </row>
    <row r="24" spans="1:124" s="5" customFormat="1" ht="30" customHeight="1" x14ac:dyDescent="0.25">
      <c r="A24" s="1"/>
      <c r="B24" s="136" t="s">
        <v>543</v>
      </c>
      <c r="C24" s="516">
        <v>440420</v>
      </c>
      <c r="D24" s="167"/>
      <c r="E24" s="476" t="s">
        <v>40</v>
      </c>
      <c r="F24" s="143" t="s">
        <v>786</v>
      </c>
      <c r="G24" s="144" t="s">
        <v>787</v>
      </c>
      <c r="H24" s="145">
        <v>2005</v>
      </c>
      <c r="I24" s="172" t="s">
        <v>214</v>
      </c>
      <c r="J24" s="146" t="s">
        <v>44</v>
      </c>
      <c r="K24" s="200">
        <v>48.5</v>
      </c>
      <c r="L24" s="118">
        <v>23</v>
      </c>
      <c r="M24" s="118">
        <v>25</v>
      </c>
      <c r="N24" s="118">
        <v>27</v>
      </c>
      <c r="O24" s="358">
        <f t="shared" si="6"/>
        <v>27</v>
      </c>
      <c r="P24" s="118">
        <v>30</v>
      </c>
      <c r="Q24" s="118">
        <v>33</v>
      </c>
      <c r="R24" s="118">
        <v>36</v>
      </c>
      <c r="S24" s="358">
        <f t="shared" si="7"/>
        <v>36</v>
      </c>
      <c r="T24" s="359">
        <f>IF(E24="","",O24+S24)</f>
        <v>63</v>
      </c>
      <c r="U24" s="360" t="str">
        <f t="shared" si="8"/>
        <v>DPT + 8</v>
      </c>
      <c r="V24" s="360" t="str">
        <f>IF(E24=0," ",IF(E24="H",IF(H24&lt;1999,VLOOKUP(K24,[22]Minimas!$A$15:$F$29,6),IF(AND(H24&gt;1998,H24&lt;2002),VLOOKUP(K24,[22]Minimas!$A$15:$F$29,5),IF(AND(H24&gt;2001,H24&lt;2004),VLOOKUP(K24,[22]Minimas!$A$15:$F$29,4),IF(AND(H24&gt;2003,H24&lt;2006),VLOOKUP(K24,[22]Minimas!$A$15:$F$29,3),VLOOKUP(K24,[22]Minimas!$A$15:$F$29,2))))),IF(H24&lt;1999,VLOOKUP(K24,[22]Minimas!$G$15:$L$29,6),IF(AND(H24&gt;1998,H24&lt;2002),VLOOKUP(K24,[22]Minimas!$G$15:$L$29,5),IF(AND(H24&gt;2001,H24&lt;2004),VLOOKUP(K24,[22]Minimas!$G$15:$L$29,4),IF(AND(H24&gt;2003,H24&lt;2006),VLOOKUP(K24,[22]Minimas!$G$15:$L$29,3),VLOOKUP(K24,[22]Minimas!$G$15:$L$29,2)))))))</f>
        <v>U15 M49</v>
      </c>
      <c r="W24" s="361">
        <f t="shared" si="9"/>
        <v>108.127281233454</v>
      </c>
      <c r="X24" s="257">
        <v>43540</v>
      </c>
      <c r="Y24" s="261" t="s">
        <v>714</v>
      </c>
      <c r="Z24" s="261" t="s">
        <v>511</v>
      </c>
      <c r="AA24" s="463"/>
      <c r="AB24" s="230">
        <f>T24-HLOOKUP(V24,Minimas!$C$3:$CD$12,2,FALSE)</f>
        <v>23</v>
      </c>
      <c r="AC24" s="230">
        <f>T24-HLOOKUP(V24,Minimas!$C$3:$CD$12,3,FALSE)</f>
        <v>8</v>
      </c>
      <c r="AD24" s="230">
        <f>T24-HLOOKUP(V24,Minimas!$C$3:$CD$12,4,FALSE)</f>
        <v>-7</v>
      </c>
      <c r="AE24" s="230">
        <f>T24-HLOOKUP(V24,Minimas!$C$3:$CD$12,5,FALSE)</f>
        <v>-22</v>
      </c>
      <c r="AF24" s="230">
        <f>T24-HLOOKUP(V24,Minimas!$C$3:$CD$12,6,FALSE)</f>
        <v>-37</v>
      </c>
      <c r="AG24" s="230">
        <f>T24-HLOOKUP(V24,Minimas!$C$3:$CD$12,7,FALSE)</f>
        <v>-52</v>
      </c>
      <c r="AH24" s="230">
        <f>T24-HLOOKUP(V24,Minimas!$C$3:$CD$12,8,FALSE)</f>
        <v>-67</v>
      </c>
      <c r="AI24" s="230">
        <f>T24-HLOOKUP(V24,Minimas!$C$3:$CD$12,9,FALSE)</f>
        <v>-82</v>
      </c>
      <c r="AJ24" s="230">
        <f>T24-HLOOKUP(V24,Minimas!$C$3:$CD$12,10,FALSE)</f>
        <v>-212</v>
      </c>
      <c r="AK24" s="231" t="str">
        <f t="shared" si="10"/>
        <v>DPT +</v>
      </c>
      <c r="AL24" s="232"/>
      <c r="AM24" s="232" t="str">
        <f t="shared" si="11"/>
        <v>DPT +</v>
      </c>
      <c r="AN24" s="232">
        <f t="shared" si="12"/>
        <v>8</v>
      </c>
      <c r="AO24" s="463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4"/>
      <c r="DQ24" s="34"/>
      <c r="DR24" s="34"/>
      <c r="DS24" s="34"/>
      <c r="DT24" s="34"/>
    </row>
    <row r="25" spans="1:124" s="5" customFormat="1" ht="30" customHeight="1" x14ac:dyDescent="0.25">
      <c r="A25" s="484"/>
      <c r="B25" s="524" t="s">
        <v>543</v>
      </c>
      <c r="C25" s="524">
        <v>448331</v>
      </c>
      <c r="D25" s="530"/>
      <c r="E25" s="476" t="s">
        <v>40</v>
      </c>
      <c r="F25" s="544" t="s">
        <v>236</v>
      </c>
      <c r="G25" s="551" t="s">
        <v>674</v>
      </c>
      <c r="H25" s="215">
        <v>2004</v>
      </c>
      <c r="I25" s="569" t="s">
        <v>139</v>
      </c>
      <c r="J25" s="146" t="s">
        <v>44</v>
      </c>
      <c r="K25" s="587">
        <v>54.8</v>
      </c>
      <c r="L25" s="118">
        <v>45</v>
      </c>
      <c r="M25" s="240">
        <v>-48</v>
      </c>
      <c r="N25" s="118">
        <v>48</v>
      </c>
      <c r="O25" s="358">
        <f t="shared" si="6"/>
        <v>48</v>
      </c>
      <c r="P25" s="118">
        <v>57</v>
      </c>
      <c r="Q25" s="240">
        <v>-60</v>
      </c>
      <c r="R25" s="118">
        <v>60</v>
      </c>
      <c r="S25" s="358">
        <f t="shared" si="7"/>
        <v>60</v>
      </c>
      <c r="T25" s="359">
        <f t="shared" ref="T25:T36" si="13">IF(E25="","",IF(OR(O25=0,S25=0),0,O25+S25))</f>
        <v>108</v>
      </c>
      <c r="U25" s="360" t="str">
        <f t="shared" si="8"/>
        <v>IRG + 8</v>
      </c>
      <c r="V25" s="360" t="str">
        <f>IF(E25=0," ",IF(E25="H",IF(H25&lt;1999,VLOOKUP(K25,[14]Minimas!$A$15:$F$29,6),IF(AND(H25&gt;1998,H25&lt;2002),VLOOKUP(K25,[14]Minimas!$A$15:$F$29,5),IF(AND(H25&gt;2001,H25&lt;2004),VLOOKUP(K25,[14]Minimas!$A$15:$F$29,4),IF(AND(H25&gt;2003,H25&lt;2006),VLOOKUP(K25,[14]Minimas!$A$15:$F$29,3),VLOOKUP(K25,[14]Minimas!$A$15:$F$29,2))))),IF(H25&lt;1999,VLOOKUP(K25,[14]Minimas!$G$15:$L$29,6),IF(AND(H25&gt;1998,H25&lt;2002),VLOOKUP(K25,[14]Minimas!$G$15:$L$29,5),IF(AND(H25&gt;2001,H25&lt;2004),VLOOKUP(K25,[14]Minimas!$G$15:$L$29,4),IF(AND(H25&gt;2003,H25&lt;2006),VLOOKUP(K25,[14]Minimas!$G$15:$L$29,3),VLOOKUP(K25,[14]Minimas!$G$15:$L$29,2)))))))</f>
        <v>U15 M55</v>
      </c>
      <c r="W25" s="361">
        <f t="shared" si="9"/>
        <v>168.10510157014835</v>
      </c>
      <c r="X25" s="257">
        <v>43562</v>
      </c>
      <c r="Y25" s="261" t="s">
        <v>846</v>
      </c>
      <c r="Z25" s="261" t="s">
        <v>806</v>
      </c>
      <c r="AA25" s="232"/>
      <c r="AB25" s="230">
        <f>T25-HLOOKUP(V25,[14]Minimas!$C$3:$CD$12,2,FALSE)</f>
        <v>53</v>
      </c>
      <c r="AC25" s="230">
        <f>T25-HLOOKUP(V25,[14]Minimas!$C$3:$CD$12,3,FALSE)</f>
        <v>38</v>
      </c>
      <c r="AD25" s="230">
        <f>T25-HLOOKUP(V25,[14]Minimas!$C$3:$CD$12,4,FALSE)</f>
        <v>23</v>
      </c>
      <c r="AE25" s="230">
        <f>T25-HLOOKUP(V25,[14]Minimas!$C$3:$CD$12,5,FALSE)</f>
        <v>8</v>
      </c>
      <c r="AF25" s="230">
        <f>T25-HLOOKUP(V25,[14]Minimas!$C$3:$CD$12,6,FALSE)</f>
        <v>-7</v>
      </c>
      <c r="AG25" s="230">
        <f>T25-HLOOKUP(V25,[14]Minimas!$C$3:$CD$12,7,FALSE)</f>
        <v>-22</v>
      </c>
      <c r="AH25" s="230">
        <f>T25-HLOOKUP(V25,[14]Minimas!$C$3:$CD$12,8,FALSE)</f>
        <v>-42</v>
      </c>
      <c r="AI25" s="230">
        <f>T25-HLOOKUP(V25,[14]Minimas!$C$3:$CD$12,9,FALSE)</f>
        <v>-62</v>
      </c>
      <c r="AJ25" s="230">
        <f>T25-HLOOKUP(V25,[14]Minimas!$C$3:$CD$12,10,FALSE)</f>
        <v>-167</v>
      </c>
      <c r="AK25" s="231" t="str">
        <f t="shared" si="10"/>
        <v>IRG +</v>
      </c>
      <c r="AL25" s="232"/>
      <c r="AM25" s="232" t="str">
        <f t="shared" si="11"/>
        <v>IRG +</v>
      </c>
      <c r="AN25" s="232">
        <f t="shared" si="12"/>
        <v>8</v>
      </c>
      <c r="AO25" s="232"/>
      <c r="AP25" s="485"/>
      <c r="AQ25" s="485"/>
      <c r="AR25" s="485"/>
      <c r="AS25" s="485"/>
      <c r="AT25" s="485"/>
      <c r="AU25" s="485"/>
      <c r="AV25" s="485"/>
      <c r="AW25" s="485"/>
      <c r="AX25" s="485"/>
      <c r="AY25" s="485"/>
      <c r="AZ25" s="485"/>
      <c r="BA25" s="485"/>
      <c r="BB25" s="485"/>
      <c r="BC25" s="485"/>
      <c r="BD25" s="485"/>
      <c r="BE25" s="485"/>
      <c r="BF25" s="485"/>
      <c r="BG25" s="485"/>
      <c r="BH25" s="485"/>
      <c r="BI25" s="485"/>
      <c r="BJ25" s="485"/>
      <c r="BK25" s="485"/>
      <c r="BL25" s="485"/>
      <c r="BM25" s="485"/>
      <c r="BN25" s="485"/>
      <c r="BO25" s="485"/>
      <c r="BP25" s="485"/>
      <c r="BQ25" s="485"/>
      <c r="BR25" s="485"/>
      <c r="BS25" s="485"/>
      <c r="BT25" s="485"/>
      <c r="BU25" s="485"/>
      <c r="BV25" s="485"/>
      <c r="BW25" s="485"/>
      <c r="BX25" s="485"/>
      <c r="BY25" s="485"/>
      <c r="BZ25" s="485"/>
      <c r="CA25" s="485"/>
      <c r="CB25" s="485"/>
      <c r="CC25" s="485"/>
      <c r="CD25" s="485"/>
      <c r="CE25" s="485"/>
      <c r="CF25" s="485"/>
      <c r="CG25" s="485"/>
      <c r="CH25" s="485"/>
      <c r="CI25" s="485"/>
      <c r="CJ25" s="485"/>
      <c r="CK25" s="485"/>
      <c r="CL25" s="485"/>
      <c r="CM25" s="485"/>
      <c r="CN25" s="485"/>
      <c r="CO25" s="485"/>
      <c r="CP25" s="485"/>
      <c r="CQ25" s="485"/>
      <c r="CR25" s="485"/>
      <c r="CS25" s="485"/>
      <c r="CT25" s="485"/>
      <c r="CU25" s="485"/>
      <c r="CV25" s="485"/>
      <c r="CW25" s="485"/>
      <c r="CX25" s="485"/>
      <c r="CY25" s="485"/>
      <c r="CZ25" s="485"/>
      <c r="DA25" s="485"/>
      <c r="DB25" s="485"/>
      <c r="DC25" s="485"/>
      <c r="DD25" s="485"/>
      <c r="DE25" s="485"/>
      <c r="DF25" s="485"/>
      <c r="DG25" s="485"/>
      <c r="DH25" s="485"/>
      <c r="DI25" s="485"/>
      <c r="DJ25" s="485"/>
      <c r="DK25" s="485"/>
      <c r="DL25" s="485"/>
      <c r="DM25" s="485"/>
      <c r="DN25" s="485"/>
      <c r="DO25" s="485"/>
      <c r="DP25" s="485"/>
      <c r="DQ25" s="485"/>
      <c r="DR25" s="485"/>
      <c r="DS25" s="485"/>
      <c r="DT25" s="485"/>
    </row>
    <row r="26" spans="1:124" s="5" customFormat="1" ht="30" customHeight="1" x14ac:dyDescent="0.25">
      <c r="B26" s="516" t="s">
        <v>543</v>
      </c>
      <c r="C26" s="524">
        <v>401154</v>
      </c>
      <c r="D26" s="530"/>
      <c r="E26" s="476" t="s">
        <v>40</v>
      </c>
      <c r="F26" s="728" t="s">
        <v>169</v>
      </c>
      <c r="G26" s="735" t="s">
        <v>890</v>
      </c>
      <c r="H26" s="215">
        <v>2004</v>
      </c>
      <c r="I26" s="564" t="s">
        <v>170</v>
      </c>
      <c r="J26" s="146" t="s">
        <v>44</v>
      </c>
      <c r="K26" s="200">
        <v>60.68</v>
      </c>
      <c r="L26" s="118">
        <v>72</v>
      </c>
      <c r="M26" s="118">
        <v>75</v>
      </c>
      <c r="N26" s="118">
        <v>77</v>
      </c>
      <c r="O26" s="358">
        <f t="shared" si="6"/>
        <v>77</v>
      </c>
      <c r="P26" s="118">
        <v>90</v>
      </c>
      <c r="Q26" s="118">
        <v>95</v>
      </c>
      <c r="R26" s="118">
        <v>-100</v>
      </c>
      <c r="S26" s="358">
        <f t="shared" si="7"/>
        <v>95</v>
      </c>
      <c r="T26" s="359">
        <f t="shared" si="13"/>
        <v>172</v>
      </c>
      <c r="U26" s="360" t="str">
        <f t="shared" si="8"/>
        <v>INTB + 2</v>
      </c>
      <c r="V26" s="360" t="str">
        <f>IF(E26=0," ",IF(E26="H",IF(H26&lt;1999,VLOOKUP(K26,[3]Minimas!$A$15:$F$29,6),IF(AND(H26&gt;1998,H26&lt;2002),VLOOKUP(K26,[3]Minimas!$A$15:$F$29,5),IF(AND(H26&gt;2001,H26&lt;2004),VLOOKUP(K26,[3]Minimas!$A$15:$F$29,4),IF(AND(H26&gt;2003,H26&lt;2006),VLOOKUP(K26,[3]Minimas!$A$15:$F$29,3),VLOOKUP(K26,[3]Minimas!$A$15:$F$29,2))))),IF(H26&lt;1999,VLOOKUP(K26,[3]Minimas!$G$15:$L$29,6),IF(AND(H26&gt;1998,H26&lt;2002),VLOOKUP(K26,[3]Minimas!$G$15:$L$29,5),IF(AND(H26&gt;2001,H26&lt;2004),VLOOKUP(K26,[3]Minimas!$G$15:$L$29,4),IF(AND(H26&gt;2003,H26&lt;2006),VLOOKUP(K26,[3]Minimas!$G$15:$L$29,3),VLOOKUP(K26,[3]Minimas!$G$15:$L$29,2)))))))</f>
        <v>U15 M61</v>
      </c>
      <c r="W26" s="361">
        <f t="shared" si="9"/>
        <v>248.60328328290981</v>
      </c>
      <c r="X26" s="257">
        <v>43624</v>
      </c>
      <c r="Y26" s="261" t="s">
        <v>886</v>
      </c>
      <c r="Z26" s="261" t="s">
        <v>887</v>
      </c>
      <c r="AA26" s="232"/>
      <c r="AB26" s="230">
        <f>T26-HLOOKUP(V26,[3]Minimas!$C$3:$CD$12,2,FALSE)</f>
        <v>107</v>
      </c>
      <c r="AC26" s="230">
        <f>T26-HLOOKUP(V26,[3]Minimas!$C$3:$CD$12,3,FALSE)</f>
        <v>92</v>
      </c>
      <c r="AD26" s="230">
        <f>T26-HLOOKUP(V26,[3]Minimas!$C$3:$CD$12,4,FALSE)</f>
        <v>72</v>
      </c>
      <c r="AE26" s="230">
        <f>T26-HLOOKUP(V26,[3]Minimas!$C$3:$CD$12,5,FALSE)</f>
        <v>57</v>
      </c>
      <c r="AF26" s="230">
        <f>T26-HLOOKUP(V26,[3]Minimas!$C$3:$CD$12,6,FALSE)</f>
        <v>42</v>
      </c>
      <c r="AG26" s="230">
        <f>T26-HLOOKUP(V26,[3]Minimas!$C$3:$CD$12,7,FALSE)</f>
        <v>22</v>
      </c>
      <c r="AH26" s="230">
        <f>T26-HLOOKUP(V26,[3]Minimas!$C$3:$CD$12,8,FALSE)</f>
        <v>2</v>
      </c>
      <c r="AI26" s="230">
        <f>T26-HLOOKUP(V26,[3]Minimas!$C$3:$CD$12,9,FALSE)</f>
        <v>-18</v>
      </c>
      <c r="AJ26" s="230">
        <f>T26-HLOOKUP(V26,[3]Minimas!$C$3:$CD$12,10,FALSE)</f>
        <v>-103</v>
      </c>
      <c r="AK26" s="231" t="str">
        <f t="shared" si="10"/>
        <v>INTB +</v>
      </c>
      <c r="AL26" s="232"/>
      <c r="AM26" s="232" t="str">
        <f t="shared" si="11"/>
        <v>INTB +</v>
      </c>
      <c r="AN26" s="232">
        <f t="shared" si="12"/>
        <v>2</v>
      </c>
      <c r="AO26" s="232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/>
      <c r="CI26" s="38"/>
      <c r="CJ26" s="38"/>
      <c r="CK26" s="38"/>
      <c r="CL26" s="38"/>
      <c r="CM26" s="38"/>
      <c r="CN26" s="38"/>
      <c r="CO26" s="38"/>
      <c r="CP26" s="38"/>
      <c r="CQ26" s="38"/>
      <c r="CR26" s="38"/>
      <c r="CS26" s="38"/>
      <c r="CT26" s="38"/>
      <c r="CU26" s="38"/>
      <c r="CV26" s="38"/>
      <c r="CW26" s="38"/>
      <c r="CX26" s="38"/>
      <c r="CY26" s="38"/>
      <c r="CZ26" s="38"/>
      <c r="DA26" s="38"/>
      <c r="DB26" s="38"/>
      <c r="DC26" s="38"/>
      <c r="DD26" s="38"/>
      <c r="DE26" s="38"/>
      <c r="DF26" s="38"/>
      <c r="DG26" s="38"/>
      <c r="DH26" s="38"/>
      <c r="DI26" s="38"/>
      <c r="DJ26" s="38"/>
      <c r="DK26" s="38"/>
      <c r="DL26" s="38"/>
      <c r="DM26" s="38"/>
      <c r="DN26" s="38"/>
      <c r="DO26" s="38"/>
      <c r="DP26" s="38"/>
      <c r="DQ26" s="38"/>
      <c r="DR26" s="38"/>
      <c r="DS26" s="38"/>
      <c r="DT26" s="38"/>
    </row>
    <row r="27" spans="1:124" s="5" customFormat="1" ht="30" customHeight="1" x14ac:dyDescent="0.25">
      <c r="B27" s="516" t="s">
        <v>543</v>
      </c>
      <c r="C27" s="172">
        <v>448331</v>
      </c>
      <c r="D27" s="707"/>
      <c r="E27" s="168" t="str">
        <f ca="1">IF(INDIRECT("C"&amp;ROW())="","",MID(INDEX([23]Listing!F$1:F$65536,MATCH(INDIRECT("C"&amp;ROW()),[23]Listing!D$1:D$65536,0)),1,1))</f>
        <v>H</v>
      </c>
      <c r="F27" s="143" t="s">
        <v>236</v>
      </c>
      <c r="G27" s="144" t="s">
        <v>912</v>
      </c>
      <c r="H27" s="145">
        <v>2004</v>
      </c>
      <c r="I27" s="172" t="s">
        <v>139</v>
      </c>
      <c r="J27" s="146" t="s">
        <v>44</v>
      </c>
      <c r="K27" s="200">
        <v>57</v>
      </c>
      <c r="L27" s="118">
        <v>47</v>
      </c>
      <c r="M27" s="118">
        <v>50</v>
      </c>
      <c r="N27" s="118">
        <v>53</v>
      </c>
      <c r="O27" s="358">
        <f t="shared" ca="1" si="6"/>
        <v>53</v>
      </c>
      <c r="P27" s="118">
        <v>59</v>
      </c>
      <c r="Q27" s="118">
        <v>-63</v>
      </c>
      <c r="R27" s="118">
        <v>65</v>
      </c>
      <c r="S27" s="358">
        <f t="shared" ca="1" si="7"/>
        <v>65</v>
      </c>
      <c r="T27" s="359">
        <f t="shared" ca="1" si="13"/>
        <v>118</v>
      </c>
      <c r="U27" s="360" t="str">
        <f t="shared" ca="1" si="8"/>
        <v>IRG + 3</v>
      </c>
      <c r="V27" s="360" t="str">
        <f ca="1">IF(E27=0," ",IF(E27="H",IF(H27&lt;1999,VLOOKUP(K27,[3]Minimas!$A$15:$F$29,6),IF(AND(H27&gt;1998,H27&lt;2002),VLOOKUP(K27,[3]Minimas!$A$15:$F$29,5),IF(AND(H27&gt;2001,H27&lt;2004),VLOOKUP(K27,[3]Minimas!$A$15:$F$29,4),IF(AND(H27&gt;2003,H27&lt;2006),VLOOKUP(K27,[3]Minimas!$A$15:$F$29,3),VLOOKUP(K27,[3]Minimas!$A$15:$F$29,2))))),IF(H27&lt;1999,VLOOKUP(K27,[3]Minimas!$G$15:$L$29,6),IF(AND(H27&gt;1998,H27&lt;2002),VLOOKUP(K27,[3]Minimas!$G$15:$L$29,5),IF(AND(H27&gt;2001,H27&lt;2004),VLOOKUP(K27,[3]Minimas!$G$15:$L$29,4),IF(AND(H27&gt;2003,H27&lt;2006),VLOOKUP(K27,[3]Minimas!$G$15:$L$29,3),VLOOKUP(K27,[3]Minimas!$G$15:$L$29,2)))))))</f>
        <v>U15 M61</v>
      </c>
      <c r="W27" s="361">
        <f t="shared" ca="1" si="9"/>
        <v>178.34588316126883</v>
      </c>
      <c r="X27" s="257">
        <v>43645</v>
      </c>
      <c r="Y27" s="261" t="s">
        <v>910</v>
      </c>
      <c r="Z27" s="261" t="s">
        <v>911</v>
      </c>
      <c r="AA27" s="232"/>
      <c r="AB27" s="230">
        <f ca="1">T27-HLOOKUP(V27,[3]Minimas!$C$3:$CD$12,2,FALSE)</f>
        <v>53</v>
      </c>
      <c r="AC27" s="230">
        <f ca="1">T27-HLOOKUP(V27,[3]Minimas!$C$3:$CD$12,3,FALSE)</f>
        <v>38</v>
      </c>
      <c r="AD27" s="230">
        <f ca="1">T27-HLOOKUP(V27,[3]Minimas!$C$3:$CD$12,4,FALSE)</f>
        <v>18</v>
      </c>
      <c r="AE27" s="230">
        <f ca="1">T27-HLOOKUP(V27,[3]Minimas!$C$3:$CD$12,5,FALSE)</f>
        <v>3</v>
      </c>
      <c r="AF27" s="230">
        <f ca="1">T27-HLOOKUP(V27,[3]Minimas!$C$3:$CD$12,6,FALSE)</f>
        <v>-12</v>
      </c>
      <c r="AG27" s="230">
        <f ca="1">T27-HLOOKUP(V27,[3]Minimas!$C$3:$CD$12,7,FALSE)</f>
        <v>-32</v>
      </c>
      <c r="AH27" s="230">
        <f ca="1">T27-HLOOKUP(V27,[3]Minimas!$C$3:$CD$12,8,FALSE)</f>
        <v>-52</v>
      </c>
      <c r="AI27" s="230">
        <f ca="1">T27-HLOOKUP(V27,[3]Minimas!$C$3:$CD$12,9,FALSE)</f>
        <v>-72</v>
      </c>
      <c r="AJ27" s="230">
        <f ca="1">T27-HLOOKUP(V27,[3]Minimas!$C$3:$CD$12,10,FALSE)</f>
        <v>-157</v>
      </c>
      <c r="AK27" s="231" t="str">
        <f t="shared" ca="1" si="10"/>
        <v>IRG +</v>
      </c>
      <c r="AL27" s="232"/>
      <c r="AM27" s="232" t="str">
        <f t="shared" ca="1" si="11"/>
        <v>IRG +</v>
      </c>
      <c r="AN27" s="232">
        <f t="shared" ca="1" si="12"/>
        <v>3</v>
      </c>
      <c r="AO27" s="232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  <c r="CH27" s="38"/>
      <c r="CI27" s="38"/>
      <c r="CJ27" s="38"/>
      <c r="CK27" s="38"/>
      <c r="CL27" s="38"/>
      <c r="CM27" s="38"/>
      <c r="CN27" s="38"/>
      <c r="CO27" s="38"/>
      <c r="CP27" s="38"/>
      <c r="CQ27" s="38"/>
      <c r="CR27" s="38"/>
      <c r="CS27" s="38"/>
      <c r="CT27" s="38"/>
      <c r="CU27" s="38"/>
      <c r="CV27" s="38"/>
      <c r="CW27" s="38"/>
      <c r="CX27" s="38"/>
      <c r="CY27" s="38"/>
      <c r="CZ27" s="38"/>
      <c r="DA27" s="38"/>
      <c r="DB27" s="38"/>
      <c r="DC27" s="38"/>
      <c r="DD27" s="38"/>
      <c r="DE27" s="38"/>
      <c r="DF27" s="38"/>
      <c r="DG27" s="38"/>
      <c r="DH27" s="38"/>
      <c r="DI27" s="38"/>
      <c r="DJ27" s="38"/>
      <c r="DK27" s="38"/>
      <c r="DL27" s="38"/>
      <c r="DM27" s="38"/>
      <c r="DN27" s="38"/>
      <c r="DO27" s="38"/>
      <c r="DP27" s="38"/>
      <c r="DQ27" s="38"/>
      <c r="DR27" s="38"/>
      <c r="DS27" s="38"/>
      <c r="DT27" s="38"/>
    </row>
    <row r="28" spans="1:124" s="5" customFormat="1" ht="30" customHeight="1" x14ac:dyDescent="0.25">
      <c r="A28" s="484"/>
      <c r="B28" s="516" t="s">
        <v>543</v>
      </c>
      <c r="C28" s="524">
        <v>451260</v>
      </c>
      <c r="D28" s="530"/>
      <c r="E28" s="476" t="s">
        <v>40</v>
      </c>
      <c r="F28" s="728" t="s">
        <v>884</v>
      </c>
      <c r="G28" s="735" t="s">
        <v>885</v>
      </c>
      <c r="H28" s="215">
        <v>2005</v>
      </c>
      <c r="I28" s="564" t="s">
        <v>129</v>
      </c>
      <c r="J28" s="146" t="s">
        <v>44</v>
      </c>
      <c r="K28" s="200">
        <v>59.1</v>
      </c>
      <c r="L28" s="118">
        <v>38</v>
      </c>
      <c r="M28" s="118">
        <v>41</v>
      </c>
      <c r="N28" s="118">
        <v>44</v>
      </c>
      <c r="O28" s="358">
        <f t="shared" si="6"/>
        <v>44</v>
      </c>
      <c r="P28" s="118">
        <v>49</v>
      </c>
      <c r="Q28" s="118">
        <v>53</v>
      </c>
      <c r="R28" s="118">
        <v>56</v>
      </c>
      <c r="S28" s="358">
        <f t="shared" si="7"/>
        <v>56</v>
      </c>
      <c r="T28" s="359">
        <f t="shared" si="13"/>
        <v>100</v>
      </c>
      <c r="U28" s="360" t="str">
        <f t="shared" si="8"/>
        <v>REG + 0</v>
      </c>
      <c r="V28" s="360" t="str">
        <f>IF(E28=0," ",IF(E28="H",IF(H28&lt;1999,VLOOKUP(K28,[3]Minimas!$A$15:$F$29,6),IF(AND(H28&gt;1998,H28&lt;2002),VLOOKUP(K28,[3]Minimas!$A$15:$F$29,5),IF(AND(H28&gt;2001,H28&lt;2004),VLOOKUP(K28,[3]Minimas!$A$15:$F$29,4),IF(AND(H28&gt;2003,H28&lt;2006),VLOOKUP(K28,[3]Minimas!$A$15:$F$29,3),VLOOKUP(K28,[3]Minimas!$A$15:$F$29,2))))),IF(H28&lt;1999,VLOOKUP(K28,[3]Minimas!$G$15:$L$29,6),IF(AND(H28&gt;1998,H28&lt;2002),VLOOKUP(K28,[3]Minimas!$G$15:$L$29,5),IF(AND(H28&gt;2001,H28&lt;2004),VLOOKUP(K28,[3]Minimas!$G$15:$L$29,4),IF(AND(H28&gt;2003,H28&lt;2006),VLOOKUP(K28,[3]Minimas!$G$15:$L$29,3),VLOOKUP(K28,[3]Minimas!$G$15:$L$29,2)))))))</f>
        <v>U15 M61</v>
      </c>
      <c r="W28" s="361">
        <f t="shared" si="9"/>
        <v>147.2398219381233</v>
      </c>
      <c r="X28" s="257">
        <v>43610</v>
      </c>
      <c r="Y28" s="261" t="s">
        <v>881</v>
      </c>
      <c r="Z28" s="261" t="s">
        <v>882</v>
      </c>
      <c r="AA28" s="232"/>
      <c r="AB28" s="230">
        <f>T28-HLOOKUP(V28,[3]Minimas!$C$3:$CD$12,2,FALSE)</f>
        <v>35</v>
      </c>
      <c r="AC28" s="230">
        <f>T28-HLOOKUP(V28,[3]Minimas!$C$3:$CD$12,3,FALSE)</f>
        <v>20</v>
      </c>
      <c r="AD28" s="230">
        <f>T28-HLOOKUP(V28,[3]Minimas!$C$3:$CD$12,4,FALSE)</f>
        <v>0</v>
      </c>
      <c r="AE28" s="230">
        <f>T28-HLOOKUP(V28,[3]Minimas!$C$3:$CD$12,5,FALSE)</f>
        <v>-15</v>
      </c>
      <c r="AF28" s="230">
        <f>T28-HLOOKUP(V28,[3]Minimas!$C$3:$CD$12,6,FALSE)</f>
        <v>-30</v>
      </c>
      <c r="AG28" s="230">
        <f>T28-HLOOKUP(V28,[3]Minimas!$C$3:$CD$12,7,FALSE)</f>
        <v>-50</v>
      </c>
      <c r="AH28" s="230">
        <f>T28-HLOOKUP(V28,[3]Minimas!$C$3:$CD$12,8,FALSE)</f>
        <v>-70</v>
      </c>
      <c r="AI28" s="230">
        <f>T28-HLOOKUP(V28,[3]Minimas!$C$3:$CD$12,9,FALSE)</f>
        <v>-90</v>
      </c>
      <c r="AJ28" s="230">
        <f>T28-HLOOKUP(V28,[3]Minimas!$C$3:$CD$12,10,FALSE)</f>
        <v>-175</v>
      </c>
      <c r="AK28" s="231" t="str">
        <f t="shared" si="10"/>
        <v>REG +</v>
      </c>
      <c r="AL28" s="232"/>
      <c r="AM28" s="232" t="str">
        <f t="shared" si="11"/>
        <v>REG +</v>
      </c>
      <c r="AN28" s="232">
        <f t="shared" si="12"/>
        <v>0</v>
      </c>
      <c r="AO28" s="232"/>
      <c r="AP28" s="485"/>
      <c r="AQ28" s="485"/>
      <c r="AR28" s="485"/>
      <c r="AS28" s="485"/>
      <c r="AT28" s="485"/>
      <c r="AU28" s="485"/>
      <c r="AV28" s="485"/>
      <c r="AW28" s="485"/>
      <c r="AX28" s="485"/>
      <c r="AY28" s="485"/>
      <c r="AZ28" s="485"/>
      <c r="BA28" s="485"/>
      <c r="BB28" s="485"/>
      <c r="BC28" s="485"/>
      <c r="BD28" s="485"/>
      <c r="BE28" s="485"/>
      <c r="BF28" s="485"/>
      <c r="BG28" s="485"/>
      <c r="BH28" s="485"/>
      <c r="BI28" s="485"/>
      <c r="BJ28" s="485"/>
      <c r="BK28" s="485"/>
      <c r="BL28" s="485"/>
      <c r="BM28" s="485"/>
      <c r="BN28" s="485"/>
      <c r="BO28" s="485"/>
      <c r="BP28" s="485"/>
      <c r="BQ28" s="485"/>
      <c r="BR28" s="485"/>
      <c r="BS28" s="485"/>
      <c r="BT28" s="485"/>
      <c r="BU28" s="485"/>
      <c r="BV28" s="485"/>
      <c r="BW28" s="485"/>
      <c r="BX28" s="485"/>
      <c r="BY28" s="485"/>
      <c r="BZ28" s="485"/>
      <c r="CA28" s="485"/>
      <c r="CB28" s="485"/>
      <c r="CC28" s="485"/>
      <c r="CD28" s="485"/>
      <c r="CE28" s="485"/>
      <c r="CF28" s="485"/>
      <c r="CG28" s="485"/>
      <c r="CH28" s="485"/>
      <c r="CI28" s="485"/>
      <c r="CJ28" s="485"/>
      <c r="CK28" s="485"/>
      <c r="CL28" s="485"/>
      <c r="CM28" s="485"/>
      <c r="CN28" s="485"/>
      <c r="CO28" s="485"/>
      <c r="CP28" s="485"/>
      <c r="CQ28" s="485"/>
      <c r="CR28" s="485"/>
      <c r="CS28" s="485"/>
      <c r="CT28" s="485"/>
      <c r="CU28" s="485"/>
      <c r="CV28" s="485"/>
      <c r="CW28" s="485"/>
      <c r="CX28" s="485"/>
      <c r="CY28" s="485"/>
      <c r="CZ28" s="485"/>
      <c r="DA28" s="485"/>
      <c r="DB28" s="485"/>
      <c r="DC28" s="485"/>
      <c r="DD28" s="485"/>
      <c r="DE28" s="485"/>
      <c r="DF28" s="485"/>
      <c r="DG28" s="485"/>
      <c r="DH28" s="485"/>
      <c r="DI28" s="485"/>
      <c r="DJ28" s="485"/>
      <c r="DK28" s="485"/>
      <c r="DL28" s="485"/>
      <c r="DM28" s="485"/>
      <c r="DN28" s="485"/>
      <c r="DO28" s="485"/>
      <c r="DP28" s="485"/>
      <c r="DQ28" s="485"/>
      <c r="DR28" s="485"/>
      <c r="DS28" s="485"/>
      <c r="DT28" s="485"/>
    </row>
    <row r="29" spans="1:124" s="5" customFormat="1" ht="30" customHeight="1" x14ac:dyDescent="0.25">
      <c r="A29" s="484"/>
      <c r="B29" s="136" t="s">
        <v>543</v>
      </c>
      <c r="C29" s="166">
        <v>386626</v>
      </c>
      <c r="D29" s="167"/>
      <c r="E29" s="476" t="s">
        <v>40</v>
      </c>
      <c r="F29" s="217" t="s">
        <v>641</v>
      </c>
      <c r="G29" s="144" t="s">
        <v>642</v>
      </c>
      <c r="H29" s="218">
        <v>2004</v>
      </c>
      <c r="I29" s="169" t="s">
        <v>173</v>
      </c>
      <c r="J29" s="168" t="s">
        <v>44</v>
      </c>
      <c r="K29" s="147">
        <v>59.45</v>
      </c>
      <c r="L29" s="240">
        <v>-48</v>
      </c>
      <c r="M29" s="240">
        <v>-48</v>
      </c>
      <c r="N29" s="240">
        <v>-48</v>
      </c>
      <c r="O29" s="52">
        <f t="shared" si="6"/>
        <v>0</v>
      </c>
      <c r="P29" s="240" t="s">
        <v>498</v>
      </c>
      <c r="Q29" s="240" t="s">
        <v>498</v>
      </c>
      <c r="R29" s="148" t="s">
        <v>498</v>
      </c>
      <c r="S29" s="52">
        <f t="shared" si="7"/>
        <v>0</v>
      </c>
      <c r="T29" s="489">
        <f t="shared" si="13"/>
        <v>0</v>
      </c>
      <c r="U29" s="48" t="str">
        <f t="shared" si="8"/>
        <v>DEB -65</v>
      </c>
      <c r="V29" s="48" t="str">
        <f>IF(E29=0," ",IF(E29="H",IF(H29&lt;1999,VLOOKUP(K29,Minimas!$A$15:$F$29,6),IF(AND(H29&gt;1998,H29&lt;2002),VLOOKUP(K29,Minimas!$A$15:$F$29,5),IF(AND(H29&gt;2001,H29&lt;2004),VLOOKUP(K29,Minimas!$A$15:$F$29,4),IF(AND(H29&gt;2003,H29&lt;2006),VLOOKUP(K29,Minimas!$A$15:$F$29,3),VLOOKUP(K29,Minimas!$A$15:$F$29,2))))),IF(H29&lt;1999,VLOOKUP(K29,Minimas!$G$15:$L$29,6),IF(AND(H29&gt;1998,H29&lt;2002),VLOOKUP(K29,Minimas!$G$15:$L$29,5),IF(AND(H29&gt;2001,H29&lt;2004),VLOOKUP(K29,Minimas!$G$15:$L$29,4),IF(AND(H29&gt;2003,H29&lt;2006),VLOOKUP(K29,Minimas!$G$15:$L$29,3),VLOOKUP(K29,Minimas!$G$15:$L$29,2)))))))</f>
        <v>U15 M61</v>
      </c>
      <c r="W29" s="49">
        <f t="shared" si="9"/>
        <v>0</v>
      </c>
      <c r="X29" s="257">
        <v>43485</v>
      </c>
      <c r="Y29" s="261" t="s">
        <v>640</v>
      </c>
      <c r="Z29" s="261" t="s">
        <v>514</v>
      </c>
      <c r="AA29" s="232"/>
      <c r="AB29" s="230">
        <f>T29-HLOOKUP(V29,Minimas!$C$3:$CD$12,2,FALSE)</f>
        <v>-65</v>
      </c>
      <c r="AC29" s="230">
        <f>T29-HLOOKUP(V29,Minimas!$C$3:$CD$12,3,FALSE)</f>
        <v>-80</v>
      </c>
      <c r="AD29" s="230">
        <f>T29-HLOOKUP(V29,Minimas!$C$3:$CD$12,4,FALSE)</f>
        <v>-100</v>
      </c>
      <c r="AE29" s="230">
        <f>T29-HLOOKUP(V29,Minimas!$C$3:$CD$12,5,FALSE)</f>
        <v>-115</v>
      </c>
      <c r="AF29" s="230">
        <f>T29-HLOOKUP(V29,Minimas!$C$3:$CD$12,6,FALSE)</f>
        <v>-130</v>
      </c>
      <c r="AG29" s="230">
        <f>T29-HLOOKUP(V29,Minimas!$C$3:$CD$12,7,FALSE)</f>
        <v>-150</v>
      </c>
      <c r="AH29" s="230">
        <f>T29-HLOOKUP(V29,Minimas!$C$3:$CD$12,8,FALSE)</f>
        <v>-170</v>
      </c>
      <c r="AI29" s="230">
        <f>T29-HLOOKUP(V29,Minimas!$C$3:$CD$12,9,FALSE)</f>
        <v>-190</v>
      </c>
      <c r="AJ29" s="230">
        <f>T29-HLOOKUP(V29,Minimas!$C$3:$CD$12,10,FALSE)</f>
        <v>-275</v>
      </c>
      <c r="AK29" s="231" t="str">
        <f t="shared" si="10"/>
        <v>DEB</v>
      </c>
      <c r="AL29" s="232"/>
      <c r="AM29" s="232" t="str">
        <f t="shared" si="11"/>
        <v>DEB</v>
      </c>
      <c r="AN29" s="232">
        <f t="shared" si="12"/>
        <v>-65</v>
      </c>
      <c r="AO29" s="232"/>
      <c r="AP29" s="485"/>
      <c r="AQ29" s="485"/>
      <c r="AR29" s="485"/>
      <c r="AS29" s="485"/>
      <c r="AT29" s="485"/>
      <c r="AU29" s="485"/>
      <c r="AV29" s="485"/>
      <c r="AW29" s="485"/>
      <c r="AX29" s="485"/>
      <c r="AY29" s="485"/>
      <c r="AZ29" s="485"/>
      <c r="BA29" s="485"/>
      <c r="BB29" s="485"/>
      <c r="BC29" s="485"/>
      <c r="BD29" s="485"/>
      <c r="BE29" s="485"/>
      <c r="BF29" s="485"/>
      <c r="BG29" s="485"/>
      <c r="BH29" s="485"/>
      <c r="BI29" s="485"/>
      <c r="BJ29" s="485"/>
      <c r="BK29" s="485"/>
      <c r="BL29" s="485"/>
      <c r="BM29" s="485"/>
      <c r="BN29" s="485"/>
      <c r="BO29" s="485"/>
      <c r="BP29" s="485"/>
      <c r="BQ29" s="485"/>
      <c r="BR29" s="485"/>
      <c r="BS29" s="485"/>
      <c r="BT29" s="485"/>
      <c r="BU29" s="485"/>
      <c r="BV29" s="485"/>
      <c r="BW29" s="485"/>
      <c r="BX29" s="485"/>
      <c r="BY29" s="485"/>
      <c r="BZ29" s="485"/>
      <c r="CA29" s="485"/>
      <c r="CB29" s="485"/>
      <c r="CC29" s="485"/>
      <c r="CD29" s="485"/>
      <c r="CE29" s="485"/>
      <c r="CF29" s="485"/>
      <c r="CG29" s="485"/>
      <c r="CH29" s="485"/>
      <c r="CI29" s="485"/>
      <c r="CJ29" s="485"/>
      <c r="CK29" s="485"/>
      <c r="CL29" s="485"/>
      <c r="CM29" s="485"/>
      <c r="CN29" s="485"/>
      <c r="CO29" s="485"/>
      <c r="CP29" s="485"/>
      <c r="CQ29" s="485"/>
      <c r="CR29" s="485"/>
      <c r="CS29" s="485"/>
      <c r="CT29" s="485"/>
      <c r="CU29" s="485"/>
      <c r="CV29" s="485"/>
      <c r="CW29" s="485"/>
      <c r="CX29" s="485"/>
      <c r="CY29" s="485"/>
      <c r="CZ29" s="485"/>
      <c r="DA29" s="485"/>
      <c r="DB29" s="485"/>
      <c r="DC29" s="485"/>
      <c r="DD29" s="485"/>
      <c r="DE29" s="485"/>
      <c r="DF29" s="485"/>
      <c r="DG29" s="485"/>
      <c r="DH29" s="485"/>
      <c r="DI29" s="485"/>
      <c r="DJ29" s="485"/>
      <c r="DK29" s="485"/>
      <c r="DL29" s="485"/>
      <c r="DM29" s="485"/>
      <c r="DN29" s="485"/>
      <c r="DO29" s="485"/>
      <c r="DP29" s="485"/>
      <c r="DQ29" s="485"/>
      <c r="DR29" s="485"/>
      <c r="DS29" s="485"/>
      <c r="DT29" s="485"/>
    </row>
    <row r="30" spans="1:124" s="5" customFormat="1" ht="30" customHeight="1" x14ac:dyDescent="0.25">
      <c r="B30" s="516" t="s">
        <v>543</v>
      </c>
      <c r="C30" s="524">
        <v>401154</v>
      </c>
      <c r="D30" s="530"/>
      <c r="E30" s="476" t="s">
        <v>40</v>
      </c>
      <c r="F30" s="544" t="s">
        <v>169</v>
      </c>
      <c r="G30" s="551" t="s">
        <v>298</v>
      </c>
      <c r="H30" s="215">
        <v>2004</v>
      </c>
      <c r="I30" s="564" t="s">
        <v>170</v>
      </c>
      <c r="J30" s="155" t="s">
        <v>44</v>
      </c>
      <c r="K30" s="587">
        <v>64.099999999999994</v>
      </c>
      <c r="L30" s="118">
        <v>70</v>
      </c>
      <c r="M30" s="118">
        <v>75</v>
      </c>
      <c r="N30" s="118">
        <v>77</v>
      </c>
      <c r="O30" s="358">
        <f t="shared" si="6"/>
        <v>77</v>
      </c>
      <c r="P30" s="118">
        <v>88</v>
      </c>
      <c r="Q30" s="118">
        <v>93</v>
      </c>
      <c r="R30" s="240" t="s">
        <v>497</v>
      </c>
      <c r="S30" s="358">
        <f t="shared" si="7"/>
        <v>93</v>
      </c>
      <c r="T30" s="359">
        <f t="shared" si="13"/>
        <v>170</v>
      </c>
      <c r="U30" s="360" t="str">
        <f t="shared" si="8"/>
        <v>NAT + 0</v>
      </c>
      <c r="V30" s="360" t="str">
        <f>IF(E30=0," ",IF(E30="H",IF(H30&lt;1999,VLOOKUP(K30,[24]Minimas!$A$15:$F$29,6),IF(AND(H30&gt;1998,H30&lt;2002),VLOOKUP(K30,[24]Minimas!$A$15:$F$29,5),IF(AND(H30&gt;2001,H30&lt;2004),VLOOKUP(K30,[24]Minimas!$A$15:$F$29,4),IF(AND(H30&gt;2003,H30&lt;2006),VLOOKUP(K30,[24]Minimas!$A$15:$F$29,3),VLOOKUP(K30,[24]Minimas!$A$15:$F$29,2))))),IF(H30&lt;1999,VLOOKUP(K30,[24]Minimas!$G$15:$L$29,6),IF(AND(H30&gt;1998,H30&lt;2002),VLOOKUP(K30,[24]Minimas!$G$15:$L$29,5),IF(AND(H30&gt;2001,H30&lt;2004),VLOOKUP(K30,[24]Minimas!$G$15:$L$29,4),IF(AND(H30&gt;2003,H30&lt;2006),VLOOKUP(K30,[24]Minimas!$G$15:$L$29,3),VLOOKUP(K30,[24]Minimas!$G$15:$L$29,2)))))))</f>
        <v>U15 M67</v>
      </c>
      <c r="W30" s="361">
        <f t="shared" si="9"/>
        <v>236.77491733090622</v>
      </c>
      <c r="X30" s="257">
        <v>43561</v>
      </c>
      <c r="Y30" s="261" t="s">
        <v>846</v>
      </c>
      <c r="Z30" s="261" t="s">
        <v>806</v>
      </c>
      <c r="AA30" s="232"/>
      <c r="AB30" s="230">
        <f>T30-HLOOKUP(V30,[24]Minimas!$C$3:$CD$12,2,FALSE)</f>
        <v>95</v>
      </c>
      <c r="AC30" s="230">
        <f>T30-HLOOKUP(V30,[24]Minimas!$C$3:$CD$12,3,FALSE)</f>
        <v>75</v>
      </c>
      <c r="AD30" s="230">
        <f>T30-HLOOKUP(V30,[24]Minimas!$C$3:$CD$12,4,FALSE)</f>
        <v>60</v>
      </c>
      <c r="AE30" s="230">
        <f>T30-HLOOKUP(V30,[24]Minimas!$C$3:$CD$12,5,FALSE)</f>
        <v>40</v>
      </c>
      <c r="AF30" s="230">
        <f>T30-HLOOKUP(V30,[24]Minimas!$C$3:$CD$12,6,FALSE)</f>
        <v>20</v>
      </c>
      <c r="AG30" s="230">
        <f>T30-HLOOKUP(V30,[24]Minimas!$C$3:$CD$12,7,FALSE)</f>
        <v>0</v>
      </c>
      <c r="AH30" s="230">
        <f>T30-HLOOKUP(V30,[24]Minimas!$C$3:$CD$12,8,FALSE)</f>
        <v>-20</v>
      </c>
      <c r="AI30" s="230">
        <f>T30-HLOOKUP(V30,[24]Minimas!$C$3:$CD$12,9,FALSE)</f>
        <v>-40</v>
      </c>
      <c r="AJ30" s="230">
        <f>T30-HLOOKUP(V30,[24]Minimas!$C$3:$CD$12,10,FALSE)</f>
        <v>-125</v>
      </c>
      <c r="AK30" s="231" t="str">
        <f t="shared" si="10"/>
        <v>NAT +</v>
      </c>
      <c r="AL30" s="232"/>
      <c r="AM30" s="232" t="str">
        <f t="shared" si="11"/>
        <v>NAT +</v>
      </c>
      <c r="AN30" s="232">
        <f t="shared" si="12"/>
        <v>0</v>
      </c>
      <c r="AO30" s="232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  <c r="CG30" s="38"/>
      <c r="CH30" s="38"/>
      <c r="CI30" s="38"/>
      <c r="CJ30" s="38"/>
      <c r="CK30" s="38"/>
      <c r="CL30" s="38"/>
      <c r="CM30" s="38"/>
      <c r="CN30" s="38"/>
      <c r="CO30" s="38"/>
      <c r="CP30" s="38"/>
      <c r="CQ30" s="38"/>
      <c r="CR30" s="38"/>
      <c r="CS30" s="38"/>
      <c r="CT30" s="38"/>
      <c r="CU30" s="38"/>
      <c r="CV30" s="38"/>
      <c r="CW30" s="38"/>
      <c r="CX30" s="38"/>
      <c r="CY30" s="38"/>
      <c r="CZ30" s="38"/>
      <c r="DA30" s="38"/>
      <c r="DB30" s="38"/>
      <c r="DC30" s="38"/>
      <c r="DD30" s="38"/>
      <c r="DE30" s="38"/>
      <c r="DF30" s="38"/>
      <c r="DG30" s="38"/>
      <c r="DH30" s="38"/>
      <c r="DI30" s="38"/>
      <c r="DJ30" s="38"/>
      <c r="DK30" s="38"/>
      <c r="DL30" s="38"/>
      <c r="DM30" s="38"/>
      <c r="DN30" s="38"/>
      <c r="DO30" s="38"/>
      <c r="DP30" s="38"/>
      <c r="DQ30" s="38"/>
      <c r="DR30" s="38"/>
      <c r="DS30" s="38"/>
      <c r="DT30" s="38"/>
    </row>
    <row r="31" spans="1:124" s="5" customFormat="1" ht="30" customHeight="1" x14ac:dyDescent="0.3">
      <c r="B31" s="136" t="s">
        <v>543</v>
      </c>
      <c r="C31" s="173">
        <v>438943</v>
      </c>
      <c r="D31" s="174"/>
      <c r="E31" s="175" t="s">
        <v>40</v>
      </c>
      <c r="F31" s="176" t="s">
        <v>299</v>
      </c>
      <c r="G31" s="177" t="s">
        <v>300</v>
      </c>
      <c r="H31" s="178">
        <v>2005</v>
      </c>
      <c r="I31" s="179" t="s">
        <v>214</v>
      </c>
      <c r="J31" s="104" t="s">
        <v>44</v>
      </c>
      <c r="K31" s="180">
        <v>79.5</v>
      </c>
      <c r="L31" s="133">
        <v>42</v>
      </c>
      <c r="M31" s="133">
        <v>46</v>
      </c>
      <c r="N31" s="133">
        <v>48</v>
      </c>
      <c r="O31" s="490">
        <f t="shared" si="6"/>
        <v>48</v>
      </c>
      <c r="P31" s="133">
        <v>52</v>
      </c>
      <c r="Q31" s="133">
        <v>57</v>
      </c>
      <c r="R31" s="131">
        <v>-60</v>
      </c>
      <c r="S31" s="490">
        <f t="shared" si="7"/>
        <v>57</v>
      </c>
      <c r="T31" s="489">
        <f t="shared" si="13"/>
        <v>105</v>
      </c>
      <c r="U31" s="48" t="str">
        <f t="shared" si="8"/>
        <v>DPT + 0</v>
      </c>
      <c r="V31" s="48" t="str">
        <f>IF(E31=0," ",IF(E31="H",IF(H31&lt;1999,VLOOKUP(K31,Minimas!$A$15:$F$29,6),IF(AND(H31&gt;1998,H31&lt;2002),VLOOKUP(K31,Minimas!$A$15:$F$29,5),IF(AND(H31&gt;2001,H31&lt;2004),VLOOKUP(K31,Minimas!$A$15:$F$29,4),IF(AND(H31&gt;2003,H31&lt;2006),VLOOKUP(K31,Minimas!$A$15:$F$29,3),VLOOKUP(K31,Minimas!$A$15:$F$29,2))))),IF(H31&lt;1999,VLOOKUP(K31,Minimas!$G$15:$L$29,6),IF(AND(H31&gt;1998,H31&lt;2002),VLOOKUP(K31,Minimas!$G$15:$L$29,5),IF(AND(H31&gt;2001,H31&lt;2004),VLOOKUP(K31,Minimas!$G$15:$L$29,4),IF(AND(H31&gt;2003,H31&lt;2006),VLOOKUP(K31,Minimas!$G$15:$L$29,3),VLOOKUP(K31,Minimas!$G$15:$L$29,2)))))))</f>
        <v>U15 M81</v>
      </c>
      <c r="W31" s="49">
        <f t="shared" si="9"/>
        <v>128.86505006139043</v>
      </c>
      <c r="X31" s="184">
        <v>43435</v>
      </c>
      <c r="Y31" s="284" t="s">
        <v>509</v>
      </c>
      <c r="Z31" s="284" t="s">
        <v>511</v>
      </c>
      <c r="AA31" s="232"/>
      <c r="AB31" s="230">
        <f>T31-HLOOKUP(V31,Minimas!$C$3:$CD$12,2,FALSE)</f>
        <v>20</v>
      </c>
      <c r="AC31" s="230">
        <f>T31-HLOOKUP(V31,Minimas!$C$3:$CD$12,3,FALSE)</f>
        <v>0</v>
      </c>
      <c r="AD31" s="230">
        <f>T31-HLOOKUP(V31,Minimas!$C$3:$CD$12,4,FALSE)</f>
        <v>-25</v>
      </c>
      <c r="AE31" s="230">
        <f>T31-HLOOKUP(V31,Minimas!$C$3:$CD$12,5,FALSE)</f>
        <v>-45</v>
      </c>
      <c r="AF31" s="230">
        <f>T31-HLOOKUP(V31,Minimas!$C$3:$CD$12,6,FALSE)</f>
        <v>-65</v>
      </c>
      <c r="AG31" s="230">
        <f>T31-HLOOKUP(V31,Minimas!$C$3:$CD$12,7,FALSE)</f>
        <v>-85</v>
      </c>
      <c r="AH31" s="230">
        <f>T31-HLOOKUP(V31,Minimas!$C$3:$CD$12,8,FALSE)</f>
        <v>-105</v>
      </c>
      <c r="AI31" s="230">
        <f>T31-HLOOKUP(V31,Minimas!$C$3:$CD$12,9,FALSE)</f>
        <v>-125</v>
      </c>
      <c r="AJ31" s="230">
        <f>T31-HLOOKUP(V31,Minimas!$C$3:$CD$12,10,FALSE)</f>
        <v>-230</v>
      </c>
      <c r="AK31" s="231" t="str">
        <f t="shared" si="10"/>
        <v>DPT +</v>
      </c>
      <c r="AL31" s="232"/>
      <c r="AM31" s="232" t="str">
        <f t="shared" si="11"/>
        <v>DPT +</v>
      </c>
      <c r="AN31" s="232">
        <f t="shared" si="12"/>
        <v>0</v>
      </c>
      <c r="AO31" s="232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  <c r="CG31" s="38"/>
      <c r="CH31" s="38"/>
      <c r="CI31" s="38"/>
      <c r="CJ31" s="38"/>
      <c r="CK31" s="38"/>
      <c r="CL31" s="38"/>
      <c r="CM31" s="38"/>
      <c r="CN31" s="38"/>
      <c r="CO31" s="38"/>
      <c r="CP31" s="38"/>
      <c r="CQ31" s="38"/>
      <c r="CR31" s="38"/>
      <c r="CS31" s="38"/>
      <c r="CT31" s="38"/>
      <c r="CU31" s="38"/>
      <c r="CV31" s="38"/>
      <c r="CW31" s="38"/>
      <c r="CX31" s="38"/>
      <c r="CY31" s="38"/>
      <c r="CZ31" s="38"/>
      <c r="DA31" s="38"/>
      <c r="DB31" s="38"/>
      <c r="DC31" s="38"/>
      <c r="DD31" s="38"/>
      <c r="DE31" s="38"/>
      <c r="DF31" s="38"/>
      <c r="DG31" s="38"/>
      <c r="DH31" s="38"/>
      <c r="DI31" s="38"/>
      <c r="DJ31" s="38"/>
      <c r="DK31" s="38"/>
      <c r="DL31" s="38"/>
      <c r="DM31" s="38"/>
      <c r="DN31" s="38"/>
      <c r="DO31" s="38"/>
      <c r="DP31" s="38"/>
      <c r="DQ31" s="38"/>
      <c r="DR31" s="38"/>
      <c r="DS31" s="38"/>
      <c r="DT31" s="38"/>
    </row>
    <row r="32" spans="1:124" s="5" customFormat="1" ht="30" customHeight="1" x14ac:dyDescent="0.25">
      <c r="B32" s="136" t="s">
        <v>543</v>
      </c>
      <c r="C32" s="166">
        <v>344414</v>
      </c>
      <c r="D32" s="167"/>
      <c r="E32" s="476" t="s">
        <v>40</v>
      </c>
      <c r="F32" s="217" t="s">
        <v>301</v>
      </c>
      <c r="G32" s="144" t="s">
        <v>302</v>
      </c>
      <c r="H32" s="218">
        <v>2002</v>
      </c>
      <c r="I32" s="169" t="s">
        <v>546</v>
      </c>
      <c r="J32" s="168" t="s">
        <v>44</v>
      </c>
      <c r="K32" s="147">
        <v>59</v>
      </c>
      <c r="L32" s="118">
        <v>75</v>
      </c>
      <c r="M32" s="118">
        <v>78</v>
      </c>
      <c r="N32" s="248">
        <v>-80</v>
      </c>
      <c r="O32" s="802">
        <f t="shared" si="6"/>
        <v>78</v>
      </c>
      <c r="P32" s="118">
        <v>85</v>
      </c>
      <c r="Q32" s="118">
        <v>92</v>
      </c>
      <c r="R32" s="249" t="s">
        <v>498</v>
      </c>
      <c r="S32" s="52">
        <f t="shared" si="7"/>
        <v>92</v>
      </c>
      <c r="T32" s="51">
        <f t="shared" si="13"/>
        <v>170</v>
      </c>
      <c r="U32" s="48" t="str">
        <f t="shared" si="8"/>
        <v>NAT + 0</v>
      </c>
      <c r="V32" s="48" t="str">
        <f>IF(E32=0," ",IF(E32="H",IF(H32&lt;1999,VLOOKUP(K32,Minimas!$A$15:$F$29,6),IF(AND(H32&gt;1998,H32&lt;2002),VLOOKUP(K32,Minimas!$A$15:$F$29,5),IF(AND(H32&gt;2001,H32&lt;2004),VLOOKUP(K32,Minimas!$A$15:$F$29,4),IF(AND(H32&gt;2003,H32&lt;2006),VLOOKUP(K32,Minimas!$A$15:$F$29,3),VLOOKUP(K32,Minimas!$A$15:$F$29,2))))),IF(H32&lt;1999,VLOOKUP(K32,Minimas!$G$15:$L$29,6),IF(AND(H32&gt;1998,H32&lt;2002),VLOOKUP(K32,Minimas!$G$15:$L$29,5),IF(AND(H32&gt;2001,H32&lt;2004),VLOOKUP(K32,Minimas!$G$15:$L$29,4),IF(AND(H32&gt;2003,H32&lt;2006),VLOOKUP(K32,Minimas!$G$15:$L$29,3),VLOOKUP(K32,Minimas!$G$15:$L$29,2)))))))</f>
        <v>U17 M61</v>
      </c>
      <c r="W32" s="49">
        <f t="shared" si="9"/>
        <v>250.60945901030334</v>
      </c>
      <c r="X32" s="257">
        <v>43484</v>
      </c>
      <c r="Y32" s="261" t="s">
        <v>630</v>
      </c>
      <c r="Z32" s="261" t="s">
        <v>511</v>
      </c>
      <c r="AA32" s="232"/>
      <c r="AB32" s="230">
        <f>T32-HLOOKUP(V32,Minimas!$C$3:$CD$12,2,FALSE)</f>
        <v>90</v>
      </c>
      <c r="AC32" s="230">
        <f>T32-HLOOKUP(V32,Minimas!$C$3:$CD$12,3,FALSE)</f>
        <v>70</v>
      </c>
      <c r="AD32" s="230">
        <f>T32-HLOOKUP(V32,Minimas!$C$3:$CD$12,4,FALSE)</f>
        <v>50</v>
      </c>
      <c r="AE32" s="230">
        <f>T32-HLOOKUP(V32,Minimas!$C$3:$CD$12,5,FALSE)</f>
        <v>35</v>
      </c>
      <c r="AF32" s="230">
        <f>T32-HLOOKUP(V32,Minimas!$C$3:$CD$12,6,FALSE)</f>
        <v>20</v>
      </c>
      <c r="AG32" s="230">
        <f>T32-HLOOKUP(V32,Minimas!$C$3:$CD$12,7,FALSE)</f>
        <v>0</v>
      </c>
      <c r="AH32" s="230">
        <f>T32-HLOOKUP(V32,Minimas!$C$3:$CD$12,8,FALSE)</f>
        <v>-20</v>
      </c>
      <c r="AI32" s="230">
        <f>T32-HLOOKUP(V32,Minimas!$C$3:$CD$12,9,FALSE)</f>
        <v>-40</v>
      </c>
      <c r="AJ32" s="230">
        <f>T32-HLOOKUP(V32,Minimas!$C$3:$CD$12,10,FALSE)</f>
        <v>-105</v>
      </c>
      <c r="AK32" s="231" t="str">
        <f t="shared" si="10"/>
        <v>NAT +</v>
      </c>
      <c r="AL32" s="232"/>
      <c r="AM32" s="232" t="str">
        <f t="shared" si="11"/>
        <v>NAT +</v>
      </c>
      <c r="AN32" s="232">
        <f t="shared" si="12"/>
        <v>0</v>
      </c>
      <c r="AO32" s="232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  <c r="CG32" s="38"/>
      <c r="CH32" s="38"/>
      <c r="CI32" s="38"/>
      <c r="CJ32" s="38"/>
      <c r="CK32" s="38"/>
      <c r="CL32" s="38"/>
      <c r="CM32" s="38"/>
      <c r="CN32" s="38"/>
      <c r="CO32" s="38"/>
      <c r="CP32" s="38"/>
      <c r="CQ32" s="38"/>
      <c r="CR32" s="38"/>
      <c r="CS32" s="38"/>
      <c r="CT32" s="38"/>
      <c r="CU32" s="38"/>
      <c r="CV32" s="38"/>
      <c r="CW32" s="38"/>
      <c r="CX32" s="38"/>
      <c r="CY32" s="38"/>
      <c r="CZ32" s="38"/>
      <c r="DA32" s="38"/>
      <c r="DB32" s="38"/>
      <c r="DC32" s="38"/>
      <c r="DD32" s="38"/>
      <c r="DE32" s="38"/>
      <c r="DF32" s="38"/>
      <c r="DG32" s="38"/>
      <c r="DH32" s="38"/>
      <c r="DI32" s="38"/>
      <c r="DJ32" s="38"/>
      <c r="DK32" s="38"/>
      <c r="DL32" s="38"/>
      <c r="DM32" s="38"/>
      <c r="DN32" s="38"/>
      <c r="DO32" s="38"/>
      <c r="DP32" s="38"/>
      <c r="DQ32" s="38"/>
      <c r="DR32" s="38"/>
      <c r="DS32" s="38"/>
      <c r="DT32" s="38"/>
    </row>
    <row r="33" spans="1:124" s="5" customFormat="1" ht="30" customHeight="1" x14ac:dyDescent="0.25">
      <c r="B33" s="516" t="s">
        <v>543</v>
      </c>
      <c r="C33" s="524">
        <v>443601</v>
      </c>
      <c r="D33" s="530"/>
      <c r="E33" s="476" t="s">
        <v>40</v>
      </c>
      <c r="F33" s="544" t="s">
        <v>558</v>
      </c>
      <c r="G33" s="551" t="s">
        <v>666</v>
      </c>
      <c r="H33" s="215">
        <v>2003</v>
      </c>
      <c r="I33" s="569" t="s">
        <v>129</v>
      </c>
      <c r="J33" s="146" t="s">
        <v>44</v>
      </c>
      <c r="K33" s="200">
        <v>65.400000000000006</v>
      </c>
      <c r="L33" s="148">
        <v>-63</v>
      </c>
      <c r="M33" s="118">
        <v>65</v>
      </c>
      <c r="N33" s="118">
        <v>70</v>
      </c>
      <c r="O33" s="358">
        <f t="shared" si="6"/>
        <v>70</v>
      </c>
      <c r="P33" s="118">
        <v>81</v>
      </c>
      <c r="Q33" s="148">
        <v>-86</v>
      </c>
      <c r="R33" s="118">
        <v>87</v>
      </c>
      <c r="S33" s="358">
        <f t="shared" si="7"/>
        <v>87</v>
      </c>
      <c r="T33" s="359">
        <f t="shared" si="13"/>
        <v>157</v>
      </c>
      <c r="U33" s="360" t="str">
        <f t="shared" si="8"/>
        <v>IRG + 7</v>
      </c>
      <c r="V33" s="360" t="str">
        <f>IF(E33=0," ",IF(E33="H",IF(H33&lt;1999,VLOOKUP(K33,[24]Minimas!$A$15:$F$29,6),IF(AND(H33&gt;1998,H33&lt;2002),VLOOKUP(K33,[24]Minimas!$A$15:$F$29,5),IF(AND(H33&gt;2001,H33&lt;2004),VLOOKUP(K33,[24]Minimas!$A$15:$F$29,4),IF(AND(H33&gt;2003,H33&lt;2006),VLOOKUP(K33,[24]Minimas!$A$15:$F$29,3),VLOOKUP(K33,[24]Minimas!$A$15:$F$29,2))))),IF(H33&lt;1999,VLOOKUP(K33,[24]Minimas!$G$15:$L$29,6),IF(AND(H33&gt;1998,H33&lt;2002),VLOOKUP(K33,[24]Minimas!$G$15:$L$29,5),IF(AND(H33&gt;2001,H33&lt;2004),VLOOKUP(K33,[24]Minimas!$G$15:$L$29,4),IF(AND(H33&gt;2003,H33&lt;2006),VLOOKUP(K33,[24]Minimas!$G$15:$L$29,3),VLOOKUP(K33,[24]Minimas!$G$15:$L$29,2)))))))</f>
        <v>U17 M67</v>
      </c>
      <c r="W33" s="361">
        <f t="shared" si="9"/>
        <v>215.8277302596164</v>
      </c>
      <c r="X33" s="257">
        <v>43561</v>
      </c>
      <c r="Y33" s="261" t="s">
        <v>846</v>
      </c>
      <c r="Z33" s="261" t="s">
        <v>806</v>
      </c>
      <c r="AA33" s="232"/>
      <c r="AB33" s="230">
        <f>T33-HLOOKUP(V33,[24]Minimas!$C$3:$CD$12,2,FALSE)</f>
        <v>67</v>
      </c>
      <c r="AC33" s="230">
        <f>T33-HLOOKUP(V33,[24]Minimas!$C$3:$CD$12,3,FALSE)</f>
        <v>47</v>
      </c>
      <c r="AD33" s="230">
        <f>T33-HLOOKUP(V33,[24]Minimas!$C$3:$CD$12,4,FALSE)</f>
        <v>27</v>
      </c>
      <c r="AE33" s="230">
        <f>T33-HLOOKUP(V33,[24]Minimas!$C$3:$CD$12,5,FALSE)</f>
        <v>7</v>
      </c>
      <c r="AF33" s="230">
        <f>T33-HLOOKUP(V33,[24]Minimas!$C$3:$CD$12,6,FALSE)</f>
        <v>-13</v>
      </c>
      <c r="AG33" s="230">
        <f>T33-HLOOKUP(V33,[24]Minimas!$C$3:$CD$12,7,FALSE)</f>
        <v>-33</v>
      </c>
      <c r="AH33" s="230">
        <f>T33-HLOOKUP(V33,[24]Minimas!$C$3:$CD$12,8,FALSE)</f>
        <v>-53</v>
      </c>
      <c r="AI33" s="230">
        <f>T33-HLOOKUP(V33,[24]Minimas!$C$3:$CD$12,9,FALSE)</f>
        <v>-73</v>
      </c>
      <c r="AJ33" s="230">
        <f>T33-HLOOKUP(V33,[24]Minimas!$C$3:$CD$12,10,FALSE)</f>
        <v>-138</v>
      </c>
      <c r="AK33" s="231" t="str">
        <f t="shared" si="10"/>
        <v>IRG +</v>
      </c>
      <c r="AL33" s="232"/>
      <c r="AM33" s="232" t="str">
        <f t="shared" si="11"/>
        <v>IRG +</v>
      </c>
      <c r="AN33" s="232">
        <f t="shared" si="12"/>
        <v>7</v>
      </c>
      <c r="AO33" s="232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  <c r="CG33" s="38"/>
      <c r="CH33" s="38"/>
      <c r="CI33" s="38"/>
      <c r="CJ33" s="38"/>
      <c r="CK33" s="38"/>
      <c r="CL33" s="38"/>
      <c r="CM33" s="38"/>
      <c r="CN33" s="38"/>
      <c r="CO33" s="38"/>
      <c r="CP33" s="38"/>
      <c r="CQ33" s="38"/>
      <c r="CR33" s="38"/>
      <c r="CS33" s="38"/>
      <c r="CT33" s="38"/>
      <c r="CU33" s="38"/>
      <c r="CV33" s="38"/>
      <c r="CW33" s="38"/>
      <c r="CX33" s="38"/>
      <c r="CY33" s="38"/>
      <c r="CZ33" s="38"/>
      <c r="DA33" s="38"/>
      <c r="DB33" s="38"/>
      <c r="DC33" s="38"/>
      <c r="DD33" s="38"/>
      <c r="DE33" s="38"/>
      <c r="DF33" s="38"/>
      <c r="DG33" s="38"/>
      <c r="DH33" s="38"/>
      <c r="DI33" s="38"/>
      <c r="DJ33" s="38"/>
      <c r="DK33" s="38"/>
      <c r="DL33" s="38"/>
      <c r="DM33" s="38"/>
      <c r="DN33" s="38"/>
      <c r="DO33" s="38"/>
      <c r="DP33" s="38"/>
      <c r="DQ33" s="38"/>
      <c r="DR33" s="38"/>
      <c r="DS33" s="38"/>
      <c r="DT33" s="38"/>
    </row>
    <row r="34" spans="1:124" s="5" customFormat="1" ht="30" customHeight="1" x14ac:dyDescent="0.3">
      <c r="B34" s="136" t="s">
        <v>543</v>
      </c>
      <c r="C34" s="116">
        <v>442960</v>
      </c>
      <c r="D34" s="157"/>
      <c r="E34" s="175" t="s">
        <v>40</v>
      </c>
      <c r="F34" s="124" t="s">
        <v>303</v>
      </c>
      <c r="G34" s="125" t="s">
        <v>304</v>
      </c>
      <c r="H34" s="156">
        <v>2002</v>
      </c>
      <c r="I34" s="127" t="s">
        <v>219</v>
      </c>
      <c r="J34" s="104" t="s">
        <v>44</v>
      </c>
      <c r="K34" s="126">
        <v>66.2</v>
      </c>
      <c r="L34" s="109">
        <v>50</v>
      </c>
      <c r="M34" s="109">
        <v>55</v>
      </c>
      <c r="N34" s="109">
        <v>60</v>
      </c>
      <c r="O34" s="52">
        <f t="shared" si="6"/>
        <v>60</v>
      </c>
      <c r="P34" s="131">
        <v>-70</v>
      </c>
      <c r="Q34" s="131">
        <v>-70</v>
      </c>
      <c r="R34" s="133">
        <v>70</v>
      </c>
      <c r="S34" s="52">
        <f t="shared" si="7"/>
        <v>70</v>
      </c>
      <c r="T34" s="51">
        <f t="shared" si="13"/>
        <v>130</v>
      </c>
      <c r="U34" s="48" t="str">
        <f t="shared" si="8"/>
        <v>REG + 0</v>
      </c>
      <c r="V34" s="48" t="str">
        <f>IF(E34=0," ",IF(E34="H",IF(H34&lt;1999,VLOOKUP(K34,Minimas!$A$15:$F$29,6),IF(AND(H34&gt;1998,H34&lt;2002),VLOOKUP(K34,Minimas!$A$15:$F$29,5),IF(AND(H34&gt;2001,H34&lt;2004),VLOOKUP(K34,Minimas!$A$15:$F$29,4),IF(AND(H34&gt;2003,H34&lt;2006),VLOOKUP(K34,Minimas!$A$15:$F$29,3),VLOOKUP(K34,Minimas!$A$15:$F$29,2))))),IF(H34&lt;1999,VLOOKUP(K34,Minimas!$G$15:$L$29,6),IF(AND(H34&gt;1998,H34&lt;2002),VLOOKUP(K34,Minimas!$G$15:$L$29,5),IF(AND(H34&gt;2001,H34&lt;2004),VLOOKUP(K34,Minimas!$G$15:$L$29,4),IF(AND(H34&gt;2003,H34&lt;2006),VLOOKUP(K34,Minimas!$G$15:$L$29,3),VLOOKUP(K34,Minimas!$G$15:$L$29,2)))))))</f>
        <v>U17 M67</v>
      </c>
      <c r="W34" s="49">
        <f t="shared" si="9"/>
        <v>177.3239885787267</v>
      </c>
      <c r="X34" s="184">
        <v>43401</v>
      </c>
      <c r="Y34" s="284" t="s">
        <v>507</v>
      </c>
      <c r="Z34" s="284" t="s">
        <v>506</v>
      </c>
      <c r="AA34" s="232"/>
      <c r="AB34" s="230">
        <f>T34-HLOOKUP(V34,Minimas!$C$3:$CD$12,2,FALSE)</f>
        <v>40</v>
      </c>
      <c r="AC34" s="230">
        <f>T34-HLOOKUP(V34,Minimas!$C$3:$CD$12,3,FALSE)</f>
        <v>20</v>
      </c>
      <c r="AD34" s="230">
        <f>T34-HLOOKUP(V34,Minimas!$C$3:$CD$12,4,FALSE)</f>
        <v>0</v>
      </c>
      <c r="AE34" s="230">
        <f>T34-HLOOKUP(V34,Minimas!$C$3:$CD$12,5,FALSE)</f>
        <v>-20</v>
      </c>
      <c r="AF34" s="230">
        <f>T34-HLOOKUP(V34,Minimas!$C$3:$CD$12,6,FALSE)</f>
        <v>-40</v>
      </c>
      <c r="AG34" s="230">
        <f>T34-HLOOKUP(V34,Minimas!$C$3:$CD$12,7,FALSE)</f>
        <v>-60</v>
      </c>
      <c r="AH34" s="230">
        <f>T34-HLOOKUP(V34,Minimas!$C$3:$CD$12,8,FALSE)</f>
        <v>-80</v>
      </c>
      <c r="AI34" s="230">
        <f>T34-HLOOKUP(V34,Minimas!$C$3:$CD$12,9,FALSE)</f>
        <v>-100</v>
      </c>
      <c r="AJ34" s="230">
        <f>T34-HLOOKUP(V34,Minimas!$C$3:$CD$12,10,FALSE)</f>
        <v>-165</v>
      </c>
      <c r="AK34" s="231" t="str">
        <f t="shared" si="10"/>
        <v>REG +</v>
      </c>
      <c r="AL34" s="232"/>
      <c r="AM34" s="232" t="str">
        <f t="shared" si="11"/>
        <v>REG +</v>
      </c>
      <c r="AN34" s="232">
        <f t="shared" si="12"/>
        <v>0</v>
      </c>
      <c r="AO34" s="232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  <c r="CH34" s="38"/>
      <c r="CI34" s="38"/>
      <c r="CJ34" s="38"/>
      <c r="CK34" s="38"/>
      <c r="CL34" s="38"/>
      <c r="CM34" s="38"/>
      <c r="CN34" s="38"/>
      <c r="CO34" s="38"/>
      <c r="CP34" s="38"/>
      <c r="CQ34" s="38"/>
      <c r="CR34" s="38"/>
      <c r="CS34" s="38"/>
      <c r="CT34" s="38"/>
      <c r="CU34" s="38"/>
      <c r="CV34" s="38"/>
      <c r="CW34" s="38"/>
      <c r="CX34" s="38"/>
      <c r="CY34" s="38"/>
      <c r="CZ34" s="38"/>
      <c r="DA34" s="38"/>
      <c r="DB34" s="38"/>
      <c r="DC34" s="38"/>
      <c r="DD34" s="38"/>
      <c r="DE34" s="38"/>
      <c r="DF34" s="38"/>
      <c r="DG34" s="38"/>
      <c r="DH34" s="38"/>
      <c r="DI34" s="38"/>
      <c r="DJ34" s="38"/>
      <c r="DK34" s="38"/>
      <c r="DL34" s="38"/>
      <c r="DM34" s="38"/>
      <c r="DN34" s="38"/>
      <c r="DO34" s="38"/>
      <c r="DP34" s="38"/>
      <c r="DQ34" s="38"/>
      <c r="DR34" s="38"/>
      <c r="DS34" s="38"/>
      <c r="DT34" s="38"/>
    </row>
    <row r="35" spans="1:124" s="5" customFormat="1" ht="30" customHeight="1" x14ac:dyDescent="0.25">
      <c r="A35" s="484"/>
      <c r="B35" s="516" t="s">
        <v>543</v>
      </c>
      <c r="C35" s="516">
        <v>439448</v>
      </c>
      <c r="D35" s="540"/>
      <c r="E35" s="168" t="s">
        <v>40</v>
      </c>
      <c r="F35" s="143" t="s">
        <v>835</v>
      </c>
      <c r="G35" s="144" t="s">
        <v>552</v>
      </c>
      <c r="H35" s="145">
        <v>2002</v>
      </c>
      <c r="I35" s="569" t="s">
        <v>219</v>
      </c>
      <c r="J35" s="146" t="s">
        <v>44</v>
      </c>
      <c r="K35" s="200">
        <v>62.9</v>
      </c>
      <c r="L35" s="118">
        <v>40</v>
      </c>
      <c r="M35" s="664">
        <v>45</v>
      </c>
      <c r="N35" s="664">
        <v>48</v>
      </c>
      <c r="O35" s="358">
        <f t="shared" si="6"/>
        <v>48</v>
      </c>
      <c r="P35" s="118">
        <v>60</v>
      </c>
      <c r="Q35" s="118">
        <v>65</v>
      </c>
      <c r="R35" s="118">
        <v>-68</v>
      </c>
      <c r="S35" s="358">
        <f t="shared" si="7"/>
        <v>65</v>
      </c>
      <c r="T35" s="359">
        <f t="shared" si="13"/>
        <v>113</v>
      </c>
      <c r="U35" s="360" t="str">
        <f t="shared" si="8"/>
        <v>DPT + 3</v>
      </c>
      <c r="V35" s="360" t="str">
        <f>IF(E35=0," ",IF(E35="H",IF(H35&lt;1999,VLOOKUP(K35,[3]Minimas!$A$15:$F$29,6),IF(AND(H35&gt;1998,H35&lt;2002),VLOOKUP(K35,[3]Minimas!$A$15:$F$29,5),IF(AND(H35&gt;2001,H35&lt;2004),VLOOKUP(K35,[3]Minimas!$A$15:$F$29,4),IF(AND(H35&gt;2003,H35&lt;2006),VLOOKUP(K35,[3]Minimas!$A$15:$F$29,3),VLOOKUP(K35,[3]Minimas!$A$15:$F$29,2))))),IF(H35&lt;1999,VLOOKUP(K35,[3]Minimas!$G$15:$L$29,6),IF(AND(H35&gt;1998,H35&lt;2002),VLOOKUP(K35,[3]Minimas!$G$15:$L$29,5),IF(AND(H35&gt;2001,H35&lt;2004),VLOOKUP(K35,[3]Minimas!$G$15:$L$29,4),IF(AND(H35&gt;2003,H35&lt;2006),VLOOKUP(K35,[3]Minimas!$G$15:$L$29,3),VLOOKUP(K35,[3]Minimas!$G$15:$L$29,2)))))))</f>
        <v>U17 M67</v>
      </c>
      <c r="W35" s="361">
        <f t="shared" si="9"/>
        <v>159.37315761875035</v>
      </c>
      <c r="X35" s="257">
        <v>43610</v>
      </c>
      <c r="Y35" s="261" t="s">
        <v>892</v>
      </c>
      <c r="Z35" s="261" t="s">
        <v>829</v>
      </c>
      <c r="AA35" s="232"/>
      <c r="AB35" s="230">
        <f>T35-HLOOKUP(V35,[3]Minimas!$C$3:$CD$12,2,FALSE)</f>
        <v>23</v>
      </c>
      <c r="AC35" s="230">
        <f>T35-HLOOKUP(V35,[3]Minimas!$C$3:$CD$12,3,FALSE)</f>
        <v>3</v>
      </c>
      <c r="AD35" s="230">
        <f>T35-HLOOKUP(V35,[3]Minimas!$C$3:$CD$12,4,FALSE)</f>
        <v>-17</v>
      </c>
      <c r="AE35" s="230">
        <f>T35-HLOOKUP(V35,[3]Minimas!$C$3:$CD$12,5,FALSE)</f>
        <v>-37</v>
      </c>
      <c r="AF35" s="230">
        <f>T35-HLOOKUP(V35,[3]Minimas!$C$3:$CD$12,6,FALSE)</f>
        <v>-57</v>
      </c>
      <c r="AG35" s="230">
        <f>T35-HLOOKUP(V35,[3]Minimas!$C$3:$CD$12,7,FALSE)</f>
        <v>-77</v>
      </c>
      <c r="AH35" s="230">
        <f>T35-HLOOKUP(V35,[3]Minimas!$C$3:$CD$12,8,FALSE)</f>
        <v>-97</v>
      </c>
      <c r="AI35" s="230">
        <f>T35-HLOOKUP(V35,[3]Minimas!$C$3:$CD$12,9,FALSE)</f>
        <v>-117</v>
      </c>
      <c r="AJ35" s="230">
        <f>T35-HLOOKUP(V35,[3]Minimas!$C$3:$CD$12,10,FALSE)</f>
        <v>-182</v>
      </c>
      <c r="AK35" s="231" t="str">
        <f t="shared" si="10"/>
        <v>DPT +</v>
      </c>
      <c r="AL35" s="232"/>
      <c r="AM35" s="232" t="str">
        <f t="shared" si="11"/>
        <v>DPT +</v>
      </c>
      <c r="AN35" s="232">
        <f t="shared" si="12"/>
        <v>3</v>
      </c>
      <c r="AO35" s="232"/>
      <c r="AP35" s="485"/>
      <c r="AQ35" s="485"/>
      <c r="AR35" s="485"/>
      <c r="AS35" s="485"/>
      <c r="AT35" s="485"/>
      <c r="AU35" s="485"/>
      <c r="AV35" s="485"/>
      <c r="AW35" s="485"/>
      <c r="AX35" s="485"/>
      <c r="AY35" s="485"/>
      <c r="AZ35" s="485"/>
      <c r="BA35" s="485"/>
      <c r="BB35" s="485"/>
      <c r="BC35" s="485"/>
      <c r="BD35" s="485"/>
      <c r="BE35" s="485"/>
      <c r="BF35" s="485"/>
      <c r="BG35" s="485"/>
      <c r="BH35" s="485"/>
      <c r="BI35" s="485"/>
      <c r="BJ35" s="485"/>
      <c r="BK35" s="485"/>
      <c r="BL35" s="485"/>
      <c r="BM35" s="485"/>
      <c r="BN35" s="485"/>
      <c r="BO35" s="485"/>
      <c r="BP35" s="485"/>
      <c r="BQ35" s="485"/>
      <c r="BR35" s="485"/>
      <c r="BS35" s="485"/>
      <c r="BT35" s="485"/>
      <c r="BU35" s="485"/>
      <c r="BV35" s="485"/>
      <c r="BW35" s="485"/>
      <c r="BX35" s="485"/>
      <c r="BY35" s="485"/>
      <c r="BZ35" s="485"/>
      <c r="CA35" s="485"/>
      <c r="CB35" s="485"/>
      <c r="CC35" s="485"/>
      <c r="CD35" s="485"/>
      <c r="CE35" s="485"/>
      <c r="CF35" s="485"/>
      <c r="CG35" s="485"/>
      <c r="CH35" s="485"/>
      <c r="CI35" s="485"/>
      <c r="CJ35" s="485"/>
      <c r="CK35" s="485"/>
      <c r="CL35" s="485"/>
      <c r="CM35" s="485"/>
      <c r="CN35" s="485"/>
      <c r="CO35" s="485"/>
      <c r="CP35" s="485"/>
      <c r="CQ35" s="485"/>
      <c r="CR35" s="485"/>
      <c r="CS35" s="485"/>
      <c r="CT35" s="485"/>
      <c r="CU35" s="485"/>
      <c r="CV35" s="485"/>
      <c r="CW35" s="485"/>
      <c r="CX35" s="485"/>
      <c r="CY35" s="485"/>
      <c r="CZ35" s="485"/>
      <c r="DA35" s="485"/>
      <c r="DB35" s="485"/>
      <c r="DC35" s="485"/>
      <c r="DD35" s="485"/>
      <c r="DE35" s="485"/>
      <c r="DF35" s="485"/>
      <c r="DG35" s="485"/>
      <c r="DH35" s="485"/>
      <c r="DI35" s="485"/>
      <c r="DJ35" s="485"/>
      <c r="DK35" s="485"/>
      <c r="DL35" s="485"/>
      <c r="DM35" s="485"/>
      <c r="DN35" s="485"/>
      <c r="DO35" s="485"/>
      <c r="DP35" s="485"/>
      <c r="DQ35" s="485"/>
      <c r="DR35" s="485"/>
      <c r="DS35" s="485"/>
      <c r="DT35" s="485"/>
    </row>
    <row r="36" spans="1:124" s="5" customFormat="1" ht="30" customHeight="1" x14ac:dyDescent="0.25">
      <c r="B36" s="516" t="s">
        <v>543</v>
      </c>
      <c r="C36" s="516">
        <v>442960</v>
      </c>
      <c r="D36" s="540"/>
      <c r="E36" s="168" t="s">
        <v>40</v>
      </c>
      <c r="F36" s="143" t="s">
        <v>303</v>
      </c>
      <c r="G36" s="144" t="s">
        <v>304</v>
      </c>
      <c r="H36" s="145">
        <v>2002</v>
      </c>
      <c r="I36" s="569" t="s">
        <v>219</v>
      </c>
      <c r="J36" s="155" t="s">
        <v>44</v>
      </c>
      <c r="K36" s="587">
        <v>70</v>
      </c>
      <c r="L36" s="118">
        <v>73</v>
      </c>
      <c r="M36" s="118">
        <v>80</v>
      </c>
      <c r="N36" s="118">
        <v>85</v>
      </c>
      <c r="O36" s="358">
        <f t="shared" si="6"/>
        <v>85</v>
      </c>
      <c r="P36" s="118">
        <v>85</v>
      </c>
      <c r="Q36" s="118">
        <v>91</v>
      </c>
      <c r="R36" s="118">
        <v>-100</v>
      </c>
      <c r="S36" s="358">
        <f t="shared" si="7"/>
        <v>91</v>
      </c>
      <c r="T36" s="359">
        <f t="shared" si="13"/>
        <v>176</v>
      </c>
      <c r="U36" s="360" t="str">
        <f t="shared" si="8"/>
        <v>IRG + 16</v>
      </c>
      <c r="V36" s="360" t="str">
        <f>IF(E36=0," ",IF(E36="H",IF(H36&lt;1999,VLOOKUP(K36,[3]Minimas!$A$15:$F$29,6),IF(AND(H36&gt;1998,H36&lt;2002),VLOOKUP(K36,[3]Minimas!$A$15:$F$29,5),IF(AND(H36&gt;2001,H36&lt;2004),VLOOKUP(K36,[3]Minimas!$A$15:$F$29,4),IF(AND(H36&gt;2003,H36&lt;2006),VLOOKUP(K36,[3]Minimas!$A$15:$F$29,3),VLOOKUP(K36,[3]Minimas!$A$15:$F$29,2))))),IF(H36&lt;1999,VLOOKUP(K36,[3]Minimas!$G$15:$L$29,6),IF(AND(H36&gt;1998,H36&lt;2002),VLOOKUP(K36,[3]Minimas!$G$15:$L$29,5),IF(AND(H36&gt;2001,H36&lt;2004),VLOOKUP(K36,[3]Minimas!$G$15:$L$29,4),IF(AND(H36&gt;2003,H36&lt;2006),VLOOKUP(K36,[3]Minimas!$G$15:$L$29,3),VLOOKUP(K36,[3]Minimas!$G$15:$L$29,2)))))))</f>
        <v>U17 M73</v>
      </c>
      <c r="W36" s="361">
        <f t="shared" si="9"/>
        <v>231.92226030601918</v>
      </c>
      <c r="X36" s="257">
        <v>43610</v>
      </c>
      <c r="Y36" s="261" t="s">
        <v>892</v>
      </c>
      <c r="Z36" s="261" t="s">
        <v>829</v>
      </c>
      <c r="AA36" s="232"/>
      <c r="AB36" s="230">
        <f>T36-HLOOKUP(V36,[3]Minimas!$C$3:$CD$12,2,FALSE)</f>
        <v>76</v>
      </c>
      <c r="AC36" s="230">
        <f>T36-HLOOKUP(V36,[3]Minimas!$C$3:$CD$12,3,FALSE)</f>
        <v>56</v>
      </c>
      <c r="AD36" s="230">
        <f>T36-HLOOKUP(V36,[3]Minimas!$C$3:$CD$12,4,FALSE)</f>
        <v>36</v>
      </c>
      <c r="AE36" s="230">
        <f>T36-HLOOKUP(V36,[3]Minimas!$C$3:$CD$12,5,FALSE)</f>
        <v>16</v>
      </c>
      <c r="AF36" s="230">
        <f>T36-HLOOKUP(V36,[3]Minimas!$C$3:$CD$12,6,FALSE)</f>
        <v>-4</v>
      </c>
      <c r="AG36" s="230">
        <f>T36-HLOOKUP(V36,[3]Minimas!$C$3:$CD$12,7,FALSE)</f>
        <v>-24</v>
      </c>
      <c r="AH36" s="230">
        <f>T36-HLOOKUP(V36,[3]Minimas!$C$3:$CD$12,8,FALSE)</f>
        <v>-44</v>
      </c>
      <c r="AI36" s="230">
        <f>T36-HLOOKUP(V36,[3]Minimas!$C$3:$CD$12,9,FALSE)</f>
        <v>-64</v>
      </c>
      <c r="AJ36" s="230">
        <f>T36-HLOOKUP(V36,[3]Minimas!$C$3:$CD$12,10,FALSE)</f>
        <v>-139</v>
      </c>
      <c r="AK36" s="231" t="str">
        <f t="shared" si="10"/>
        <v>IRG +</v>
      </c>
      <c r="AL36" s="232"/>
      <c r="AM36" s="232" t="str">
        <f t="shared" si="11"/>
        <v>IRG +</v>
      </c>
      <c r="AN36" s="232">
        <f t="shared" si="12"/>
        <v>16</v>
      </c>
      <c r="AO36" s="232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38"/>
      <c r="CG36" s="38"/>
      <c r="CH36" s="38"/>
      <c r="CI36" s="38"/>
      <c r="CJ36" s="38"/>
      <c r="CK36" s="38"/>
      <c r="CL36" s="38"/>
      <c r="CM36" s="38"/>
      <c r="CN36" s="38"/>
      <c r="CO36" s="38"/>
      <c r="CP36" s="38"/>
      <c r="CQ36" s="38"/>
      <c r="CR36" s="38"/>
      <c r="CS36" s="38"/>
      <c r="CT36" s="38"/>
      <c r="CU36" s="38"/>
      <c r="CV36" s="38"/>
      <c r="CW36" s="38"/>
      <c r="CX36" s="38"/>
      <c r="CY36" s="38"/>
      <c r="CZ36" s="38"/>
      <c r="DA36" s="38"/>
      <c r="DB36" s="38"/>
      <c r="DC36" s="38"/>
      <c r="DD36" s="38"/>
      <c r="DE36" s="38"/>
      <c r="DF36" s="38"/>
      <c r="DG36" s="38"/>
      <c r="DH36" s="38"/>
      <c r="DI36" s="38"/>
      <c r="DJ36" s="38"/>
      <c r="DK36" s="38"/>
      <c r="DL36" s="38"/>
      <c r="DM36" s="38"/>
      <c r="DN36" s="38"/>
      <c r="DO36" s="38"/>
      <c r="DP36" s="38"/>
      <c r="DQ36" s="38"/>
      <c r="DR36" s="38"/>
      <c r="DS36" s="38"/>
      <c r="DT36" s="38"/>
    </row>
    <row r="37" spans="1:124" s="5" customFormat="1" ht="30" customHeight="1" x14ac:dyDescent="0.25">
      <c r="A37" s="1"/>
      <c r="B37" s="136" t="s">
        <v>543</v>
      </c>
      <c r="C37" s="516">
        <v>438376</v>
      </c>
      <c r="D37" s="167"/>
      <c r="E37" s="476" t="s">
        <v>40</v>
      </c>
      <c r="F37" s="143" t="s">
        <v>784</v>
      </c>
      <c r="G37" s="144" t="s">
        <v>785</v>
      </c>
      <c r="H37" s="145">
        <v>2002</v>
      </c>
      <c r="I37" s="172" t="s">
        <v>214</v>
      </c>
      <c r="J37" s="146" t="s">
        <v>44</v>
      </c>
      <c r="K37" s="200">
        <v>72.400000000000006</v>
      </c>
      <c r="L37" s="118">
        <v>40</v>
      </c>
      <c r="M37" s="118">
        <v>45</v>
      </c>
      <c r="N37" s="118">
        <v>-50</v>
      </c>
      <c r="O37" s="358">
        <f t="shared" si="6"/>
        <v>45</v>
      </c>
      <c r="P37" s="118">
        <v>55</v>
      </c>
      <c r="Q37" s="118">
        <v>60</v>
      </c>
      <c r="R37" s="118">
        <v>-67</v>
      </c>
      <c r="S37" s="358">
        <f t="shared" si="7"/>
        <v>60</v>
      </c>
      <c r="T37" s="359">
        <f>IF(E37="","",O37+S37)</f>
        <v>105</v>
      </c>
      <c r="U37" s="360" t="str">
        <f t="shared" si="8"/>
        <v>DEB 5</v>
      </c>
      <c r="V37" s="360" t="str">
        <f>IF(E37=0," ",IF(E37="H",IF(H37&lt;1999,VLOOKUP(K37,[22]Minimas!$A$15:$F$29,6),IF(AND(H37&gt;1998,H37&lt;2002),VLOOKUP(K37,[22]Minimas!$A$15:$F$29,5),IF(AND(H37&gt;2001,H37&lt;2004),VLOOKUP(K37,[22]Minimas!$A$15:$F$29,4),IF(AND(H37&gt;2003,H37&lt;2006),VLOOKUP(K37,[22]Minimas!$A$15:$F$29,3),VLOOKUP(K37,[22]Minimas!$A$15:$F$29,2))))),IF(H37&lt;1999,VLOOKUP(K37,[22]Minimas!$G$15:$L$29,6),IF(AND(H37&gt;1998,H37&lt;2002),VLOOKUP(K37,[22]Minimas!$G$15:$L$29,5),IF(AND(H37&gt;2001,H37&lt;2004),VLOOKUP(K37,[22]Minimas!$G$15:$L$29,4),IF(AND(H37&gt;2003,H37&lt;2006),VLOOKUP(K37,[22]Minimas!$G$15:$L$29,3),VLOOKUP(K37,[22]Minimas!$G$15:$L$29,2)))))))</f>
        <v>U17 M73</v>
      </c>
      <c r="W37" s="361">
        <f t="shared" si="9"/>
        <v>135.64093790585821</v>
      </c>
      <c r="X37" s="257">
        <v>43540</v>
      </c>
      <c r="Y37" s="261" t="s">
        <v>714</v>
      </c>
      <c r="Z37" s="261" t="s">
        <v>511</v>
      </c>
      <c r="AA37" s="463"/>
      <c r="AB37" s="230">
        <f>T37-HLOOKUP(V37,Minimas!$C$3:$CD$12,2,FALSE)</f>
        <v>5</v>
      </c>
      <c r="AC37" s="230">
        <f>T37-HLOOKUP(V37,Minimas!$C$3:$CD$12,3,FALSE)</f>
        <v>-15</v>
      </c>
      <c r="AD37" s="230">
        <f>T37-HLOOKUP(V37,Minimas!$C$3:$CD$12,4,FALSE)</f>
        <v>-35</v>
      </c>
      <c r="AE37" s="230">
        <f>T37-HLOOKUP(V37,Minimas!$C$3:$CD$12,5,FALSE)</f>
        <v>-55</v>
      </c>
      <c r="AF37" s="230">
        <f>T37-HLOOKUP(V37,Minimas!$C$3:$CD$12,6,FALSE)</f>
        <v>-75</v>
      </c>
      <c r="AG37" s="230">
        <f>T37-HLOOKUP(V37,Minimas!$C$3:$CD$12,7,FALSE)</f>
        <v>-95</v>
      </c>
      <c r="AH37" s="230">
        <f>T37-HLOOKUP(V37,Minimas!$C$3:$CD$12,8,FALSE)</f>
        <v>-115</v>
      </c>
      <c r="AI37" s="230">
        <f>T37-HLOOKUP(V37,Minimas!$C$3:$CD$12,9,FALSE)</f>
        <v>-135</v>
      </c>
      <c r="AJ37" s="230">
        <f>T37-HLOOKUP(V37,Minimas!$C$3:$CD$12,10,FALSE)</f>
        <v>-210</v>
      </c>
      <c r="AK37" s="231" t="str">
        <f t="shared" si="10"/>
        <v>DEB</v>
      </c>
      <c r="AL37" s="232"/>
      <c r="AM37" s="232" t="str">
        <f t="shared" si="11"/>
        <v>DEB</v>
      </c>
      <c r="AN37" s="232">
        <f t="shared" si="12"/>
        <v>5</v>
      </c>
      <c r="AO37" s="463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4"/>
      <c r="DT37" s="34"/>
    </row>
    <row r="38" spans="1:124" s="5" customFormat="1" ht="30" customHeight="1" x14ac:dyDescent="0.25">
      <c r="B38" s="516" t="s">
        <v>543</v>
      </c>
      <c r="C38" s="524">
        <v>431690</v>
      </c>
      <c r="D38" s="530"/>
      <c r="E38" s="476" t="s">
        <v>40</v>
      </c>
      <c r="F38" s="728" t="s">
        <v>305</v>
      </c>
      <c r="G38" s="735" t="s">
        <v>306</v>
      </c>
      <c r="H38" s="215">
        <v>2002</v>
      </c>
      <c r="I38" s="564" t="s">
        <v>214</v>
      </c>
      <c r="J38" s="146" t="s">
        <v>44</v>
      </c>
      <c r="K38" s="200">
        <v>76.3</v>
      </c>
      <c r="L38" s="118">
        <v>78</v>
      </c>
      <c r="M38" s="118">
        <v>83</v>
      </c>
      <c r="N38" s="118">
        <v>85</v>
      </c>
      <c r="O38" s="358">
        <f t="shared" si="6"/>
        <v>85</v>
      </c>
      <c r="P38" s="118">
        <v>108</v>
      </c>
      <c r="Q38" s="118">
        <v>113</v>
      </c>
      <c r="R38" s="118">
        <v>-121</v>
      </c>
      <c r="S38" s="358">
        <f t="shared" si="7"/>
        <v>113</v>
      </c>
      <c r="T38" s="359">
        <f t="shared" ref="T38:T43" si="14">IF(E38="","",IF(OR(O38=0,S38=0),0,O38+S38))</f>
        <v>198</v>
      </c>
      <c r="U38" s="360" t="str">
        <f t="shared" si="8"/>
        <v>FED + 8</v>
      </c>
      <c r="V38" s="360" t="str">
        <f>IF(E38=0," ",IF(E38="H",IF(H38&lt;1999,VLOOKUP(K38,[3]Minimas!$A$15:$F$29,6),IF(AND(H38&gt;1998,H38&lt;2002),VLOOKUP(K38,[3]Minimas!$A$15:$F$29,5),IF(AND(H38&gt;2001,H38&lt;2004),VLOOKUP(K38,[3]Minimas!$A$15:$F$29,4),IF(AND(H38&gt;2003,H38&lt;2006),VLOOKUP(K38,[3]Minimas!$A$15:$F$29,3),VLOOKUP(K38,[3]Minimas!$A$15:$F$29,2))))),IF(H38&lt;1999,VLOOKUP(K38,[3]Minimas!$G$15:$L$29,6),IF(AND(H38&gt;1998,H38&lt;2002),VLOOKUP(K38,[3]Minimas!$G$15:$L$29,5),IF(AND(H38&gt;2001,H38&lt;2004),VLOOKUP(K38,[3]Minimas!$G$15:$L$29,4),IF(AND(H38&gt;2003,H38&lt;2006),VLOOKUP(K38,[3]Minimas!$G$15:$L$29,3),VLOOKUP(K38,[3]Minimas!$G$15:$L$29,2)))))))</f>
        <v>U17 M81</v>
      </c>
      <c r="W38" s="361">
        <f t="shared" si="9"/>
        <v>248.3585954794498</v>
      </c>
      <c r="X38" s="257">
        <v>43595</v>
      </c>
      <c r="Y38" s="261" t="s">
        <v>867</v>
      </c>
      <c r="Z38" s="261" t="s">
        <v>868</v>
      </c>
      <c r="AA38" s="232"/>
      <c r="AB38" s="230">
        <f>T38-HLOOKUP(V38,[3]Minimas!$C$3:$CD$12,2,FALSE)</f>
        <v>88</v>
      </c>
      <c r="AC38" s="230">
        <f>T38-HLOOKUP(V38,[3]Minimas!$C$3:$CD$12,3,FALSE)</f>
        <v>68</v>
      </c>
      <c r="AD38" s="230">
        <f>T38-HLOOKUP(V38,[3]Minimas!$C$3:$CD$12,4,FALSE)</f>
        <v>48</v>
      </c>
      <c r="AE38" s="230">
        <f>T38-HLOOKUP(V38,[3]Minimas!$C$3:$CD$12,5,FALSE)</f>
        <v>28</v>
      </c>
      <c r="AF38" s="230">
        <f>T38-HLOOKUP(V38,[3]Minimas!$C$3:$CD$12,6,FALSE)</f>
        <v>8</v>
      </c>
      <c r="AG38" s="230">
        <f>T38-HLOOKUP(V38,[3]Minimas!$C$3:$CD$12,7,FALSE)</f>
        <v>-12</v>
      </c>
      <c r="AH38" s="230">
        <f>T38-HLOOKUP(V38,[3]Minimas!$C$3:$CD$12,8,FALSE)</f>
        <v>-32</v>
      </c>
      <c r="AI38" s="230">
        <f>T38-HLOOKUP(V38,[3]Minimas!$C$3:$CD$12,9,FALSE)</f>
        <v>-62</v>
      </c>
      <c r="AJ38" s="230">
        <f>T38-HLOOKUP(V38,[3]Minimas!$C$3:$CD$12,10,FALSE)</f>
        <v>-137</v>
      </c>
      <c r="AK38" s="231" t="str">
        <f t="shared" si="10"/>
        <v>FED +</v>
      </c>
      <c r="AL38" s="232"/>
      <c r="AM38" s="232" t="str">
        <f t="shared" si="11"/>
        <v>FED +</v>
      </c>
      <c r="AN38" s="232">
        <f t="shared" si="12"/>
        <v>8</v>
      </c>
      <c r="AO38" s="232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8"/>
      <c r="CE38" s="38"/>
      <c r="CF38" s="38"/>
      <c r="CG38" s="38"/>
      <c r="CH38" s="38"/>
      <c r="CI38" s="38"/>
      <c r="CJ38" s="38"/>
      <c r="CK38" s="38"/>
      <c r="CL38" s="38"/>
      <c r="CM38" s="38"/>
      <c r="CN38" s="38"/>
      <c r="CO38" s="38"/>
      <c r="CP38" s="38"/>
      <c r="CQ38" s="38"/>
      <c r="CR38" s="38"/>
      <c r="CS38" s="38"/>
      <c r="CT38" s="38"/>
      <c r="CU38" s="38"/>
      <c r="CV38" s="38"/>
      <c r="CW38" s="38"/>
      <c r="CX38" s="38"/>
      <c r="CY38" s="38"/>
      <c r="CZ38" s="38"/>
      <c r="DA38" s="38"/>
      <c r="DB38" s="38"/>
      <c r="DC38" s="38"/>
      <c r="DD38" s="38"/>
      <c r="DE38" s="38"/>
      <c r="DF38" s="38"/>
      <c r="DG38" s="38"/>
      <c r="DH38" s="38"/>
      <c r="DI38" s="38"/>
      <c r="DJ38" s="38"/>
      <c r="DK38" s="38"/>
      <c r="DL38" s="38"/>
      <c r="DM38" s="38"/>
      <c r="DN38" s="38"/>
      <c r="DO38" s="38"/>
      <c r="DP38" s="38"/>
      <c r="DQ38" s="38"/>
      <c r="DR38" s="38"/>
      <c r="DS38" s="38"/>
      <c r="DT38" s="38"/>
    </row>
    <row r="39" spans="1:124" s="5" customFormat="1" ht="30" customHeight="1" x14ac:dyDescent="0.25">
      <c r="B39" s="136" t="s">
        <v>543</v>
      </c>
      <c r="C39" s="116">
        <v>432760</v>
      </c>
      <c r="D39" s="119"/>
      <c r="E39" s="175" t="s">
        <v>40</v>
      </c>
      <c r="F39" s="124" t="s">
        <v>534</v>
      </c>
      <c r="G39" s="125" t="s">
        <v>266</v>
      </c>
      <c r="H39" s="156">
        <v>2002</v>
      </c>
      <c r="I39" s="127" t="s">
        <v>560</v>
      </c>
      <c r="J39" s="104"/>
      <c r="K39" s="126">
        <v>79.599999999999994</v>
      </c>
      <c r="L39" s="109">
        <v>65</v>
      </c>
      <c r="M39" s="109">
        <v>69</v>
      </c>
      <c r="N39" s="280">
        <v>-72</v>
      </c>
      <c r="O39" s="490">
        <f t="shared" si="6"/>
        <v>69</v>
      </c>
      <c r="P39" s="109">
        <v>85</v>
      </c>
      <c r="Q39" s="109">
        <v>90</v>
      </c>
      <c r="R39" s="109">
        <v>95</v>
      </c>
      <c r="S39" s="490">
        <f t="shared" si="7"/>
        <v>95</v>
      </c>
      <c r="T39" s="489">
        <f t="shared" si="14"/>
        <v>164</v>
      </c>
      <c r="U39" s="48" t="str">
        <f t="shared" si="8"/>
        <v>REG + 14</v>
      </c>
      <c r="V39" s="48" t="str">
        <f>IF(E39=0," ",IF(E39="H",IF(H39&lt;1999,VLOOKUP(K39,Minimas!$A$15:$F$29,6),IF(AND(H39&gt;1998,H39&lt;2002),VLOOKUP(K39,Minimas!$A$15:$F$29,5),IF(AND(H39&gt;2001,H39&lt;2004),VLOOKUP(K39,Minimas!$A$15:$F$29,4),IF(AND(H39&gt;2003,H39&lt;2006),VLOOKUP(K39,Minimas!$A$15:$F$29,3),VLOOKUP(K39,Minimas!$A$15:$F$29,2))))),IF(H39&lt;1999,VLOOKUP(K39,Minimas!$G$15:$L$29,6),IF(AND(H39&gt;1998,H39&lt;2002),VLOOKUP(K39,Minimas!$G$15:$L$29,5),IF(AND(H39&gt;2001,H39&lt;2004),VLOOKUP(K39,Minimas!$G$15:$L$29,4),IF(AND(H39&gt;2003,H39&lt;2006),VLOOKUP(K39,Minimas!$G$15:$L$29,3),VLOOKUP(K39,Minimas!$G$15:$L$29,2)))))))</f>
        <v>U17 M81</v>
      </c>
      <c r="W39" s="49">
        <f t="shared" si="9"/>
        <v>201.14421307184458</v>
      </c>
      <c r="X39" s="257">
        <v>43484</v>
      </c>
      <c r="Y39" s="261" t="s">
        <v>630</v>
      </c>
      <c r="Z39" s="261" t="s">
        <v>581</v>
      </c>
      <c r="AA39" s="232"/>
      <c r="AB39" s="230">
        <f>T39-HLOOKUP(V39,Minimas!$C$3:$CD$12,2,FALSE)</f>
        <v>54</v>
      </c>
      <c r="AC39" s="230">
        <f>T39-HLOOKUP(V39,Minimas!$C$3:$CD$12,3,FALSE)</f>
        <v>34</v>
      </c>
      <c r="AD39" s="230">
        <f>T39-HLOOKUP(V39,Minimas!$C$3:$CD$12,4,FALSE)</f>
        <v>14</v>
      </c>
      <c r="AE39" s="230">
        <f>T39-HLOOKUP(V39,Minimas!$C$3:$CD$12,5,FALSE)</f>
        <v>-6</v>
      </c>
      <c r="AF39" s="230">
        <f>T39-HLOOKUP(V39,Minimas!$C$3:$CD$12,6,FALSE)</f>
        <v>-26</v>
      </c>
      <c r="AG39" s="230">
        <f>T39-HLOOKUP(V39,Minimas!$C$3:$CD$12,7,FALSE)</f>
        <v>-46</v>
      </c>
      <c r="AH39" s="230">
        <f>T39-HLOOKUP(V39,Minimas!$C$3:$CD$12,8,FALSE)</f>
        <v>-66</v>
      </c>
      <c r="AI39" s="230">
        <f>T39-HLOOKUP(V39,Minimas!$C$3:$CD$12,9,FALSE)</f>
        <v>-96</v>
      </c>
      <c r="AJ39" s="230">
        <f>T39-HLOOKUP(V39,Minimas!$C$3:$CD$12,10,FALSE)</f>
        <v>-171</v>
      </c>
      <c r="AK39" s="231" t="str">
        <f t="shared" si="10"/>
        <v>REG +</v>
      </c>
      <c r="AL39" s="232"/>
      <c r="AM39" s="232" t="str">
        <f t="shared" si="11"/>
        <v>REG +</v>
      </c>
      <c r="AN39" s="232">
        <f t="shared" si="12"/>
        <v>14</v>
      </c>
      <c r="AO39" s="232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8"/>
      <c r="CE39" s="38"/>
      <c r="CF39" s="38"/>
      <c r="CG39" s="38"/>
      <c r="CH39" s="38"/>
      <c r="CI39" s="38"/>
      <c r="CJ39" s="38"/>
      <c r="CK39" s="38"/>
      <c r="CL39" s="38"/>
      <c r="CM39" s="38"/>
      <c r="CN39" s="38"/>
      <c r="CO39" s="38"/>
      <c r="CP39" s="38"/>
      <c r="CQ39" s="38"/>
      <c r="CR39" s="38"/>
      <c r="CS39" s="38"/>
      <c r="CT39" s="38"/>
      <c r="CU39" s="38"/>
      <c r="CV39" s="38"/>
      <c r="CW39" s="38"/>
      <c r="CX39" s="38"/>
      <c r="CY39" s="38"/>
      <c r="CZ39" s="38"/>
      <c r="DA39" s="38"/>
      <c r="DB39" s="38"/>
      <c r="DC39" s="38"/>
      <c r="DD39" s="38"/>
      <c r="DE39" s="38"/>
      <c r="DF39" s="38"/>
      <c r="DG39" s="38"/>
      <c r="DH39" s="38"/>
      <c r="DI39" s="38"/>
      <c r="DJ39" s="38"/>
      <c r="DK39" s="38"/>
      <c r="DL39" s="38"/>
      <c r="DM39" s="38"/>
      <c r="DN39" s="38"/>
      <c r="DO39" s="38"/>
      <c r="DP39" s="38"/>
      <c r="DQ39" s="38"/>
      <c r="DR39" s="38"/>
      <c r="DS39" s="38"/>
      <c r="DT39" s="38"/>
    </row>
    <row r="40" spans="1:124" s="5" customFormat="1" ht="30" customHeight="1" x14ac:dyDescent="0.3">
      <c r="B40" s="136" t="s">
        <v>543</v>
      </c>
      <c r="C40" s="116">
        <v>434306</v>
      </c>
      <c r="D40" s="119"/>
      <c r="E40" s="175" t="s">
        <v>40</v>
      </c>
      <c r="F40" s="124" t="s">
        <v>439</v>
      </c>
      <c r="G40" s="125" t="s">
        <v>300</v>
      </c>
      <c r="H40" s="156">
        <v>2002</v>
      </c>
      <c r="I40" s="127" t="s">
        <v>440</v>
      </c>
      <c r="J40" s="165" t="s">
        <v>44</v>
      </c>
      <c r="K40" s="126">
        <v>80.5</v>
      </c>
      <c r="L40" s="133">
        <v>65</v>
      </c>
      <c r="M40" s="133">
        <v>70</v>
      </c>
      <c r="N40" s="133">
        <v>73</v>
      </c>
      <c r="O40" s="52">
        <f t="shared" si="6"/>
        <v>73</v>
      </c>
      <c r="P40" s="133">
        <v>80</v>
      </c>
      <c r="Q40" s="133">
        <v>85</v>
      </c>
      <c r="R40" s="133">
        <v>88</v>
      </c>
      <c r="S40" s="52">
        <f t="shared" si="7"/>
        <v>88</v>
      </c>
      <c r="T40" s="51">
        <f t="shared" si="14"/>
        <v>161</v>
      </c>
      <c r="U40" s="48" t="str">
        <f t="shared" si="8"/>
        <v>REG + 11</v>
      </c>
      <c r="V40" s="48" t="str">
        <f>IF(E40=0," ",IF(E40="H",IF(H40&lt;1999,VLOOKUP(K40,Minimas!$A$15:$F$29,6),IF(AND(H40&gt;1998,H40&lt;2002),VLOOKUP(K40,Minimas!$A$15:$F$29,5),IF(AND(H40&gt;2001,H40&lt;2004),VLOOKUP(K40,Minimas!$A$15:$F$29,4),IF(AND(H40&gt;2003,H40&lt;2006),VLOOKUP(K40,Minimas!$A$15:$F$29,3),VLOOKUP(K40,Minimas!$A$15:$F$29,2))))),IF(H40&lt;1999,VLOOKUP(K40,Minimas!$G$15:$L$29,6),IF(AND(H40&gt;1998,H40&lt;2002),VLOOKUP(K40,Minimas!$G$15:$L$29,5),IF(AND(H40&gt;2001,H40&lt;2004),VLOOKUP(K40,Minimas!$G$15:$L$29,4),IF(AND(H40&gt;2003,H40&lt;2006),VLOOKUP(K40,Minimas!$G$15:$L$29,3),VLOOKUP(K40,Minimas!$G$15:$L$29,2)))))))</f>
        <v>U17 M81</v>
      </c>
      <c r="W40" s="49">
        <f t="shared" si="9"/>
        <v>196.32967935154264</v>
      </c>
      <c r="X40" s="184">
        <v>43429</v>
      </c>
      <c r="Y40" s="284" t="s">
        <v>509</v>
      </c>
      <c r="Z40" s="284" t="s">
        <v>510</v>
      </c>
      <c r="AA40" s="232"/>
      <c r="AB40" s="230">
        <f>T40-HLOOKUP(V40,Minimas!$C$3:$CD$12,2,FALSE)</f>
        <v>51</v>
      </c>
      <c r="AC40" s="230">
        <f>T40-HLOOKUP(V40,Minimas!$C$3:$CD$12,3,FALSE)</f>
        <v>31</v>
      </c>
      <c r="AD40" s="230">
        <f>T40-HLOOKUP(V40,Minimas!$C$3:$CD$12,4,FALSE)</f>
        <v>11</v>
      </c>
      <c r="AE40" s="230">
        <f>T40-HLOOKUP(V40,Minimas!$C$3:$CD$12,5,FALSE)</f>
        <v>-9</v>
      </c>
      <c r="AF40" s="230">
        <f>T40-HLOOKUP(V40,Minimas!$C$3:$CD$12,6,FALSE)</f>
        <v>-29</v>
      </c>
      <c r="AG40" s="230">
        <f>T40-HLOOKUP(V40,Minimas!$C$3:$CD$12,7,FALSE)</f>
        <v>-49</v>
      </c>
      <c r="AH40" s="230">
        <f>T40-HLOOKUP(V40,Minimas!$C$3:$CD$12,8,FALSE)</f>
        <v>-69</v>
      </c>
      <c r="AI40" s="230">
        <f>T40-HLOOKUP(V40,Minimas!$C$3:$CD$12,9,FALSE)</f>
        <v>-99</v>
      </c>
      <c r="AJ40" s="230">
        <f>T40-HLOOKUP(V40,Minimas!$C$3:$CD$12,10,FALSE)</f>
        <v>-174</v>
      </c>
      <c r="AK40" s="231" t="str">
        <f t="shared" si="10"/>
        <v>REG +</v>
      </c>
      <c r="AL40" s="232"/>
      <c r="AM40" s="232" t="str">
        <f t="shared" si="11"/>
        <v>REG +</v>
      </c>
      <c r="AN40" s="232">
        <f t="shared" si="12"/>
        <v>11</v>
      </c>
      <c r="AO40" s="232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8"/>
      <c r="CE40" s="38"/>
      <c r="CF40" s="38"/>
      <c r="CG40" s="38"/>
      <c r="CH40" s="38"/>
      <c r="CI40" s="38"/>
      <c r="CJ40" s="38"/>
      <c r="CK40" s="38"/>
      <c r="CL40" s="38"/>
      <c r="CM40" s="38"/>
      <c r="CN40" s="38"/>
      <c r="CO40" s="38"/>
      <c r="CP40" s="38"/>
      <c r="CQ40" s="38"/>
      <c r="CR40" s="38"/>
      <c r="CS40" s="38"/>
      <c r="CT40" s="38"/>
      <c r="CU40" s="38"/>
      <c r="CV40" s="38"/>
      <c r="CW40" s="38"/>
      <c r="CX40" s="38"/>
      <c r="CY40" s="38"/>
      <c r="CZ40" s="38"/>
      <c r="DA40" s="38"/>
      <c r="DB40" s="38"/>
      <c r="DC40" s="38"/>
      <c r="DD40" s="38"/>
      <c r="DE40" s="38"/>
      <c r="DF40" s="38"/>
      <c r="DG40" s="38"/>
      <c r="DH40" s="38"/>
      <c r="DI40" s="38"/>
      <c r="DJ40" s="38"/>
      <c r="DK40" s="38"/>
      <c r="DL40" s="38"/>
      <c r="DM40" s="38"/>
      <c r="DN40" s="38"/>
      <c r="DO40" s="38"/>
      <c r="DP40" s="38"/>
      <c r="DQ40" s="38"/>
      <c r="DR40" s="38"/>
      <c r="DS40" s="38"/>
      <c r="DT40" s="38"/>
    </row>
    <row r="41" spans="1:124" s="5" customFormat="1" ht="30" customHeight="1" x14ac:dyDescent="0.3">
      <c r="B41" s="136" t="s">
        <v>543</v>
      </c>
      <c r="C41" s="173">
        <v>428559</v>
      </c>
      <c r="D41" s="174"/>
      <c r="E41" s="175" t="s">
        <v>40</v>
      </c>
      <c r="F41" s="176" t="s">
        <v>307</v>
      </c>
      <c r="G41" s="177" t="s">
        <v>263</v>
      </c>
      <c r="H41" s="178">
        <v>2002</v>
      </c>
      <c r="I41" s="181" t="s">
        <v>214</v>
      </c>
      <c r="J41" s="104" t="s">
        <v>44</v>
      </c>
      <c r="K41" s="180">
        <v>80</v>
      </c>
      <c r="L41" s="133">
        <v>47</v>
      </c>
      <c r="M41" s="133">
        <v>51</v>
      </c>
      <c r="N41" s="133">
        <v>55</v>
      </c>
      <c r="O41" s="490">
        <f t="shared" si="6"/>
        <v>55</v>
      </c>
      <c r="P41" s="133">
        <v>60</v>
      </c>
      <c r="Q41" s="133">
        <v>67</v>
      </c>
      <c r="R41" s="133">
        <v>74</v>
      </c>
      <c r="S41" s="490">
        <f t="shared" si="7"/>
        <v>74</v>
      </c>
      <c r="T41" s="489">
        <f t="shared" si="14"/>
        <v>129</v>
      </c>
      <c r="U41" s="48" t="str">
        <f t="shared" si="8"/>
        <v>DEB 19</v>
      </c>
      <c r="V41" s="48" t="str">
        <f>IF(E41=0," ",IF(E41="H",IF(H41&lt;1999,VLOOKUP(K41,Minimas!$A$15:$F$29,6),IF(AND(H41&gt;1998,H41&lt;2002),VLOOKUP(K41,Minimas!$A$15:$F$29,5),IF(AND(H41&gt;2001,H41&lt;2004),VLOOKUP(K41,Minimas!$A$15:$F$29,4),IF(AND(H41&gt;2003,H41&lt;2006),VLOOKUP(K41,Minimas!$A$15:$F$29,3),VLOOKUP(K41,Minimas!$A$15:$F$29,2))))),IF(H41&lt;1999,VLOOKUP(K41,Minimas!$G$15:$L$29,6),IF(AND(H41&gt;1998,H41&lt;2002),VLOOKUP(K41,Minimas!$G$15:$L$29,5),IF(AND(H41&gt;2001,H41&lt;2004),VLOOKUP(K41,Minimas!$G$15:$L$29,4),IF(AND(H41&gt;2003,H41&lt;2006),VLOOKUP(K41,Minimas!$G$15:$L$29,3),VLOOKUP(K41,Minimas!$G$15:$L$29,2)))))))</f>
        <v>U17 M81</v>
      </c>
      <c r="W41" s="49">
        <f t="shared" si="9"/>
        <v>157.8093684703916</v>
      </c>
      <c r="X41" s="184">
        <v>43435</v>
      </c>
      <c r="Y41" s="284" t="s">
        <v>509</v>
      </c>
      <c r="Z41" s="284" t="s">
        <v>511</v>
      </c>
      <c r="AA41" s="232"/>
      <c r="AB41" s="230">
        <f>T41-HLOOKUP(V41,Minimas!$C$3:$CD$12,2,FALSE)</f>
        <v>19</v>
      </c>
      <c r="AC41" s="230">
        <f>T41-HLOOKUP(V41,Minimas!$C$3:$CD$12,3,FALSE)</f>
        <v>-1</v>
      </c>
      <c r="AD41" s="230">
        <f>T41-HLOOKUP(V41,Minimas!$C$3:$CD$12,4,FALSE)</f>
        <v>-21</v>
      </c>
      <c r="AE41" s="230">
        <f>T41-HLOOKUP(V41,Minimas!$C$3:$CD$12,5,FALSE)</f>
        <v>-41</v>
      </c>
      <c r="AF41" s="230">
        <f>T41-HLOOKUP(V41,Minimas!$C$3:$CD$12,6,FALSE)</f>
        <v>-61</v>
      </c>
      <c r="AG41" s="230">
        <f>T41-HLOOKUP(V41,Minimas!$C$3:$CD$12,7,FALSE)</f>
        <v>-81</v>
      </c>
      <c r="AH41" s="230">
        <f>T41-HLOOKUP(V41,Minimas!$C$3:$CD$12,8,FALSE)</f>
        <v>-101</v>
      </c>
      <c r="AI41" s="230">
        <f>T41-HLOOKUP(V41,Minimas!$C$3:$CD$12,9,FALSE)</f>
        <v>-131</v>
      </c>
      <c r="AJ41" s="230">
        <f>T41-HLOOKUP(V41,Minimas!$C$3:$CD$12,10,FALSE)</f>
        <v>-206</v>
      </c>
      <c r="AK41" s="231" t="str">
        <f t="shared" si="10"/>
        <v>DEB</v>
      </c>
      <c r="AL41" s="232"/>
      <c r="AM41" s="232" t="str">
        <f t="shared" si="11"/>
        <v>DEB</v>
      </c>
      <c r="AN41" s="232">
        <f t="shared" si="12"/>
        <v>19</v>
      </c>
      <c r="AO41" s="232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38"/>
      <c r="BS41" s="38"/>
      <c r="BT41" s="38"/>
      <c r="BU41" s="38"/>
      <c r="BV41" s="38"/>
      <c r="BW41" s="38"/>
      <c r="BX41" s="38"/>
      <c r="BY41" s="38"/>
      <c r="BZ41" s="38"/>
      <c r="CA41" s="38"/>
      <c r="CB41" s="38"/>
      <c r="CC41" s="38"/>
      <c r="CD41" s="38"/>
      <c r="CE41" s="38"/>
      <c r="CF41" s="38"/>
      <c r="CG41" s="38"/>
      <c r="CH41" s="38"/>
      <c r="CI41" s="38"/>
      <c r="CJ41" s="38"/>
      <c r="CK41" s="38"/>
      <c r="CL41" s="38"/>
      <c r="CM41" s="38"/>
      <c r="CN41" s="38"/>
      <c r="CO41" s="38"/>
      <c r="CP41" s="38"/>
      <c r="CQ41" s="38"/>
      <c r="CR41" s="38"/>
      <c r="CS41" s="38"/>
      <c r="CT41" s="38"/>
      <c r="CU41" s="38"/>
      <c r="CV41" s="38"/>
      <c r="CW41" s="38"/>
      <c r="CX41" s="38"/>
      <c r="CY41" s="38"/>
      <c r="CZ41" s="38"/>
      <c r="DA41" s="38"/>
      <c r="DB41" s="38"/>
      <c r="DC41" s="38"/>
      <c r="DD41" s="38"/>
      <c r="DE41" s="38"/>
      <c r="DF41" s="38"/>
      <c r="DG41" s="38"/>
      <c r="DH41" s="38"/>
      <c r="DI41" s="38"/>
      <c r="DJ41" s="38"/>
      <c r="DK41" s="38"/>
      <c r="DL41" s="38"/>
      <c r="DM41" s="38"/>
      <c r="DN41" s="38"/>
      <c r="DO41" s="38"/>
      <c r="DP41" s="38"/>
      <c r="DQ41" s="38"/>
      <c r="DR41" s="38"/>
      <c r="DS41" s="38"/>
      <c r="DT41" s="38"/>
    </row>
    <row r="42" spans="1:124" s="5" customFormat="1" ht="30" customHeight="1" x14ac:dyDescent="0.25">
      <c r="B42" s="685" t="s">
        <v>543</v>
      </c>
      <c r="C42" s="166">
        <v>446597</v>
      </c>
      <c r="D42" s="167"/>
      <c r="E42" s="476" t="s">
        <v>40</v>
      </c>
      <c r="F42" s="217" t="s">
        <v>677</v>
      </c>
      <c r="G42" s="144" t="s">
        <v>678</v>
      </c>
      <c r="H42" s="218">
        <v>2003</v>
      </c>
      <c r="I42" s="169" t="s">
        <v>139</v>
      </c>
      <c r="J42" s="168" t="s">
        <v>44</v>
      </c>
      <c r="K42" s="147">
        <v>74.3</v>
      </c>
      <c r="L42" s="118">
        <v>33</v>
      </c>
      <c r="M42" s="118">
        <v>40</v>
      </c>
      <c r="N42" s="118">
        <v>-45</v>
      </c>
      <c r="O42" s="490">
        <f t="shared" si="6"/>
        <v>40</v>
      </c>
      <c r="P42" s="118">
        <v>-60</v>
      </c>
      <c r="Q42" s="118">
        <v>63</v>
      </c>
      <c r="R42" s="118">
        <v>-67</v>
      </c>
      <c r="S42" s="490">
        <f t="shared" si="7"/>
        <v>63</v>
      </c>
      <c r="T42" s="489">
        <f t="shared" si="14"/>
        <v>103</v>
      </c>
      <c r="U42" s="48" t="str">
        <f t="shared" si="8"/>
        <v>DEB -7</v>
      </c>
      <c r="V42" s="48" t="str">
        <f>IF(E42=0," ",IF(E42="H",IF(H42&lt;1999,VLOOKUP(K42,[25]Minimas!$A$15:$F$29,6),IF(AND(H42&gt;1998,H42&lt;2002),VLOOKUP(K42,[25]Minimas!$A$15:$F$29,5),IF(AND(H42&gt;2001,H42&lt;2004),VLOOKUP(K42,[25]Minimas!$A$15:$F$29,4),IF(AND(H42&gt;2003,H42&lt;2006),VLOOKUP(K42,[25]Minimas!$A$15:$F$29,3),VLOOKUP(K42,[25]Minimas!$A$15:$F$29,2))))),IF(H42&lt;1999,VLOOKUP(K42,[25]Minimas!$G$15:$L$29,6),IF(AND(H42&gt;1998,H42&lt;2002),VLOOKUP(K42,[25]Minimas!$G$15:$L$29,5),IF(AND(H42&gt;2001,H42&lt;2004),VLOOKUP(K42,[25]Minimas!$G$15:$L$29,4),IF(AND(H42&gt;2003,H42&lt;2006),VLOOKUP(K42,[25]Minimas!$G$15:$L$29,3),VLOOKUP(K42,[25]Minimas!$G$15:$L$29,2)))))))</f>
        <v>U17 M81</v>
      </c>
      <c r="W42" s="49">
        <f t="shared" si="9"/>
        <v>131.10748518378807</v>
      </c>
      <c r="X42" s="257">
        <v>43492</v>
      </c>
      <c r="Y42" s="261" t="s">
        <v>525</v>
      </c>
      <c r="Z42" s="261" t="s">
        <v>695</v>
      </c>
      <c r="AA42" s="232"/>
      <c r="AB42" s="230">
        <f>T42-HLOOKUP(V42,Minimas!$C$3:$CD$12,2,FALSE)</f>
        <v>-7</v>
      </c>
      <c r="AC42" s="230">
        <f>T42-HLOOKUP(V42,Minimas!$C$3:$CD$12,3,FALSE)</f>
        <v>-27</v>
      </c>
      <c r="AD42" s="230">
        <f>T42-HLOOKUP(V42,Minimas!$C$3:$CD$12,4,FALSE)</f>
        <v>-47</v>
      </c>
      <c r="AE42" s="230">
        <f>T42-HLOOKUP(V42,Minimas!$C$3:$CD$12,5,FALSE)</f>
        <v>-67</v>
      </c>
      <c r="AF42" s="230">
        <f>T42-HLOOKUP(V42,Minimas!$C$3:$CD$12,6,FALSE)</f>
        <v>-87</v>
      </c>
      <c r="AG42" s="230">
        <f>T42-HLOOKUP(V42,Minimas!$C$3:$CD$12,7,FALSE)</f>
        <v>-107</v>
      </c>
      <c r="AH42" s="230">
        <f>T42-HLOOKUP(V42,Minimas!$C$3:$CD$12,8,FALSE)</f>
        <v>-127</v>
      </c>
      <c r="AI42" s="230">
        <f>T42-HLOOKUP(V42,Minimas!$C$3:$CD$12,9,FALSE)</f>
        <v>-157</v>
      </c>
      <c r="AJ42" s="230">
        <f>T42-HLOOKUP(V42,Minimas!$C$3:$CD$12,10,FALSE)</f>
        <v>-232</v>
      </c>
      <c r="AK42" s="231" t="str">
        <f t="shared" si="10"/>
        <v>DEB</v>
      </c>
      <c r="AL42" s="232"/>
      <c r="AM42" s="232" t="str">
        <f t="shared" si="11"/>
        <v>DEB</v>
      </c>
      <c r="AN42" s="232">
        <f t="shared" si="12"/>
        <v>-7</v>
      </c>
      <c r="AO42" s="232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  <c r="BQ42" s="38"/>
      <c r="BR42" s="38"/>
      <c r="BS42" s="38"/>
      <c r="BT42" s="38"/>
      <c r="BU42" s="38"/>
      <c r="BV42" s="38"/>
      <c r="BW42" s="38"/>
      <c r="BX42" s="38"/>
      <c r="BY42" s="38"/>
      <c r="BZ42" s="38"/>
      <c r="CA42" s="38"/>
      <c r="CB42" s="38"/>
      <c r="CC42" s="38"/>
      <c r="CD42" s="38"/>
      <c r="CE42" s="38"/>
      <c r="CF42" s="38"/>
      <c r="CG42" s="38"/>
      <c r="CH42" s="38"/>
      <c r="CI42" s="38"/>
      <c r="CJ42" s="38"/>
      <c r="CK42" s="38"/>
      <c r="CL42" s="38"/>
      <c r="CM42" s="38"/>
      <c r="CN42" s="38"/>
      <c r="CO42" s="38"/>
      <c r="CP42" s="38"/>
      <c r="CQ42" s="38"/>
      <c r="CR42" s="38"/>
      <c r="CS42" s="38"/>
      <c r="CT42" s="38"/>
      <c r="CU42" s="38"/>
      <c r="CV42" s="38"/>
      <c r="CW42" s="38"/>
      <c r="CX42" s="38"/>
      <c r="CY42" s="38"/>
      <c r="CZ42" s="38"/>
      <c r="DA42" s="38"/>
      <c r="DB42" s="38"/>
      <c r="DC42" s="38"/>
      <c r="DD42" s="38"/>
      <c r="DE42" s="38"/>
      <c r="DF42" s="38"/>
      <c r="DG42" s="38"/>
      <c r="DH42" s="38"/>
      <c r="DI42" s="38"/>
      <c r="DJ42" s="38"/>
      <c r="DK42" s="38"/>
      <c r="DL42" s="38"/>
      <c r="DM42" s="38"/>
      <c r="DN42" s="38"/>
      <c r="DO42" s="38"/>
      <c r="DP42" s="38"/>
      <c r="DQ42" s="38"/>
      <c r="DR42" s="38"/>
      <c r="DS42" s="38"/>
      <c r="DT42" s="38"/>
    </row>
    <row r="43" spans="1:124" s="5" customFormat="1" ht="30" customHeight="1" x14ac:dyDescent="0.25">
      <c r="B43" s="685" t="s">
        <v>543</v>
      </c>
      <c r="C43" s="166">
        <v>43276</v>
      </c>
      <c r="D43" s="167"/>
      <c r="E43" s="476" t="s">
        <v>40</v>
      </c>
      <c r="F43" s="217" t="s">
        <v>534</v>
      </c>
      <c r="G43" s="144" t="s">
        <v>246</v>
      </c>
      <c r="H43" s="218">
        <v>2002</v>
      </c>
      <c r="I43" s="169" t="s">
        <v>155</v>
      </c>
      <c r="J43" s="168" t="s">
        <v>44</v>
      </c>
      <c r="K43" s="200">
        <v>81.2</v>
      </c>
      <c r="L43" s="118">
        <v>66</v>
      </c>
      <c r="M43" s="118">
        <v>70</v>
      </c>
      <c r="N43" s="148">
        <v>-72</v>
      </c>
      <c r="O43" s="490">
        <f t="shared" si="6"/>
        <v>70</v>
      </c>
      <c r="P43" s="118">
        <v>94</v>
      </c>
      <c r="Q43" s="118">
        <v>97</v>
      </c>
      <c r="R43" s="118">
        <v>100</v>
      </c>
      <c r="S43" s="490">
        <f t="shared" si="7"/>
        <v>100</v>
      </c>
      <c r="T43" s="489">
        <f t="shared" si="14"/>
        <v>170</v>
      </c>
      <c r="U43" s="48" t="str">
        <f t="shared" si="8"/>
        <v>REG + 10</v>
      </c>
      <c r="V43" s="48" t="str">
        <f>IF(E43=0," ",IF(E43="H",IF(H43&lt;1999,VLOOKUP(K43,[5]Minimas!$A$15:$F$29,6),IF(AND(H43&gt;1998,H43&lt;2002),VLOOKUP(K43,[5]Minimas!$A$15:$F$29,5),IF(AND(H43&gt;2001,H43&lt;2004),VLOOKUP(K43,[5]Minimas!$A$15:$F$29,4),IF(AND(H43&gt;2003,H43&lt;2006),VLOOKUP(K43,[5]Minimas!$A$15:$F$29,3),VLOOKUP(K43,[5]Minimas!$A$15:$F$29,2))))),IF(H43&lt;1999,VLOOKUP(K43,[5]Minimas!$G$15:$L$29,6),IF(AND(H43&gt;1998,H43&lt;2002),VLOOKUP(K43,[5]Minimas!$G$15:$L$29,5),IF(AND(H43&gt;2001,H43&lt;2004),VLOOKUP(K43,[5]Minimas!$G$15:$L$29,4),IF(AND(H43&gt;2003,H43&lt;2006),VLOOKUP(K43,[5]Minimas!$G$15:$L$29,3),VLOOKUP(K43,[5]Minimas!$G$15:$L$29,2)))))))</f>
        <v>U17 M89</v>
      </c>
      <c r="W43" s="49">
        <f t="shared" si="9"/>
        <v>206.39798895400074</v>
      </c>
      <c r="X43" s="257">
        <v>43555</v>
      </c>
      <c r="Y43" s="261" t="s">
        <v>805</v>
      </c>
      <c r="Z43" s="261" t="s">
        <v>806</v>
      </c>
      <c r="AA43" s="232"/>
      <c r="AB43" s="230">
        <f>T43-HLOOKUP(V43,[5]Minimas!$C$3:$CD$12,2,FALSE)</f>
        <v>55</v>
      </c>
      <c r="AC43" s="230">
        <f>T43-HLOOKUP(V43,[5]Minimas!$C$3:$CD$12,3,FALSE)</f>
        <v>35</v>
      </c>
      <c r="AD43" s="230">
        <f>T43-HLOOKUP(V43,[5]Minimas!$C$3:$CD$12,4,FALSE)</f>
        <v>10</v>
      </c>
      <c r="AE43" s="230">
        <f>T43-HLOOKUP(V43,[5]Minimas!$C$3:$CD$12,5,FALSE)</f>
        <v>-10</v>
      </c>
      <c r="AF43" s="230">
        <f>T43-HLOOKUP(V43,[5]Minimas!$C$3:$CD$12,6,FALSE)</f>
        <v>-30</v>
      </c>
      <c r="AG43" s="230">
        <f>T43-HLOOKUP(V43,[5]Minimas!$C$3:$CD$12,7,FALSE)</f>
        <v>-50</v>
      </c>
      <c r="AH43" s="230">
        <f>T43-HLOOKUP(V43,[5]Minimas!$C$3:$CD$12,8,FALSE)</f>
        <v>-70</v>
      </c>
      <c r="AI43" s="230">
        <f>T43-HLOOKUP(V43,[5]Minimas!$C$3:$CD$12,9,FALSE)</f>
        <v>-100</v>
      </c>
      <c r="AJ43" s="230">
        <f>T43-HLOOKUP(V43,[5]Minimas!$C$3:$CD$12,10,FALSE)</f>
        <v>-190</v>
      </c>
      <c r="AK43" s="231" t="str">
        <f t="shared" si="10"/>
        <v>REG +</v>
      </c>
      <c r="AL43" s="232"/>
      <c r="AM43" s="232" t="str">
        <f t="shared" si="11"/>
        <v>REG +</v>
      </c>
      <c r="AN43" s="232">
        <f t="shared" si="12"/>
        <v>10</v>
      </c>
      <c r="AO43" s="232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  <c r="BQ43" s="38"/>
      <c r="BR43" s="38"/>
      <c r="BS43" s="38"/>
      <c r="BT43" s="38"/>
      <c r="BU43" s="38"/>
      <c r="BV43" s="38"/>
      <c r="BW43" s="38"/>
      <c r="BX43" s="38"/>
      <c r="BY43" s="38"/>
      <c r="BZ43" s="38"/>
      <c r="CA43" s="38"/>
      <c r="CB43" s="38"/>
      <c r="CC43" s="38"/>
      <c r="CD43" s="38"/>
      <c r="CE43" s="38"/>
      <c r="CF43" s="38"/>
      <c r="CG43" s="38"/>
      <c r="CH43" s="38"/>
      <c r="CI43" s="38"/>
      <c r="CJ43" s="38"/>
      <c r="CK43" s="38"/>
      <c r="CL43" s="38"/>
      <c r="CM43" s="38"/>
      <c r="CN43" s="38"/>
      <c r="CO43" s="38"/>
      <c r="CP43" s="38"/>
      <c r="CQ43" s="38"/>
      <c r="CR43" s="38"/>
      <c r="CS43" s="38"/>
      <c r="CT43" s="38"/>
      <c r="CU43" s="38"/>
      <c r="CV43" s="38"/>
      <c r="CW43" s="38"/>
      <c r="CX43" s="38"/>
      <c r="CY43" s="38"/>
      <c r="CZ43" s="38"/>
      <c r="DA43" s="38"/>
      <c r="DB43" s="38"/>
      <c r="DC43" s="38"/>
      <c r="DD43" s="38"/>
      <c r="DE43" s="38"/>
      <c r="DF43" s="38"/>
      <c r="DG43" s="38"/>
      <c r="DH43" s="38"/>
      <c r="DI43" s="38"/>
      <c r="DJ43" s="38"/>
      <c r="DK43" s="38"/>
      <c r="DL43" s="38"/>
      <c r="DM43" s="38"/>
      <c r="DN43" s="38"/>
      <c r="DO43" s="38"/>
      <c r="DP43" s="38"/>
      <c r="DQ43" s="38"/>
      <c r="DR43" s="38"/>
      <c r="DS43" s="38"/>
      <c r="DT43" s="38"/>
    </row>
    <row r="44" spans="1:124" s="5" customFormat="1" ht="30" customHeight="1" x14ac:dyDescent="0.25">
      <c r="A44" s="387"/>
      <c r="B44" s="690" t="s">
        <v>543</v>
      </c>
      <c r="C44" s="690">
        <v>428559</v>
      </c>
      <c r="D44" s="711"/>
      <c r="E44" s="175" t="s">
        <v>40</v>
      </c>
      <c r="F44" s="176" t="s">
        <v>307</v>
      </c>
      <c r="G44" s="177" t="s">
        <v>646</v>
      </c>
      <c r="H44" s="178">
        <v>2002</v>
      </c>
      <c r="I44" s="179" t="s">
        <v>214</v>
      </c>
      <c r="J44" s="175" t="s">
        <v>44</v>
      </c>
      <c r="K44" s="773">
        <v>83.2</v>
      </c>
      <c r="L44" s="109">
        <v>35</v>
      </c>
      <c r="M44" s="109">
        <v>41</v>
      </c>
      <c r="N44" s="109">
        <v>45</v>
      </c>
      <c r="O44" s="392">
        <v>45</v>
      </c>
      <c r="P44" s="109">
        <v>57</v>
      </c>
      <c r="Q44" s="109">
        <v>62</v>
      </c>
      <c r="R44" s="109">
        <v>67</v>
      </c>
      <c r="S44" s="392">
        <v>67</v>
      </c>
      <c r="T44" s="391">
        <v>112</v>
      </c>
      <c r="U44" s="389" t="s">
        <v>836</v>
      </c>
      <c r="V44" s="389" t="s">
        <v>61</v>
      </c>
      <c r="W44" s="390">
        <v>134.35035267013225</v>
      </c>
      <c r="X44" s="257">
        <v>43554</v>
      </c>
      <c r="Y44" s="261" t="s">
        <v>805</v>
      </c>
      <c r="Z44" s="261" t="s">
        <v>829</v>
      </c>
      <c r="AA44" s="464"/>
      <c r="AB44" s="465">
        <v>-3</v>
      </c>
      <c r="AC44" s="465">
        <v>-23</v>
      </c>
      <c r="AD44" s="465">
        <v>-48</v>
      </c>
      <c r="AE44" s="465">
        <v>-68</v>
      </c>
      <c r="AF44" s="465">
        <v>-88</v>
      </c>
      <c r="AG44" s="465">
        <v>-108</v>
      </c>
      <c r="AH44" s="465">
        <v>-128</v>
      </c>
      <c r="AI44" s="465">
        <v>-158</v>
      </c>
      <c r="AJ44" s="465">
        <v>-248</v>
      </c>
      <c r="AK44" s="466" t="s">
        <v>43</v>
      </c>
      <c r="AL44" s="464"/>
      <c r="AM44" s="464" t="s">
        <v>43</v>
      </c>
      <c r="AN44" s="464">
        <v>-3</v>
      </c>
      <c r="AO44" s="464"/>
      <c r="AP44" s="388"/>
      <c r="AQ44" s="388"/>
      <c r="AR44" s="388"/>
      <c r="AS44" s="388"/>
      <c r="AT44" s="388"/>
      <c r="AU44" s="388"/>
      <c r="AV44" s="388"/>
      <c r="AW44" s="388"/>
      <c r="AX44" s="388"/>
      <c r="AY44" s="388"/>
      <c r="AZ44" s="388"/>
      <c r="BA44" s="388"/>
      <c r="BB44" s="388"/>
      <c r="BC44" s="388"/>
      <c r="BD44" s="388"/>
      <c r="BE44" s="388"/>
      <c r="BF44" s="388"/>
      <c r="BG44" s="388"/>
      <c r="BH44" s="388"/>
      <c r="BI44" s="388"/>
      <c r="BJ44" s="388"/>
      <c r="BK44" s="388"/>
      <c r="BL44" s="388"/>
      <c r="BM44" s="388"/>
      <c r="BN44" s="388"/>
      <c r="BO44" s="388"/>
      <c r="BP44" s="388"/>
      <c r="BQ44" s="388"/>
      <c r="BR44" s="388"/>
      <c r="BS44" s="388"/>
      <c r="BT44" s="388"/>
      <c r="BU44" s="388"/>
      <c r="BV44" s="388"/>
      <c r="BW44" s="388"/>
      <c r="BX44" s="388"/>
      <c r="BY44" s="388"/>
      <c r="BZ44" s="388"/>
      <c r="CA44" s="388"/>
      <c r="CB44" s="388"/>
      <c r="CC44" s="388"/>
      <c r="CD44" s="388"/>
      <c r="CE44" s="388"/>
      <c r="CF44" s="388"/>
      <c r="CG44" s="388"/>
      <c r="CH44" s="388"/>
      <c r="CI44" s="388"/>
      <c r="CJ44" s="388"/>
      <c r="CK44" s="388"/>
      <c r="CL44" s="388"/>
      <c r="CM44" s="388"/>
      <c r="CN44" s="388"/>
      <c r="CO44" s="388"/>
      <c r="CP44" s="388"/>
      <c r="CQ44" s="388"/>
      <c r="CR44" s="388"/>
      <c r="CS44" s="388"/>
      <c r="CT44" s="388"/>
      <c r="CU44" s="388"/>
      <c r="CV44" s="388"/>
      <c r="CW44" s="388"/>
      <c r="CX44" s="388"/>
      <c r="CY44" s="388"/>
      <c r="CZ44" s="388"/>
      <c r="DA44" s="388"/>
      <c r="DB44" s="388"/>
      <c r="DC44" s="388"/>
      <c r="DD44" s="388"/>
      <c r="DE44" s="388"/>
      <c r="DF44" s="388"/>
      <c r="DG44" s="388"/>
      <c r="DH44" s="388"/>
      <c r="DI44" s="388"/>
      <c r="DJ44" s="388"/>
      <c r="DK44" s="388"/>
      <c r="DL44" s="388"/>
      <c r="DM44" s="388"/>
      <c r="DN44" s="388"/>
      <c r="DO44" s="388"/>
      <c r="DP44" s="388"/>
      <c r="DQ44" s="388"/>
      <c r="DR44" s="388"/>
      <c r="DS44" s="388"/>
      <c r="DT44" s="388"/>
    </row>
    <row r="45" spans="1:124" s="5" customFormat="1" ht="30" customHeight="1" x14ac:dyDescent="0.25">
      <c r="B45" s="136" t="s">
        <v>543</v>
      </c>
      <c r="C45" s="166">
        <v>443623</v>
      </c>
      <c r="D45" s="167"/>
      <c r="E45" s="476" t="s">
        <v>40</v>
      </c>
      <c r="F45" s="217" t="s">
        <v>308</v>
      </c>
      <c r="G45" s="144" t="s">
        <v>309</v>
      </c>
      <c r="H45" s="218">
        <v>2003</v>
      </c>
      <c r="I45" s="169" t="s">
        <v>173</v>
      </c>
      <c r="J45" s="168" t="s">
        <v>44</v>
      </c>
      <c r="K45" s="147">
        <v>94.34</v>
      </c>
      <c r="L45" s="118">
        <v>68</v>
      </c>
      <c r="M45" s="118">
        <v>72</v>
      </c>
      <c r="N45" s="148">
        <v>-77</v>
      </c>
      <c r="O45" s="52">
        <f t="shared" ref="O45:O90" si="15">IF(E45="","",IF(MAXA(L45:N45)&lt;=0,0,MAXA(L45:N45)))</f>
        <v>72</v>
      </c>
      <c r="P45" s="118">
        <v>90</v>
      </c>
      <c r="Q45" s="118">
        <v>95</v>
      </c>
      <c r="R45" s="148">
        <v>-100</v>
      </c>
      <c r="S45" s="52">
        <f t="shared" ref="S45:S90" si="16">IF(E45="","",IF(MAXA(P45:R45)&lt;=0,0,MAXA(P45:R45)))</f>
        <v>95</v>
      </c>
      <c r="T45" s="51">
        <f t="shared" ref="T45:T57" si="17">IF(E45="","",IF(OR(O45=0,S45=0),0,O45+S45))</f>
        <v>167</v>
      </c>
      <c r="U45" s="48" t="str">
        <f t="shared" ref="U45:U76" si="18">+CONCATENATE(AM45," ",AN45)</f>
        <v>REG + 2</v>
      </c>
      <c r="V45" s="48" t="str">
        <f>IF(E45=0," ",IF(E45="H",IF(H45&lt;1999,VLOOKUP(K45,Minimas!$A$15:$F$29,6),IF(AND(H45&gt;1998,H45&lt;2002),VLOOKUP(K45,Minimas!$A$15:$F$29,5),IF(AND(H45&gt;2001,H45&lt;2004),VLOOKUP(K45,Minimas!$A$15:$F$29,4),IF(AND(H45&gt;2003,H45&lt;2006),VLOOKUP(K45,Minimas!$A$15:$F$29,3),VLOOKUP(K45,Minimas!$A$15:$F$29,2))))),IF(H45&lt;1999,VLOOKUP(K45,Minimas!$G$15:$L$29,6),IF(AND(H45&gt;1998,H45&lt;2002),VLOOKUP(K45,Minimas!$G$15:$L$29,5),IF(AND(H45&gt;2001,H45&lt;2004),VLOOKUP(K45,Minimas!$G$15:$L$29,4),IF(AND(H45&gt;2003,H45&lt;2006),VLOOKUP(K45,Minimas!$G$15:$L$29,3),VLOOKUP(K45,Minimas!$G$15:$L$29,2)))))))</f>
        <v>U17 M96</v>
      </c>
      <c r="W45" s="49">
        <f t="shared" ref="W45:W90" si="19">IF(E45=" "," ",IF(E45="H",10^(0.75194503*LOG(K45/175.508)^2)*T45,IF(E45="F",10^(0.783497476* LOG(K45/153.655)^2)*T45,"")))</f>
        <v>189.39625524435897</v>
      </c>
      <c r="X45" s="257">
        <v>43485</v>
      </c>
      <c r="Y45" s="261" t="s">
        <v>640</v>
      </c>
      <c r="Z45" s="261" t="s">
        <v>514</v>
      </c>
      <c r="AA45" s="232"/>
      <c r="AB45" s="230">
        <f>T45-HLOOKUP(V45,Minimas!$C$3:$CD$12,2,FALSE)</f>
        <v>47</v>
      </c>
      <c r="AC45" s="230">
        <f>T45-HLOOKUP(V45,Minimas!$C$3:$CD$12,3,FALSE)</f>
        <v>27</v>
      </c>
      <c r="AD45" s="230">
        <f>T45-HLOOKUP(V45,Minimas!$C$3:$CD$12,4,FALSE)</f>
        <v>2</v>
      </c>
      <c r="AE45" s="230">
        <f>T45-HLOOKUP(V45,Minimas!$C$3:$CD$12,5,FALSE)</f>
        <v>-18</v>
      </c>
      <c r="AF45" s="230">
        <f>T45-HLOOKUP(V45,Minimas!$C$3:$CD$12,6,FALSE)</f>
        <v>-38</v>
      </c>
      <c r="AG45" s="230">
        <f>T45-HLOOKUP(V45,Minimas!$C$3:$CD$12,7,FALSE)</f>
        <v>-58</v>
      </c>
      <c r="AH45" s="230">
        <f>T45-HLOOKUP(V45,Minimas!$C$3:$CD$12,8,FALSE)</f>
        <v>-83</v>
      </c>
      <c r="AI45" s="230">
        <f>T45-HLOOKUP(V45,Minimas!$C$3:$CD$12,9,FALSE)</f>
        <v>-113</v>
      </c>
      <c r="AJ45" s="230">
        <f>T45-HLOOKUP(V45,Minimas!$C$3:$CD$12,10,FALSE)</f>
        <v>-193</v>
      </c>
      <c r="AK45" s="231" t="str">
        <f t="shared" ref="AK45:AK76" si="20">IF(E45=0," ",IF(AJ45&gt;=0,$AJ$5,IF(AI45&gt;=0,$AI$5,IF(AH45&gt;=0,$AH$5,IF(AG45&gt;=0,$AG$5,IF(AF45&gt;=0,$AF$5,IF(AE45&gt;=0,$AE$5,IF(AD45&gt;=0,$AD$5,IF(AC45&gt;=0,$AC$5,$AB$5)))))))))</f>
        <v>REG +</v>
      </c>
      <c r="AL45" s="232"/>
      <c r="AM45" s="232" t="str">
        <f t="shared" ref="AM45:AM76" si="21">IF(AK45="","",AK45)</f>
        <v>REG +</v>
      </c>
      <c r="AN45" s="232">
        <f t="shared" ref="AN45:AN76" si="22">IF(E45=0," ",IF(AJ45&gt;=0,AJ45,IF(AI45&gt;=0,AI45,IF(AH45&gt;=0,AH45,IF(AG45&gt;=0,AG45,IF(AF45&gt;=0,AF45,IF(AE45&gt;=0,AE45,IF(AD45&gt;=0,AD45,IF(AC45&gt;=0,AC45,AB45)))))))))</f>
        <v>2</v>
      </c>
      <c r="AO45" s="232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  <c r="CG45" s="38"/>
      <c r="CH45" s="38"/>
      <c r="CI45" s="38"/>
      <c r="CJ45" s="38"/>
      <c r="CK45" s="38"/>
      <c r="CL45" s="38"/>
      <c r="CM45" s="38"/>
      <c r="CN45" s="38"/>
      <c r="CO45" s="38"/>
      <c r="CP45" s="38"/>
      <c r="CQ45" s="38"/>
      <c r="CR45" s="38"/>
      <c r="CS45" s="38"/>
      <c r="CT45" s="38"/>
      <c r="CU45" s="38"/>
      <c r="CV45" s="38"/>
      <c r="CW45" s="38"/>
      <c r="CX45" s="38"/>
      <c r="CY45" s="38"/>
      <c r="CZ45" s="38"/>
      <c r="DA45" s="38"/>
      <c r="DB45" s="38"/>
      <c r="DC45" s="38"/>
      <c r="DD45" s="38"/>
      <c r="DE45" s="38"/>
      <c r="DF45" s="38"/>
      <c r="DG45" s="38"/>
      <c r="DH45" s="38"/>
      <c r="DI45" s="38"/>
      <c r="DJ45" s="38"/>
      <c r="DK45" s="38"/>
      <c r="DL45" s="38"/>
      <c r="DM45" s="38"/>
      <c r="DN45" s="38"/>
      <c r="DO45" s="38"/>
      <c r="DP45" s="38"/>
      <c r="DQ45" s="38"/>
      <c r="DR45" s="38"/>
      <c r="DS45" s="38"/>
      <c r="DT45" s="38"/>
    </row>
    <row r="46" spans="1:124" s="5" customFormat="1" ht="30" customHeight="1" x14ac:dyDescent="0.25">
      <c r="A46" s="484"/>
      <c r="B46" s="516" t="s">
        <v>543</v>
      </c>
      <c r="C46" s="524">
        <v>447395</v>
      </c>
      <c r="D46" s="530"/>
      <c r="E46" s="476" t="s">
        <v>40</v>
      </c>
      <c r="F46" s="544" t="s">
        <v>675</v>
      </c>
      <c r="G46" s="551" t="s">
        <v>676</v>
      </c>
      <c r="H46" s="215">
        <v>2003</v>
      </c>
      <c r="I46" s="569" t="s">
        <v>139</v>
      </c>
      <c r="J46" s="155" t="s">
        <v>44</v>
      </c>
      <c r="K46" s="587">
        <v>92.4</v>
      </c>
      <c r="L46" s="118">
        <v>68</v>
      </c>
      <c r="M46" s="118">
        <v>72</v>
      </c>
      <c r="N46" s="118">
        <v>75</v>
      </c>
      <c r="O46" s="358">
        <f t="shared" si="15"/>
        <v>75</v>
      </c>
      <c r="P46" s="118">
        <v>80</v>
      </c>
      <c r="Q46" s="118">
        <v>85</v>
      </c>
      <c r="R46" s="118">
        <v>-90</v>
      </c>
      <c r="S46" s="358">
        <f t="shared" si="16"/>
        <v>85</v>
      </c>
      <c r="T46" s="359">
        <f t="shared" si="17"/>
        <v>160</v>
      </c>
      <c r="U46" s="360" t="str">
        <f t="shared" si="18"/>
        <v>DPT + 20</v>
      </c>
      <c r="V46" s="360" t="str">
        <f>IF(E46=0," ",IF(E46="H",IF(H46&lt;1999,VLOOKUP(K46,[3]Minimas!$A$15:$F$29,6),IF(AND(H46&gt;1998,H46&lt;2002),VLOOKUP(K46,[3]Minimas!$A$15:$F$29,5),IF(AND(H46&gt;2001,H46&lt;2004),VLOOKUP(K46,[3]Minimas!$A$15:$F$29,4),IF(AND(H46&gt;2003,H46&lt;2006),VLOOKUP(K46,[3]Minimas!$A$15:$F$29,3),VLOOKUP(K46,[3]Minimas!$A$15:$F$29,2))))),IF(H46&lt;1999,VLOOKUP(K46,[3]Minimas!$G$15:$L$29,6),IF(AND(H46&gt;1998,H46&lt;2002),VLOOKUP(K46,[3]Minimas!$G$15:$L$29,5),IF(AND(H46&gt;2001,H46&lt;2004),VLOOKUP(K46,[3]Minimas!$G$15:$L$29,4),IF(AND(H46&gt;2003,H46&lt;2006),VLOOKUP(K46,[3]Minimas!$G$15:$L$29,3),VLOOKUP(K46,[3]Minimas!$G$15:$L$29,2)))))))</f>
        <v>U17 M96</v>
      </c>
      <c r="W46" s="361">
        <f t="shared" si="19"/>
        <v>183.01845059658959</v>
      </c>
      <c r="X46" s="257">
        <v>43589</v>
      </c>
      <c r="Y46" s="261" t="s">
        <v>856</v>
      </c>
      <c r="Z46" s="261" t="s">
        <v>511</v>
      </c>
      <c r="AA46" s="232"/>
      <c r="AB46" s="230">
        <f>T46-HLOOKUP(V46,[3]Minimas!$C$3:$CD$12,2,FALSE)</f>
        <v>40</v>
      </c>
      <c r="AC46" s="230">
        <f>T46-HLOOKUP(V46,[3]Minimas!$C$3:$CD$12,3,FALSE)</f>
        <v>20</v>
      </c>
      <c r="AD46" s="230">
        <f>T46-HLOOKUP(V46,[3]Minimas!$C$3:$CD$12,4,FALSE)</f>
        <v>-5</v>
      </c>
      <c r="AE46" s="230">
        <f>T46-HLOOKUP(V46,[3]Minimas!$C$3:$CD$12,5,FALSE)</f>
        <v>-25</v>
      </c>
      <c r="AF46" s="230">
        <f>T46-HLOOKUP(V46,[3]Minimas!$C$3:$CD$12,6,FALSE)</f>
        <v>-45</v>
      </c>
      <c r="AG46" s="230">
        <f>T46-HLOOKUP(V46,[3]Minimas!$C$3:$CD$12,7,FALSE)</f>
        <v>-65</v>
      </c>
      <c r="AH46" s="230">
        <f>T46-HLOOKUP(V46,[3]Minimas!$C$3:$CD$12,8,FALSE)</f>
        <v>-90</v>
      </c>
      <c r="AI46" s="230">
        <f>T46-HLOOKUP(V46,[3]Minimas!$C$3:$CD$12,9,FALSE)</f>
        <v>-120</v>
      </c>
      <c r="AJ46" s="230">
        <f>T46-HLOOKUP(V46,[3]Minimas!$C$3:$CD$12,10,FALSE)</f>
        <v>-200</v>
      </c>
      <c r="AK46" s="231" t="str">
        <f t="shared" si="20"/>
        <v>DPT +</v>
      </c>
      <c r="AL46" s="232"/>
      <c r="AM46" s="232" t="str">
        <f t="shared" si="21"/>
        <v>DPT +</v>
      </c>
      <c r="AN46" s="232">
        <f t="shared" si="22"/>
        <v>20</v>
      </c>
      <c r="AO46" s="232"/>
      <c r="AP46" s="485"/>
      <c r="AQ46" s="485"/>
      <c r="AR46" s="485"/>
      <c r="AS46" s="485"/>
      <c r="AT46" s="485"/>
      <c r="AU46" s="485"/>
      <c r="AV46" s="485"/>
      <c r="AW46" s="485"/>
      <c r="AX46" s="485"/>
      <c r="AY46" s="485"/>
      <c r="AZ46" s="485"/>
      <c r="BA46" s="485"/>
      <c r="BB46" s="485"/>
      <c r="BC46" s="485"/>
      <c r="BD46" s="485"/>
      <c r="BE46" s="485"/>
      <c r="BF46" s="485"/>
      <c r="BG46" s="485"/>
      <c r="BH46" s="485"/>
      <c r="BI46" s="485"/>
      <c r="BJ46" s="485"/>
      <c r="BK46" s="485"/>
      <c r="BL46" s="485"/>
      <c r="BM46" s="485"/>
      <c r="BN46" s="485"/>
      <c r="BO46" s="485"/>
      <c r="BP46" s="485"/>
      <c r="BQ46" s="485"/>
      <c r="BR46" s="485"/>
      <c r="BS46" s="485"/>
      <c r="BT46" s="485"/>
      <c r="BU46" s="485"/>
      <c r="BV46" s="485"/>
      <c r="BW46" s="485"/>
      <c r="BX46" s="485"/>
      <c r="BY46" s="485"/>
      <c r="BZ46" s="485"/>
      <c r="CA46" s="485"/>
      <c r="CB46" s="485"/>
      <c r="CC46" s="485"/>
      <c r="CD46" s="485"/>
      <c r="CE46" s="485"/>
      <c r="CF46" s="485"/>
      <c r="CG46" s="485"/>
      <c r="CH46" s="485"/>
      <c r="CI46" s="485"/>
      <c r="CJ46" s="485"/>
      <c r="CK46" s="485"/>
      <c r="CL46" s="485"/>
      <c r="CM46" s="485"/>
      <c r="CN46" s="485"/>
      <c r="CO46" s="485"/>
      <c r="CP46" s="485"/>
      <c r="CQ46" s="485"/>
      <c r="CR46" s="485"/>
      <c r="CS46" s="485"/>
      <c r="CT46" s="485"/>
      <c r="CU46" s="485"/>
      <c r="CV46" s="485"/>
      <c r="CW46" s="485"/>
      <c r="CX46" s="485"/>
      <c r="CY46" s="485"/>
      <c r="CZ46" s="485"/>
      <c r="DA46" s="485"/>
      <c r="DB46" s="485"/>
      <c r="DC46" s="485"/>
      <c r="DD46" s="485"/>
      <c r="DE46" s="485"/>
      <c r="DF46" s="485"/>
      <c r="DG46" s="485"/>
      <c r="DH46" s="485"/>
      <c r="DI46" s="485"/>
      <c r="DJ46" s="485"/>
      <c r="DK46" s="485"/>
      <c r="DL46" s="485"/>
      <c r="DM46" s="485"/>
      <c r="DN46" s="485"/>
      <c r="DO46" s="485"/>
      <c r="DP46" s="485"/>
      <c r="DQ46" s="485"/>
      <c r="DR46" s="485"/>
      <c r="DS46" s="485"/>
      <c r="DT46" s="485"/>
    </row>
    <row r="47" spans="1:124" s="5" customFormat="1" ht="30" customHeight="1" x14ac:dyDescent="0.3">
      <c r="A47" s="484"/>
      <c r="B47" s="136" t="s">
        <v>543</v>
      </c>
      <c r="C47" s="116">
        <v>443623</v>
      </c>
      <c r="D47" s="119"/>
      <c r="E47" s="175" t="s">
        <v>40</v>
      </c>
      <c r="F47" s="124" t="s">
        <v>308</v>
      </c>
      <c r="G47" s="125" t="s">
        <v>309</v>
      </c>
      <c r="H47" s="156">
        <v>2003</v>
      </c>
      <c r="I47" s="127" t="s">
        <v>173</v>
      </c>
      <c r="J47" s="104" t="s">
        <v>44</v>
      </c>
      <c r="K47" s="126">
        <v>97.59</v>
      </c>
      <c r="L47" s="109">
        <v>55</v>
      </c>
      <c r="M47" s="130">
        <v>-60</v>
      </c>
      <c r="N47" s="109">
        <v>60</v>
      </c>
      <c r="O47" s="490">
        <f t="shared" si="15"/>
        <v>60</v>
      </c>
      <c r="P47" s="133">
        <v>75</v>
      </c>
      <c r="Q47" s="133">
        <v>82</v>
      </c>
      <c r="R47" s="133">
        <v>90</v>
      </c>
      <c r="S47" s="490">
        <f t="shared" si="16"/>
        <v>90</v>
      </c>
      <c r="T47" s="489">
        <f t="shared" si="17"/>
        <v>150</v>
      </c>
      <c r="U47" s="48" t="str">
        <f t="shared" si="18"/>
        <v>DPT + 5</v>
      </c>
      <c r="V47" s="48" t="str">
        <f>IF(E47=0," ",IF(E47="H",IF(H47&lt;1999,VLOOKUP(K47,Minimas!$A$15:$F$29,6),IF(AND(H47&gt;1998,H47&lt;2002),VLOOKUP(K47,Minimas!$A$15:$F$29,5),IF(AND(H47&gt;2001,H47&lt;2004),VLOOKUP(K47,Minimas!$A$15:$F$29,4),IF(AND(H47&gt;2003,H47&lt;2006),VLOOKUP(K47,Minimas!$A$15:$F$29,3),VLOOKUP(K47,Minimas!$A$15:$F$29,2))))),IF(H47&lt;1999,VLOOKUP(K47,Minimas!$G$15:$L$29,6),IF(AND(H47&gt;1998,H47&lt;2002),VLOOKUP(K47,Minimas!$G$15:$L$29,5),IF(AND(H47&gt;2001,H47&lt;2004),VLOOKUP(K47,Minimas!$G$15:$L$29,4),IF(AND(H47&gt;2003,H47&lt;2006),VLOOKUP(K47,Minimas!$G$15:$L$29,3),VLOOKUP(K47,Minimas!$G$15:$L$29,2)))))))</f>
        <v>U17 M102</v>
      </c>
      <c r="W47" s="49">
        <f t="shared" si="19"/>
        <v>167.85911252187614</v>
      </c>
      <c r="X47" s="184">
        <v>43401</v>
      </c>
      <c r="Y47" s="284" t="s">
        <v>507</v>
      </c>
      <c r="Z47" s="284" t="s">
        <v>506</v>
      </c>
      <c r="AA47" s="232"/>
      <c r="AB47" s="230">
        <f>T47-HLOOKUP(V47,Minimas!$C$3:$CD$12,2,FALSE)</f>
        <v>25</v>
      </c>
      <c r="AC47" s="230">
        <f>T47-HLOOKUP(V47,Minimas!$C$3:$CD$12,3,FALSE)</f>
        <v>5</v>
      </c>
      <c r="AD47" s="230">
        <f>T47-HLOOKUP(V47,Minimas!$C$3:$CD$12,4,FALSE)</f>
        <v>-20</v>
      </c>
      <c r="AE47" s="230">
        <f>T47-HLOOKUP(V47,Minimas!$C$3:$CD$12,5,FALSE)</f>
        <v>-40</v>
      </c>
      <c r="AF47" s="230">
        <f>T47-HLOOKUP(V47,Minimas!$C$3:$CD$12,6,FALSE)</f>
        <v>-60</v>
      </c>
      <c r="AG47" s="230">
        <f>T47-HLOOKUP(V47,Minimas!$C$3:$CD$12,7,FALSE)</f>
        <v>-80</v>
      </c>
      <c r="AH47" s="230">
        <f>T47-HLOOKUP(V47,Minimas!$C$3:$CD$12,8,FALSE)</f>
        <v>-105</v>
      </c>
      <c r="AI47" s="230">
        <f>T47-HLOOKUP(V47,Minimas!$C$3:$CD$12,9,FALSE)</f>
        <v>-135</v>
      </c>
      <c r="AJ47" s="230">
        <f>T47-HLOOKUP(V47,Minimas!$C$3:$CD$12,10,FALSE)</f>
        <v>-230</v>
      </c>
      <c r="AK47" s="231" t="str">
        <f t="shared" si="20"/>
        <v>DPT +</v>
      </c>
      <c r="AL47" s="232"/>
      <c r="AM47" s="232" t="str">
        <f t="shared" si="21"/>
        <v>DPT +</v>
      </c>
      <c r="AN47" s="232">
        <f t="shared" si="22"/>
        <v>5</v>
      </c>
      <c r="AO47" s="232"/>
      <c r="AP47" s="485"/>
      <c r="AQ47" s="485"/>
      <c r="AR47" s="485"/>
      <c r="AS47" s="485"/>
      <c r="AT47" s="485"/>
      <c r="AU47" s="485"/>
      <c r="AV47" s="485"/>
      <c r="AW47" s="485"/>
      <c r="AX47" s="485"/>
      <c r="AY47" s="485"/>
      <c r="AZ47" s="485"/>
      <c r="BA47" s="485"/>
      <c r="BB47" s="485"/>
      <c r="BC47" s="485"/>
      <c r="BD47" s="485"/>
      <c r="BE47" s="485"/>
      <c r="BF47" s="485"/>
      <c r="BG47" s="485"/>
      <c r="BH47" s="485"/>
      <c r="BI47" s="485"/>
      <c r="BJ47" s="485"/>
      <c r="BK47" s="485"/>
      <c r="BL47" s="485"/>
      <c r="BM47" s="485"/>
      <c r="BN47" s="485"/>
      <c r="BO47" s="485"/>
      <c r="BP47" s="485"/>
      <c r="BQ47" s="485"/>
      <c r="BR47" s="485"/>
      <c r="BS47" s="485"/>
      <c r="BT47" s="485"/>
      <c r="BU47" s="485"/>
      <c r="BV47" s="485"/>
      <c r="BW47" s="485"/>
      <c r="BX47" s="485"/>
      <c r="BY47" s="485"/>
      <c r="BZ47" s="485"/>
      <c r="CA47" s="485"/>
      <c r="CB47" s="485"/>
      <c r="CC47" s="485"/>
      <c r="CD47" s="485"/>
      <c r="CE47" s="485"/>
      <c r="CF47" s="485"/>
      <c r="CG47" s="485"/>
      <c r="CH47" s="485"/>
      <c r="CI47" s="485"/>
      <c r="CJ47" s="485"/>
      <c r="CK47" s="485"/>
      <c r="CL47" s="485"/>
      <c r="CM47" s="485"/>
      <c r="CN47" s="485"/>
      <c r="CO47" s="485"/>
      <c r="CP47" s="485"/>
      <c r="CQ47" s="485"/>
      <c r="CR47" s="485"/>
      <c r="CS47" s="485"/>
      <c r="CT47" s="485"/>
      <c r="CU47" s="485"/>
      <c r="CV47" s="485"/>
      <c r="CW47" s="485"/>
      <c r="CX47" s="485"/>
      <c r="CY47" s="485"/>
      <c r="CZ47" s="485"/>
      <c r="DA47" s="485"/>
      <c r="DB47" s="485"/>
      <c r="DC47" s="485"/>
      <c r="DD47" s="485"/>
      <c r="DE47" s="485"/>
      <c r="DF47" s="485"/>
      <c r="DG47" s="485"/>
      <c r="DH47" s="485"/>
      <c r="DI47" s="485"/>
      <c r="DJ47" s="485"/>
      <c r="DK47" s="485"/>
      <c r="DL47" s="485"/>
      <c r="DM47" s="485"/>
      <c r="DN47" s="485"/>
      <c r="DO47" s="485"/>
      <c r="DP47" s="485"/>
      <c r="DQ47" s="485"/>
      <c r="DR47" s="485"/>
      <c r="DS47" s="485"/>
      <c r="DT47" s="485"/>
    </row>
    <row r="48" spans="1:124" s="5" customFormat="1" ht="30" customHeight="1" x14ac:dyDescent="0.25">
      <c r="A48" s="484"/>
      <c r="B48" s="516" t="s">
        <v>543</v>
      </c>
      <c r="C48" s="524">
        <v>443407</v>
      </c>
      <c r="D48" s="530"/>
      <c r="E48" s="476" t="s">
        <v>40</v>
      </c>
      <c r="F48" s="728" t="s">
        <v>859</v>
      </c>
      <c r="G48" s="735" t="s">
        <v>281</v>
      </c>
      <c r="H48" s="215">
        <v>2002</v>
      </c>
      <c r="I48" s="569" t="s">
        <v>139</v>
      </c>
      <c r="J48" s="146" t="s">
        <v>44</v>
      </c>
      <c r="K48" s="587">
        <v>118</v>
      </c>
      <c r="L48" s="118">
        <v>70</v>
      </c>
      <c r="M48" s="118">
        <v>75</v>
      </c>
      <c r="N48" s="135">
        <v>80</v>
      </c>
      <c r="O48" s="358">
        <f t="shared" si="15"/>
        <v>80</v>
      </c>
      <c r="P48" s="118">
        <v>90</v>
      </c>
      <c r="Q48" s="118">
        <v>95</v>
      </c>
      <c r="R48" s="118" t="s">
        <v>498</v>
      </c>
      <c r="S48" s="358">
        <f t="shared" si="16"/>
        <v>95</v>
      </c>
      <c r="T48" s="359">
        <f t="shared" si="17"/>
        <v>175</v>
      </c>
      <c r="U48" s="360" t="str">
        <f t="shared" si="18"/>
        <v>REG + 0</v>
      </c>
      <c r="V48" s="360" t="str">
        <f>IF(E48=0," ",IF(E48="H",IF(H48&lt;1999,VLOOKUP(K48,[3]Minimas!$A$15:$F$29,6),IF(AND(H48&gt;1998,H48&lt;2002),VLOOKUP(K48,[3]Minimas!$A$15:$F$29,5),IF(AND(H48&gt;2001,H48&lt;2004),VLOOKUP(K48,[3]Minimas!$A$15:$F$29,4),IF(AND(H48&gt;2003,H48&lt;2006),VLOOKUP(K48,[3]Minimas!$A$15:$F$29,3),VLOOKUP(K48,[3]Minimas!$A$15:$F$29,2))))),IF(H48&lt;1999,VLOOKUP(K48,[3]Minimas!$G$15:$L$29,6),IF(AND(H48&gt;1998,H48&lt;2002),VLOOKUP(K48,[3]Minimas!$G$15:$L$29,5),IF(AND(H48&gt;2001,H48&lt;2004),VLOOKUP(K48,[3]Minimas!$G$15:$L$29,4),IF(AND(H48&gt;2003,H48&lt;2006),VLOOKUP(K48,[3]Minimas!$G$15:$L$29,3),VLOOKUP(K48,[3]Minimas!$G$15:$L$29,2)))))))</f>
        <v>U17 M&gt;102</v>
      </c>
      <c r="W48" s="361">
        <f t="shared" si="19"/>
        <v>184.24302024286629</v>
      </c>
      <c r="X48" s="257">
        <v>43589</v>
      </c>
      <c r="Y48" s="261" t="s">
        <v>856</v>
      </c>
      <c r="Z48" s="261" t="s">
        <v>511</v>
      </c>
      <c r="AA48" s="232"/>
      <c r="AB48" s="230">
        <f>T48-HLOOKUP(V48,[3]Minimas!$C$3:$CD$12,2,FALSE)</f>
        <v>45</v>
      </c>
      <c r="AC48" s="230">
        <f>T48-HLOOKUP(V48,[3]Minimas!$C$3:$CD$12,3,FALSE)</f>
        <v>25</v>
      </c>
      <c r="AD48" s="230">
        <f>T48-HLOOKUP(V48,[3]Minimas!$C$3:$CD$12,4,FALSE)</f>
        <v>0</v>
      </c>
      <c r="AE48" s="230">
        <f>T48-HLOOKUP(V48,[3]Minimas!$C$3:$CD$12,5,FALSE)</f>
        <v>-20</v>
      </c>
      <c r="AF48" s="230">
        <f>T48-HLOOKUP(V48,[3]Minimas!$C$3:$CD$12,6,FALSE)</f>
        <v>-40</v>
      </c>
      <c r="AG48" s="230">
        <f>T48-HLOOKUP(V48,[3]Minimas!$C$3:$CD$12,7,FALSE)</f>
        <v>-60</v>
      </c>
      <c r="AH48" s="230">
        <f>T48-HLOOKUP(V48,[3]Minimas!$C$3:$CD$12,8,FALSE)</f>
        <v>-85</v>
      </c>
      <c r="AI48" s="230">
        <f>T48-HLOOKUP(V48,[3]Minimas!$C$3:$CD$12,9,FALSE)</f>
        <v>-115</v>
      </c>
      <c r="AJ48" s="230">
        <f>T48-HLOOKUP(V48,[3]Minimas!$C$3:$CD$12,10,FALSE)</f>
        <v>-205</v>
      </c>
      <c r="AK48" s="231" t="str">
        <f t="shared" si="20"/>
        <v>REG +</v>
      </c>
      <c r="AL48" s="232"/>
      <c r="AM48" s="232" t="str">
        <f t="shared" si="21"/>
        <v>REG +</v>
      </c>
      <c r="AN48" s="232">
        <f t="shared" si="22"/>
        <v>0</v>
      </c>
      <c r="AO48" s="232"/>
      <c r="AP48" s="485"/>
      <c r="AQ48" s="485"/>
      <c r="AR48" s="485"/>
      <c r="AS48" s="485"/>
      <c r="AT48" s="485"/>
      <c r="AU48" s="485"/>
      <c r="AV48" s="485"/>
      <c r="AW48" s="485"/>
      <c r="AX48" s="485"/>
      <c r="AY48" s="485"/>
      <c r="AZ48" s="485"/>
      <c r="BA48" s="485"/>
      <c r="BB48" s="485"/>
      <c r="BC48" s="485"/>
      <c r="BD48" s="485"/>
      <c r="BE48" s="485"/>
      <c r="BF48" s="485"/>
      <c r="BG48" s="485"/>
      <c r="BH48" s="485"/>
      <c r="BI48" s="485"/>
      <c r="BJ48" s="485"/>
      <c r="BK48" s="485"/>
      <c r="BL48" s="485"/>
      <c r="BM48" s="485"/>
      <c r="BN48" s="485"/>
      <c r="BO48" s="485"/>
      <c r="BP48" s="485"/>
      <c r="BQ48" s="485"/>
      <c r="BR48" s="485"/>
      <c r="BS48" s="485"/>
      <c r="BT48" s="485"/>
      <c r="BU48" s="485"/>
      <c r="BV48" s="485"/>
      <c r="BW48" s="485"/>
      <c r="BX48" s="485"/>
      <c r="BY48" s="485"/>
      <c r="BZ48" s="485"/>
      <c r="CA48" s="485"/>
      <c r="CB48" s="485"/>
      <c r="CC48" s="485"/>
      <c r="CD48" s="485"/>
      <c r="CE48" s="485"/>
      <c r="CF48" s="485"/>
      <c r="CG48" s="485"/>
      <c r="CH48" s="485"/>
      <c r="CI48" s="485"/>
      <c r="CJ48" s="485"/>
      <c r="CK48" s="485"/>
      <c r="CL48" s="485"/>
      <c r="CM48" s="485"/>
      <c r="CN48" s="485"/>
      <c r="CO48" s="485"/>
      <c r="CP48" s="485"/>
      <c r="CQ48" s="485"/>
      <c r="CR48" s="485"/>
      <c r="CS48" s="485"/>
      <c r="CT48" s="485"/>
      <c r="CU48" s="485"/>
      <c r="CV48" s="485"/>
      <c r="CW48" s="485"/>
      <c r="CX48" s="485"/>
      <c r="CY48" s="485"/>
      <c r="CZ48" s="485"/>
      <c r="DA48" s="485"/>
      <c r="DB48" s="485"/>
      <c r="DC48" s="485"/>
      <c r="DD48" s="485"/>
      <c r="DE48" s="485"/>
      <c r="DF48" s="485"/>
      <c r="DG48" s="485"/>
      <c r="DH48" s="485"/>
      <c r="DI48" s="485"/>
      <c r="DJ48" s="485"/>
      <c r="DK48" s="485"/>
      <c r="DL48" s="485"/>
      <c r="DM48" s="485"/>
      <c r="DN48" s="485"/>
      <c r="DO48" s="485"/>
      <c r="DP48" s="485"/>
      <c r="DQ48" s="485"/>
      <c r="DR48" s="485"/>
      <c r="DS48" s="485"/>
      <c r="DT48" s="485"/>
    </row>
    <row r="49" spans="1:124" s="5" customFormat="1" ht="30" customHeight="1" x14ac:dyDescent="0.25">
      <c r="B49" s="516" t="s">
        <v>543</v>
      </c>
      <c r="C49" s="524"/>
      <c r="D49" s="530"/>
      <c r="E49" s="476" t="s">
        <v>40</v>
      </c>
      <c r="F49" s="728" t="s">
        <v>872</v>
      </c>
      <c r="G49" s="735" t="s">
        <v>873</v>
      </c>
      <c r="H49" s="215">
        <v>2001</v>
      </c>
      <c r="I49" s="564" t="s">
        <v>139</v>
      </c>
      <c r="J49" s="146" t="s">
        <v>44</v>
      </c>
      <c r="K49" s="200">
        <v>60.3</v>
      </c>
      <c r="L49" s="118">
        <v>47</v>
      </c>
      <c r="M49" s="118">
        <v>50</v>
      </c>
      <c r="N49" s="118">
        <v>-53</v>
      </c>
      <c r="O49" s="358">
        <f t="shared" si="15"/>
        <v>50</v>
      </c>
      <c r="P49" s="118">
        <v>60</v>
      </c>
      <c r="Q49" s="118">
        <v>-65</v>
      </c>
      <c r="R49" s="118">
        <v>65</v>
      </c>
      <c r="S49" s="358">
        <f t="shared" si="16"/>
        <v>65</v>
      </c>
      <c r="T49" s="359">
        <f t="shared" si="17"/>
        <v>115</v>
      </c>
      <c r="U49" s="360" t="str">
        <f t="shared" si="18"/>
        <v>DPT + 0</v>
      </c>
      <c r="V49" s="360" t="str">
        <f>IF(E49=0," ",IF(E49="H",IF(H49&lt;1999,VLOOKUP(K49,[3]Minimas!$A$15:$F$29,6),IF(AND(H49&gt;1998,H49&lt;2002),VLOOKUP(K49,[3]Minimas!$A$15:$F$29,5),IF(AND(H49&gt;2001,H49&lt;2004),VLOOKUP(K49,[3]Minimas!$A$15:$F$29,4),IF(AND(H49&gt;2003,H49&lt;2006),VLOOKUP(K49,[3]Minimas!$A$15:$F$29,3),VLOOKUP(K49,[3]Minimas!$A$15:$F$29,2))))),IF(H49&lt;1999,VLOOKUP(K49,[3]Minimas!$G$15:$L$29,6),IF(AND(H49&gt;1998,H49&lt;2002),VLOOKUP(K49,[3]Minimas!$G$15:$L$29,5),IF(AND(H49&gt;2001,H49&lt;2004),VLOOKUP(K49,[3]Minimas!$G$15:$L$29,4),IF(AND(H49&gt;2003,H49&lt;2006),VLOOKUP(K49,[3]Minimas!$G$15:$L$29,3),VLOOKUP(K49,[3]Minimas!$G$15:$L$29,2)))))))</f>
        <v>U20 M61</v>
      </c>
      <c r="W49" s="361">
        <f t="shared" si="19"/>
        <v>166.94536507630286</v>
      </c>
      <c r="X49" s="257">
        <v>43600</v>
      </c>
      <c r="Y49" s="261" t="s">
        <v>874</v>
      </c>
      <c r="Z49" s="261" t="s">
        <v>875</v>
      </c>
      <c r="AA49" s="232"/>
      <c r="AB49" s="230">
        <f>T49-HLOOKUP(V49,[3]Minimas!$C$3:$CD$12,2,FALSE)</f>
        <v>20</v>
      </c>
      <c r="AC49" s="230">
        <f>T49-HLOOKUP(V49,[3]Minimas!$C$3:$CD$12,3,FALSE)</f>
        <v>0</v>
      </c>
      <c r="AD49" s="230">
        <f>T49-HLOOKUP(V49,[3]Minimas!$C$3:$CD$12,4,FALSE)</f>
        <v>-15</v>
      </c>
      <c r="AE49" s="230">
        <f>T49-HLOOKUP(V49,[3]Minimas!$C$3:$CD$12,5,FALSE)</f>
        <v>-35</v>
      </c>
      <c r="AF49" s="230">
        <f>T49-HLOOKUP(V49,[3]Minimas!$C$3:$CD$12,6,FALSE)</f>
        <v>-55</v>
      </c>
      <c r="AG49" s="230">
        <f>T49-HLOOKUP(V49,[3]Minimas!$C$3:$CD$12,7,FALSE)</f>
        <v>-75</v>
      </c>
      <c r="AH49" s="230">
        <f>T49-HLOOKUP(V49,[3]Minimas!$C$3:$CD$12,8,FALSE)</f>
        <v>-95</v>
      </c>
      <c r="AI49" s="230">
        <f>T49-HLOOKUP(V49,[3]Minimas!$C$3:$CD$12,9,FALSE)</f>
        <v>-115</v>
      </c>
      <c r="AJ49" s="230">
        <f>T49-HLOOKUP(V49,[3]Minimas!$C$3:$CD$12,10,FALSE)</f>
        <v>-160</v>
      </c>
      <c r="AK49" s="231" t="str">
        <f t="shared" si="20"/>
        <v>DPT +</v>
      </c>
      <c r="AL49" s="232"/>
      <c r="AM49" s="232" t="str">
        <f t="shared" si="21"/>
        <v>DPT +</v>
      </c>
      <c r="AN49" s="232">
        <f t="shared" si="22"/>
        <v>0</v>
      </c>
      <c r="AO49" s="232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8"/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8"/>
      <c r="DD49" s="38"/>
      <c r="DE49" s="38"/>
      <c r="DF49" s="38"/>
      <c r="DG49" s="38"/>
      <c r="DH49" s="38"/>
      <c r="DI49" s="38"/>
      <c r="DJ49" s="38"/>
      <c r="DK49" s="38"/>
      <c r="DL49" s="38"/>
      <c r="DM49" s="38"/>
      <c r="DN49" s="38"/>
      <c r="DO49" s="38"/>
      <c r="DP49" s="38"/>
      <c r="DQ49" s="38"/>
      <c r="DR49" s="38"/>
      <c r="DS49" s="38"/>
      <c r="DT49" s="38"/>
    </row>
    <row r="50" spans="1:124" s="5" customFormat="1" ht="30" customHeight="1" x14ac:dyDescent="0.25">
      <c r="B50" s="516" t="s">
        <v>543</v>
      </c>
      <c r="C50" s="524">
        <v>305873</v>
      </c>
      <c r="D50" s="530"/>
      <c r="E50" s="476" t="s">
        <v>40</v>
      </c>
      <c r="F50" s="728" t="s">
        <v>436</v>
      </c>
      <c r="G50" s="735" t="s">
        <v>348</v>
      </c>
      <c r="H50" s="215">
        <v>1999</v>
      </c>
      <c r="I50" s="564" t="s">
        <v>129</v>
      </c>
      <c r="J50" s="146" t="s">
        <v>44</v>
      </c>
      <c r="K50" s="200">
        <v>66.42</v>
      </c>
      <c r="L50" s="118">
        <v>-104</v>
      </c>
      <c r="M50" s="118">
        <v>104</v>
      </c>
      <c r="N50" s="118">
        <v>107</v>
      </c>
      <c r="O50" s="358">
        <f t="shared" si="15"/>
        <v>107</v>
      </c>
      <c r="P50" s="118">
        <v>-135</v>
      </c>
      <c r="Q50" s="118">
        <v>-135</v>
      </c>
      <c r="R50" s="118">
        <v>135</v>
      </c>
      <c r="S50" s="358">
        <f t="shared" si="16"/>
        <v>135</v>
      </c>
      <c r="T50" s="359">
        <f t="shared" si="17"/>
        <v>242</v>
      </c>
      <c r="U50" s="360" t="str">
        <f t="shared" si="18"/>
        <v>INTB + 2</v>
      </c>
      <c r="V50" s="360" t="str">
        <f>IF(E50=0," ",IF(E50="H",IF(H50&lt;1999,VLOOKUP(K50,[3]Minimas!$A$15:$F$29,6),IF(AND(H50&gt;1998,H50&lt;2002),VLOOKUP(K50,[3]Minimas!$A$15:$F$29,5),IF(AND(H50&gt;2001,H50&lt;2004),VLOOKUP(K50,[3]Minimas!$A$15:$F$29,4),IF(AND(H50&gt;2003,H50&lt;2006),VLOOKUP(K50,[3]Minimas!$A$15:$F$29,3),VLOOKUP(K50,[3]Minimas!$A$15:$F$29,2))))),IF(H50&lt;1999,VLOOKUP(K50,[3]Minimas!$G$15:$L$29,6),IF(AND(H50&gt;1998,H50&lt;2002),VLOOKUP(K50,[3]Minimas!$G$15:$L$29,5),IF(AND(H50&gt;2001,H50&lt;2004),VLOOKUP(K50,[3]Minimas!$G$15:$L$29,4),IF(AND(H50&gt;2003,H50&lt;2006),VLOOKUP(K50,[3]Minimas!$G$15:$L$29,3),VLOOKUP(K50,[3]Minimas!$G$15:$L$29,2)))))))</f>
        <v>U20 M67</v>
      </c>
      <c r="W50" s="361">
        <f t="shared" si="19"/>
        <v>329.39993156661637</v>
      </c>
      <c r="X50" s="257">
        <v>43625</v>
      </c>
      <c r="Y50" s="261" t="s">
        <v>886</v>
      </c>
      <c r="Z50" s="261" t="s">
        <v>887</v>
      </c>
      <c r="AA50" s="232"/>
      <c r="AB50" s="230">
        <f>T50-HLOOKUP(V50,[3]Minimas!$C$3:$CD$12,2,FALSE)</f>
        <v>137</v>
      </c>
      <c r="AC50" s="230">
        <f>T50-HLOOKUP(V50,[3]Minimas!$C$3:$CD$12,3,FALSE)</f>
        <v>117</v>
      </c>
      <c r="AD50" s="230">
        <f>T50-HLOOKUP(V50,[3]Minimas!$C$3:$CD$12,4,FALSE)</f>
        <v>92</v>
      </c>
      <c r="AE50" s="230">
        <f>T50-HLOOKUP(V50,[3]Minimas!$C$3:$CD$12,5,FALSE)</f>
        <v>72</v>
      </c>
      <c r="AF50" s="230">
        <f>T50-HLOOKUP(V50,[3]Minimas!$C$3:$CD$12,6,FALSE)</f>
        <v>52</v>
      </c>
      <c r="AG50" s="230">
        <f>T50-HLOOKUP(V50,[3]Minimas!$C$3:$CD$12,7,FALSE)</f>
        <v>24</v>
      </c>
      <c r="AH50" s="230">
        <f>T50-HLOOKUP(V50,[3]Minimas!$C$3:$CD$12,8,FALSE)</f>
        <v>2</v>
      </c>
      <c r="AI50" s="230">
        <f>T50-HLOOKUP(V50,[3]Minimas!$C$3:$CD$12,9,FALSE)</f>
        <v>-18</v>
      </c>
      <c r="AJ50" s="230">
        <f>T50-HLOOKUP(V50,[3]Minimas!$C$3:$CD$12,10,FALSE)</f>
        <v>-53</v>
      </c>
      <c r="AK50" s="231" t="str">
        <f t="shared" si="20"/>
        <v>INTB +</v>
      </c>
      <c r="AL50" s="232"/>
      <c r="AM50" s="232" t="str">
        <f t="shared" si="21"/>
        <v>INTB +</v>
      </c>
      <c r="AN50" s="232">
        <f t="shared" si="22"/>
        <v>2</v>
      </c>
      <c r="AO50" s="232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8"/>
      <c r="BX50" s="38"/>
      <c r="BY50" s="38"/>
      <c r="BZ50" s="38"/>
      <c r="CA50" s="38"/>
      <c r="CB50" s="38"/>
      <c r="CC50" s="38"/>
      <c r="CD50" s="38"/>
      <c r="CE50" s="38"/>
      <c r="CF50" s="38"/>
      <c r="CG50" s="38"/>
      <c r="CH50" s="38"/>
      <c r="CI50" s="38"/>
      <c r="CJ50" s="38"/>
      <c r="CK50" s="38"/>
      <c r="CL50" s="38"/>
      <c r="CM50" s="38"/>
      <c r="CN50" s="38"/>
      <c r="CO50" s="38"/>
      <c r="CP50" s="38"/>
      <c r="CQ50" s="38"/>
      <c r="CR50" s="38"/>
      <c r="CS50" s="38"/>
      <c r="CT50" s="38"/>
      <c r="CU50" s="38"/>
      <c r="CV50" s="38"/>
      <c r="CW50" s="38"/>
      <c r="CX50" s="38"/>
      <c r="CY50" s="38"/>
      <c r="CZ50" s="38"/>
      <c r="DA50" s="38"/>
      <c r="DB50" s="38"/>
      <c r="DC50" s="38"/>
      <c r="DD50" s="38"/>
      <c r="DE50" s="38"/>
      <c r="DF50" s="38"/>
      <c r="DG50" s="38"/>
      <c r="DH50" s="38"/>
      <c r="DI50" s="38"/>
      <c r="DJ50" s="38"/>
      <c r="DK50" s="38"/>
      <c r="DL50" s="38"/>
      <c r="DM50" s="38"/>
      <c r="DN50" s="38"/>
      <c r="DO50" s="38"/>
      <c r="DP50" s="38"/>
      <c r="DQ50" s="38"/>
      <c r="DR50" s="38"/>
      <c r="DS50" s="38"/>
      <c r="DT50" s="38"/>
    </row>
    <row r="51" spans="1:124" s="5" customFormat="1" ht="30" customHeight="1" x14ac:dyDescent="0.25">
      <c r="B51" s="516" t="s">
        <v>543</v>
      </c>
      <c r="C51" s="524">
        <v>365343</v>
      </c>
      <c r="D51" s="530"/>
      <c r="E51" s="476" t="s">
        <v>40</v>
      </c>
      <c r="F51" s="728" t="s">
        <v>245</v>
      </c>
      <c r="G51" s="735" t="s">
        <v>246</v>
      </c>
      <c r="H51" s="215">
        <v>2001</v>
      </c>
      <c r="I51" s="564" t="s">
        <v>129</v>
      </c>
      <c r="J51" s="146" t="s">
        <v>44</v>
      </c>
      <c r="K51" s="200">
        <v>66.400000000000006</v>
      </c>
      <c r="L51" s="118">
        <v>100</v>
      </c>
      <c r="M51" s="118">
        <v>-104</v>
      </c>
      <c r="N51" s="118">
        <v>104</v>
      </c>
      <c r="O51" s="358">
        <f t="shared" si="15"/>
        <v>104</v>
      </c>
      <c r="P51" s="118">
        <v>128</v>
      </c>
      <c r="Q51" s="118">
        <v>133</v>
      </c>
      <c r="R51" s="118">
        <v>-139</v>
      </c>
      <c r="S51" s="358">
        <f t="shared" si="16"/>
        <v>133</v>
      </c>
      <c r="T51" s="359">
        <f t="shared" si="17"/>
        <v>237</v>
      </c>
      <c r="U51" s="360" t="str">
        <f t="shared" si="18"/>
        <v>NAT + 19</v>
      </c>
      <c r="V51" s="360" t="str">
        <f>IF(E51=0," ",IF(E51="H",IF(H51&lt;1999,VLOOKUP(K51,[3]Minimas!$A$15:$F$29,6),IF(AND(H51&gt;1998,H51&lt;2002),VLOOKUP(K51,[3]Minimas!$A$15:$F$29,5),IF(AND(H51&gt;2001,H51&lt;2004),VLOOKUP(K51,[3]Minimas!$A$15:$F$29,4),IF(AND(H51&gt;2003,H51&lt;2006),VLOOKUP(K51,[3]Minimas!$A$15:$F$29,3),VLOOKUP(K51,[3]Minimas!$A$15:$F$29,2))))),IF(H51&lt;1999,VLOOKUP(K51,[3]Minimas!$G$15:$L$29,6),IF(AND(H51&gt;1998,H51&lt;2002),VLOOKUP(K51,[3]Minimas!$G$15:$L$29,5),IF(AND(H51&gt;2001,H51&lt;2004),VLOOKUP(K51,[3]Minimas!$G$15:$L$29,4),IF(AND(H51&gt;2003,H51&lt;2006),VLOOKUP(K51,[3]Minimas!$G$15:$L$29,3),VLOOKUP(K51,[3]Minimas!$G$15:$L$29,2)))))))</f>
        <v>U20 M67</v>
      </c>
      <c r="W51" s="361">
        <f t="shared" si="19"/>
        <v>322.65581989997764</v>
      </c>
      <c r="X51" s="257">
        <v>43625</v>
      </c>
      <c r="Y51" s="261" t="s">
        <v>886</v>
      </c>
      <c r="Z51" s="261" t="s">
        <v>887</v>
      </c>
      <c r="AA51" s="232"/>
      <c r="AB51" s="230">
        <f>T51-HLOOKUP(V51,[3]Minimas!$C$3:$CD$12,2,FALSE)</f>
        <v>132</v>
      </c>
      <c r="AC51" s="230">
        <f>T51-HLOOKUP(V51,[3]Minimas!$C$3:$CD$12,3,FALSE)</f>
        <v>112</v>
      </c>
      <c r="AD51" s="230">
        <f>T51-HLOOKUP(V51,[3]Minimas!$C$3:$CD$12,4,FALSE)</f>
        <v>87</v>
      </c>
      <c r="AE51" s="230">
        <f>T51-HLOOKUP(V51,[3]Minimas!$C$3:$CD$12,5,FALSE)</f>
        <v>67</v>
      </c>
      <c r="AF51" s="230">
        <f>T51-HLOOKUP(V51,[3]Minimas!$C$3:$CD$12,6,FALSE)</f>
        <v>47</v>
      </c>
      <c r="AG51" s="230">
        <f>T51-HLOOKUP(V51,[3]Minimas!$C$3:$CD$12,7,FALSE)</f>
        <v>19</v>
      </c>
      <c r="AH51" s="230">
        <f>T51-HLOOKUP(V51,[3]Minimas!$C$3:$CD$12,8,FALSE)</f>
        <v>-3</v>
      </c>
      <c r="AI51" s="230">
        <f>T51-HLOOKUP(V51,[3]Minimas!$C$3:$CD$12,9,FALSE)</f>
        <v>-23</v>
      </c>
      <c r="AJ51" s="230">
        <f>T51-HLOOKUP(V51,[3]Minimas!$C$3:$CD$12,10,FALSE)</f>
        <v>-58</v>
      </c>
      <c r="AK51" s="231" t="str">
        <f t="shared" si="20"/>
        <v>NAT +</v>
      </c>
      <c r="AL51" s="232"/>
      <c r="AM51" s="232" t="str">
        <f t="shared" si="21"/>
        <v>NAT +</v>
      </c>
      <c r="AN51" s="232">
        <f t="shared" si="22"/>
        <v>19</v>
      </c>
      <c r="AO51" s="232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  <c r="BF51" s="38"/>
      <c r="BG51" s="38"/>
      <c r="BH51" s="38"/>
      <c r="BI51" s="38"/>
      <c r="BJ51" s="38"/>
      <c r="BK51" s="38"/>
      <c r="BL51" s="38"/>
      <c r="BM51" s="38"/>
      <c r="BN51" s="38"/>
      <c r="BO51" s="38"/>
      <c r="BP51" s="38"/>
      <c r="BQ51" s="38"/>
      <c r="BR51" s="38"/>
      <c r="BS51" s="38"/>
      <c r="BT51" s="38"/>
      <c r="BU51" s="38"/>
      <c r="BV51" s="38"/>
      <c r="BW51" s="38"/>
      <c r="BX51" s="38"/>
      <c r="BY51" s="38"/>
      <c r="BZ51" s="38"/>
      <c r="CA51" s="38"/>
      <c r="CB51" s="38"/>
      <c r="CC51" s="38"/>
      <c r="CD51" s="38"/>
      <c r="CE51" s="38"/>
      <c r="CF51" s="38"/>
      <c r="CG51" s="38"/>
      <c r="CH51" s="38"/>
      <c r="CI51" s="38"/>
      <c r="CJ51" s="38"/>
      <c r="CK51" s="38"/>
      <c r="CL51" s="38"/>
      <c r="CM51" s="38"/>
      <c r="CN51" s="38"/>
      <c r="CO51" s="38"/>
      <c r="CP51" s="38"/>
      <c r="CQ51" s="38"/>
      <c r="CR51" s="38"/>
      <c r="CS51" s="38"/>
      <c r="CT51" s="38"/>
      <c r="CU51" s="38"/>
      <c r="CV51" s="38"/>
      <c r="CW51" s="38"/>
      <c r="CX51" s="38"/>
      <c r="CY51" s="38"/>
      <c r="CZ51" s="38"/>
      <c r="DA51" s="38"/>
      <c r="DB51" s="38"/>
      <c r="DC51" s="38"/>
      <c r="DD51" s="38"/>
      <c r="DE51" s="38"/>
      <c r="DF51" s="38"/>
      <c r="DG51" s="38"/>
      <c r="DH51" s="38"/>
      <c r="DI51" s="38"/>
      <c r="DJ51" s="38"/>
      <c r="DK51" s="38"/>
      <c r="DL51" s="38"/>
      <c r="DM51" s="38"/>
      <c r="DN51" s="38"/>
      <c r="DO51" s="38"/>
      <c r="DP51" s="38"/>
      <c r="DQ51" s="38"/>
      <c r="DR51" s="38"/>
      <c r="DS51" s="38"/>
      <c r="DT51" s="38"/>
    </row>
    <row r="52" spans="1:124" s="5" customFormat="1" ht="30" customHeight="1" x14ac:dyDescent="0.3">
      <c r="B52" s="136" t="s">
        <v>543</v>
      </c>
      <c r="C52" s="166">
        <v>441926</v>
      </c>
      <c r="D52" s="99"/>
      <c r="E52" s="476" t="s">
        <v>40</v>
      </c>
      <c r="F52" s="143" t="s">
        <v>264</v>
      </c>
      <c r="G52" s="144" t="s">
        <v>265</v>
      </c>
      <c r="H52" s="145">
        <v>1999</v>
      </c>
      <c r="I52" s="214" t="s">
        <v>129</v>
      </c>
      <c r="J52" s="146" t="s">
        <v>44</v>
      </c>
      <c r="K52" s="147">
        <v>62.6</v>
      </c>
      <c r="L52" s="118">
        <v>54</v>
      </c>
      <c r="M52" s="118">
        <v>58</v>
      </c>
      <c r="N52" s="118">
        <v>62</v>
      </c>
      <c r="O52" s="490">
        <f t="shared" si="15"/>
        <v>62</v>
      </c>
      <c r="P52" s="135">
        <v>70</v>
      </c>
      <c r="Q52" s="135">
        <v>75</v>
      </c>
      <c r="R52" s="129">
        <v>-80</v>
      </c>
      <c r="S52" s="490">
        <f t="shared" si="16"/>
        <v>75</v>
      </c>
      <c r="T52" s="489">
        <f t="shared" si="17"/>
        <v>137</v>
      </c>
      <c r="U52" s="48" t="str">
        <f t="shared" si="18"/>
        <v>DPT + 12</v>
      </c>
      <c r="V52" s="48" t="str">
        <f>IF(E52=0," ",IF(E52="H",IF(H52&lt;1999,VLOOKUP(K52,Minimas!$A$15:$F$29,6),IF(AND(H52&gt;1998,H52&lt;2002),VLOOKUP(K52,Minimas!$A$15:$F$29,5),IF(AND(H52&gt;2001,H52&lt;2004),VLOOKUP(K52,Minimas!$A$15:$F$29,4),IF(AND(H52&gt;2003,H52&lt;2006),VLOOKUP(K52,Minimas!$A$15:$F$29,3),VLOOKUP(K52,Minimas!$A$15:$F$29,2))))),IF(H52&lt;1999,VLOOKUP(K52,Minimas!$G$15:$L$29,6),IF(AND(H52&gt;1998,H52&lt;2002),VLOOKUP(K52,Minimas!$G$15:$L$29,5),IF(AND(H52&gt;2001,H52&lt;2004),VLOOKUP(K52,Minimas!$G$15:$L$29,4),IF(AND(H52&gt;2003,H52&lt;2006),VLOOKUP(K52,Minimas!$G$15:$L$29,3),VLOOKUP(K52,Minimas!$G$15:$L$29,2)))))))</f>
        <v>U20 M67</v>
      </c>
      <c r="W52" s="49">
        <f t="shared" si="19"/>
        <v>193.84387965817766</v>
      </c>
      <c r="X52" s="184">
        <v>43386</v>
      </c>
      <c r="Y52" s="284" t="s">
        <v>505</v>
      </c>
      <c r="Z52" s="284" t="s">
        <v>504</v>
      </c>
      <c r="AA52" s="232"/>
      <c r="AB52" s="230">
        <f>T52-HLOOKUP(V52,Minimas!$C$3:$CD$12,2,FALSE)</f>
        <v>32</v>
      </c>
      <c r="AC52" s="230">
        <f>T52-HLOOKUP(V52,Minimas!$C$3:$CD$12,3,FALSE)</f>
        <v>12</v>
      </c>
      <c r="AD52" s="230">
        <f>T52-HLOOKUP(V52,Minimas!$C$3:$CD$12,4,FALSE)</f>
        <v>-13</v>
      </c>
      <c r="AE52" s="230">
        <f>T52-HLOOKUP(V52,Minimas!$C$3:$CD$12,5,FALSE)</f>
        <v>-33</v>
      </c>
      <c r="AF52" s="230">
        <f>T52-HLOOKUP(V52,Minimas!$C$3:$CD$12,6,FALSE)</f>
        <v>-53</v>
      </c>
      <c r="AG52" s="230">
        <f>T52-HLOOKUP(V52,Minimas!$C$3:$CD$12,7,FALSE)</f>
        <v>-81</v>
      </c>
      <c r="AH52" s="230">
        <f>T52-HLOOKUP(V52,Minimas!$C$3:$CD$12,8,FALSE)</f>
        <v>-103</v>
      </c>
      <c r="AI52" s="230">
        <f>T52-HLOOKUP(V52,Minimas!$C$3:$CD$12,9,FALSE)</f>
        <v>-123</v>
      </c>
      <c r="AJ52" s="230">
        <f>T52-HLOOKUP(V52,Minimas!$C$3:$CD$12,10,FALSE)</f>
        <v>-158</v>
      </c>
      <c r="AK52" s="231" t="str">
        <f t="shared" si="20"/>
        <v>DPT +</v>
      </c>
      <c r="AL52" s="232"/>
      <c r="AM52" s="232" t="str">
        <f t="shared" si="21"/>
        <v>DPT +</v>
      </c>
      <c r="AN52" s="232">
        <f t="shared" si="22"/>
        <v>12</v>
      </c>
      <c r="AO52" s="232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  <c r="BK52" s="38"/>
      <c r="BL52" s="38"/>
      <c r="BM52" s="38"/>
      <c r="BN52" s="38"/>
      <c r="BO52" s="38"/>
      <c r="BP52" s="38"/>
      <c r="BQ52" s="38"/>
      <c r="BR52" s="38"/>
      <c r="BS52" s="38"/>
      <c r="BT52" s="38"/>
      <c r="BU52" s="38"/>
      <c r="BV52" s="38"/>
      <c r="BW52" s="38"/>
      <c r="BX52" s="38"/>
      <c r="BY52" s="38"/>
      <c r="BZ52" s="38"/>
      <c r="CA52" s="38"/>
      <c r="CB52" s="38"/>
      <c r="CC52" s="38"/>
      <c r="CD52" s="38"/>
      <c r="CE52" s="38"/>
      <c r="CF52" s="38"/>
      <c r="CG52" s="38"/>
      <c r="CH52" s="38"/>
      <c r="CI52" s="38"/>
      <c r="CJ52" s="38"/>
      <c r="CK52" s="38"/>
      <c r="CL52" s="38"/>
      <c r="CM52" s="38"/>
      <c r="CN52" s="38"/>
      <c r="CO52" s="38"/>
      <c r="CP52" s="38"/>
      <c r="CQ52" s="38"/>
      <c r="CR52" s="38"/>
      <c r="CS52" s="38"/>
      <c r="CT52" s="38"/>
      <c r="CU52" s="38"/>
      <c r="CV52" s="38"/>
      <c r="CW52" s="38"/>
      <c r="CX52" s="38"/>
      <c r="CY52" s="38"/>
      <c r="CZ52" s="38"/>
      <c r="DA52" s="38"/>
      <c r="DB52" s="38"/>
      <c r="DC52" s="38"/>
      <c r="DD52" s="38"/>
      <c r="DE52" s="38"/>
      <c r="DF52" s="38"/>
      <c r="DG52" s="38"/>
      <c r="DH52" s="38"/>
      <c r="DI52" s="38"/>
      <c r="DJ52" s="38"/>
      <c r="DK52" s="38"/>
      <c r="DL52" s="38"/>
      <c r="DM52" s="38"/>
      <c r="DN52" s="38"/>
      <c r="DO52" s="38"/>
      <c r="DP52" s="38"/>
      <c r="DQ52" s="38"/>
      <c r="DR52" s="38"/>
      <c r="DS52" s="38"/>
      <c r="DT52" s="38"/>
    </row>
    <row r="53" spans="1:124" s="5" customFormat="1" ht="30" customHeight="1" x14ac:dyDescent="0.25">
      <c r="B53" s="516" t="s">
        <v>543</v>
      </c>
      <c r="C53" s="524">
        <v>305873</v>
      </c>
      <c r="D53" s="530"/>
      <c r="E53" s="476" t="s">
        <v>40</v>
      </c>
      <c r="F53" s="728" t="s">
        <v>436</v>
      </c>
      <c r="G53" s="735" t="s">
        <v>348</v>
      </c>
      <c r="H53" s="215">
        <v>1999</v>
      </c>
      <c r="I53" s="564" t="s">
        <v>129</v>
      </c>
      <c r="J53" s="146" t="s">
        <v>44</v>
      </c>
      <c r="K53" s="200">
        <v>68.599999999999994</v>
      </c>
      <c r="L53" s="118">
        <v>103</v>
      </c>
      <c r="M53" s="118">
        <v>106</v>
      </c>
      <c r="N53" s="118">
        <v>109</v>
      </c>
      <c r="O53" s="358">
        <f t="shared" si="15"/>
        <v>109</v>
      </c>
      <c r="P53" s="118">
        <v>133</v>
      </c>
      <c r="Q53" s="118">
        <v>137</v>
      </c>
      <c r="R53" s="118">
        <v>-141</v>
      </c>
      <c r="S53" s="358">
        <f t="shared" si="16"/>
        <v>137</v>
      </c>
      <c r="T53" s="359">
        <f t="shared" si="17"/>
        <v>246</v>
      </c>
      <c r="U53" s="360" t="str">
        <f t="shared" si="18"/>
        <v>NAT + 16</v>
      </c>
      <c r="V53" s="360" t="str">
        <f>IF(E53=0," ",IF(E53="H",IF(H53&lt;1999,VLOOKUP(K53,[3]Minimas!$A$15:$F$29,6),IF(AND(H53&gt;1998,H53&lt;2002),VLOOKUP(K53,[3]Minimas!$A$15:$F$29,5),IF(AND(H53&gt;2001,H53&lt;2004),VLOOKUP(K53,[3]Minimas!$A$15:$F$29,4),IF(AND(H53&gt;2003,H53&lt;2006),VLOOKUP(K53,[3]Minimas!$A$15:$F$29,3),VLOOKUP(K53,[3]Minimas!$A$15:$F$29,2))))),IF(H53&lt;1999,VLOOKUP(K53,[3]Minimas!$G$15:$L$29,6),IF(AND(H53&gt;1998,H53&lt;2002),VLOOKUP(K53,[3]Minimas!$G$15:$L$29,5),IF(AND(H53&gt;2001,H53&lt;2004),VLOOKUP(K53,[3]Minimas!$G$15:$L$29,4),IF(AND(H53&gt;2003,H53&lt;2006),VLOOKUP(K53,[3]Minimas!$G$15:$L$29,3),VLOOKUP(K53,[3]Minimas!$G$15:$L$29,2)))))))</f>
        <v>U20 M73</v>
      </c>
      <c r="W53" s="361">
        <f t="shared" si="19"/>
        <v>328.16344070632726</v>
      </c>
      <c r="X53" s="257">
        <v>43610</v>
      </c>
      <c r="Y53" s="261" t="s">
        <v>881</v>
      </c>
      <c r="Z53" s="261" t="s">
        <v>882</v>
      </c>
      <c r="AA53" s="232"/>
      <c r="AB53" s="230">
        <f>T53-HLOOKUP(V53,[3]Minimas!$C$3:$CD$12,2,FALSE)</f>
        <v>126</v>
      </c>
      <c r="AC53" s="230">
        <f>T53-HLOOKUP(V53,[3]Minimas!$C$3:$CD$12,3,FALSE)</f>
        <v>106</v>
      </c>
      <c r="AD53" s="230">
        <f>T53-HLOOKUP(V53,[3]Minimas!$C$3:$CD$12,4,FALSE)</f>
        <v>86</v>
      </c>
      <c r="AE53" s="230">
        <f>T53-HLOOKUP(V53,[3]Minimas!$C$3:$CD$12,5,FALSE)</f>
        <v>66</v>
      </c>
      <c r="AF53" s="230">
        <f>T53-HLOOKUP(V53,[3]Minimas!$C$3:$CD$12,6,FALSE)</f>
        <v>46</v>
      </c>
      <c r="AG53" s="230">
        <f>T53-HLOOKUP(V53,[3]Minimas!$C$3:$CD$12,7,FALSE)</f>
        <v>16</v>
      </c>
      <c r="AH53" s="230">
        <f>T53-HLOOKUP(V53,[3]Minimas!$C$3:$CD$12,8,FALSE)</f>
        <v>-4</v>
      </c>
      <c r="AI53" s="230">
        <f>T53-HLOOKUP(V53,[3]Minimas!$C$3:$CD$12,9,FALSE)</f>
        <v>-29</v>
      </c>
      <c r="AJ53" s="230">
        <f>T53-HLOOKUP(V53,[3]Minimas!$C$3:$CD$12,10,FALSE)</f>
        <v>-69</v>
      </c>
      <c r="AK53" s="231" t="str">
        <f t="shared" si="20"/>
        <v>NAT +</v>
      </c>
      <c r="AL53" s="232"/>
      <c r="AM53" s="232" t="str">
        <f t="shared" si="21"/>
        <v>NAT +</v>
      </c>
      <c r="AN53" s="232">
        <f t="shared" si="22"/>
        <v>16</v>
      </c>
      <c r="AO53" s="232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  <c r="BK53" s="38"/>
      <c r="BL53" s="38"/>
      <c r="BM53" s="38"/>
      <c r="BN53" s="38"/>
      <c r="BO53" s="38"/>
      <c r="BP53" s="38"/>
      <c r="BQ53" s="38"/>
      <c r="BR53" s="38"/>
      <c r="BS53" s="38"/>
      <c r="BT53" s="38"/>
      <c r="BU53" s="38"/>
      <c r="BV53" s="38"/>
      <c r="BW53" s="38"/>
      <c r="BX53" s="38"/>
      <c r="BY53" s="38"/>
      <c r="BZ53" s="38"/>
      <c r="CA53" s="38"/>
      <c r="CB53" s="38"/>
      <c r="CC53" s="38"/>
      <c r="CD53" s="38"/>
      <c r="CE53" s="38"/>
      <c r="CF53" s="38"/>
      <c r="CG53" s="38"/>
      <c r="CH53" s="38"/>
      <c r="CI53" s="38"/>
      <c r="CJ53" s="38"/>
      <c r="CK53" s="38"/>
      <c r="CL53" s="38"/>
      <c r="CM53" s="38"/>
      <c r="CN53" s="38"/>
      <c r="CO53" s="38"/>
      <c r="CP53" s="38"/>
      <c r="CQ53" s="38"/>
      <c r="CR53" s="38"/>
      <c r="CS53" s="38"/>
      <c r="CT53" s="38"/>
      <c r="CU53" s="38"/>
      <c r="CV53" s="38"/>
      <c r="CW53" s="38"/>
      <c r="CX53" s="38"/>
      <c r="CY53" s="38"/>
      <c r="CZ53" s="38"/>
      <c r="DA53" s="38"/>
      <c r="DB53" s="38"/>
      <c r="DC53" s="38"/>
      <c r="DD53" s="38"/>
      <c r="DE53" s="38"/>
      <c r="DF53" s="38"/>
      <c r="DG53" s="38"/>
      <c r="DH53" s="38"/>
      <c r="DI53" s="38"/>
      <c r="DJ53" s="38"/>
      <c r="DK53" s="38"/>
      <c r="DL53" s="38"/>
      <c r="DM53" s="38"/>
      <c r="DN53" s="38"/>
      <c r="DO53" s="38"/>
      <c r="DP53" s="38"/>
      <c r="DQ53" s="38"/>
      <c r="DR53" s="38"/>
      <c r="DS53" s="38"/>
      <c r="DT53" s="38"/>
    </row>
    <row r="54" spans="1:124" s="5" customFormat="1" ht="30" customHeight="1" x14ac:dyDescent="0.25">
      <c r="B54" s="136" t="s">
        <v>543</v>
      </c>
      <c r="C54" s="475">
        <v>365343</v>
      </c>
      <c r="D54" s="99"/>
      <c r="E54" s="140" t="s">
        <v>40</v>
      </c>
      <c r="F54" s="239" t="s">
        <v>245</v>
      </c>
      <c r="G54" s="239" t="s">
        <v>246</v>
      </c>
      <c r="H54" s="140">
        <v>2001</v>
      </c>
      <c r="I54" s="140" t="s">
        <v>129</v>
      </c>
      <c r="J54" s="141" t="s">
        <v>44</v>
      </c>
      <c r="K54" s="142">
        <v>68</v>
      </c>
      <c r="L54" s="434">
        <v>98</v>
      </c>
      <c r="M54" s="434">
        <v>101</v>
      </c>
      <c r="N54" s="436">
        <v>104</v>
      </c>
      <c r="O54" s="490">
        <f t="shared" si="15"/>
        <v>104</v>
      </c>
      <c r="P54" s="436">
        <v>126</v>
      </c>
      <c r="Q54" s="436">
        <v>130</v>
      </c>
      <c r="R54" s="436">
        <v>134</v>
      </c>
      <c r="S54" s="490">
        <f t="shared" si="16"/>
        <v>134</v>
      </c>
      <c r="T54" s="489">
        <f t="shared" si="17"/>
        <v>238</v>
      </c>
      <c r="U54" s="48" t="str">
        <f t="shared" si="18"/>
        <v>NAT + 8</v>
      </c>
      <c r="V54" s="48" t="str">
        <f>IF(E54=0," ",IF(E54="H",IF(H54&lt;1999,VLOOKUP(K54,Minimas!$A$15:$F$29,6),IF(AND(H54&gt;1998,H54&lt;2002),VLOOKUP(K54,Minimas!$A$15:$F$29,5),IF(AND(H54&gt;2001,H54&lt;2004),VLOOKUP(K54,Minimas!$A$15:$F$29,4),IF(AND(H54&gt;2003,H54&lt;2006),VLOOKUP(K54,Minimas!$A$15:$F$29,3),VLOOKUP(K54,Minimas!$A$15:$F$29,2))))),IF(H54&lt;1999,VLOOKUP(K54,Minimas!$G$15:$L$29,6),IF(AND(H54&gt;1998,H54&lt;2002),VLOOKUP(K54,Minimas!$G$15:$L$29,5),IF(AND(H54&gt;2001,H54&lt;2004),VLOOKUP(K54,Minimas!$G$15:$L$29,4),IF(AND(H54&gt;2003,H54&lt;2006),VLOOKUP(K54,Minimas!$G$15:$L$29,3),VLOOKUP(K54,Minimas!$G$15:$L$29,2)))))))</f>
        <v>U20 M73</v>
      </c>
      <c r="W54" s="49">
        <f t="shared" si="19"/>
        <v>319.21537066354551</v>
      </c>
      <c r="X54" s="257">
        <v>43583</v>
      </c>
      <c r="Y54" s="261" t="s">
        <v>853</v>
      </c>
      <c r="Z54" s="261" t="s">
        <v>854</v>
      </c>
      <c r="AA54" s="232"/>
      <c r="AB54" s="230">
        <f>T54-HLOOKUP(V54,Minimas!$C$3:$CD$12,2,FALSE)</f>
        <v>118</v>
      </c>
      <c r="AC54" s="230">
        <f>T54-HLOOKUP(V54,Minimas!$C$3:$CD$12,3,FALSE)</f>
        <v>98</v>
      </c>
      <c r="AD54" s="230">
        <f>T54-HLOOKUP(V54,Minimas!$C$3:$CD$12,4,FALSE)</f>
        <v>78</v>
      </c>
      <c r="AE54" s="230">
        <f>T54-HLOOKUP(V54,Minimas!$C$3:$CD$12,5,FALSE)</f>
        <v>58</v>
      </c>
      <c r="AF54" s="230">
        <f>T54-HLOOKUP(V54,Minimas!$C$3:$CD$12,6,FALSE)</f>
        <v>38</v>
      </c>
      <c r="AG54" s="230">
        <f>T54-HLOOKUP(V54,Minimas!$C$3:$CD$12,7,FALSE)</f>
        <v>8</v>
      </c>
      <c r="AH54" s="230">
        <f>T54-HLOOKUP(V54,Minimas!$C$3:$CD$12,8,FALSE)</f>
        <v>-12</v>
      </c>
      <c r="AI54" s="230">
        <f>T54-HLOOKUP(V54,Minimas!$C$3:$CD$12,9,FALSE)</f>
        <v>-37</v>
      </c>
      <c r="AJ54" s="230">
        <f>T54-HLOOKUP(V54,Minimas!$C$3:$CD$12,10,FALSE)</f>
        <v>-77</v>
      </c>
      <c r="AK54" s="231" t="str">
        <f t="shared" si="20"/>
        <v>NAT +</v>
      </c>
      <c r="AL54" s="232"/>
      <c r="AM54" s="232" t="str">
        <f t="shared" si="21"/>
        <v>NAT +</v>
      </c>
      <c r="AN54" s="232">
        <f t="shared" si="22"/>
        <v>8</v>
      </c>
      <c r="AO54" s="232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  <c r="BM54" s="38"/>
      <c r="BN54" s="38"/>
      <c r="BO54" s="38"/>
      <c r="BP54" s="38"/>
      <c r="BQ54" s="38"/>
      <c r="BR54" s="38"/>
      <c r="BS54" s="38"/>
      <c r="BT54" s="38"/>
      <c r="BU54" s="38"/>
      <c r="BV54" s="38"/>
      <c r="BW54" s="38"/>
      <c r="BX54" s="38"/>
      <c r="BY54" s="38"/>
      <c r="BZ54" s="38"/>
      <c r="CA54" s="38"/>
      <c r="CB54" s="38"/>
      <c r="CC54" s="38"/>
      <c r="CD54" s="38"/>
      <c r="CE54" s="38"/>
      <c r="CF54" s="38"/>
      <c r="CG54" s="38"/>
      <c r="CH54" s="38"/>
      <c r="CI54" s="38"/>
      <c r="CJ54" s="38"/>
      <c r="CK54" s="38"/>
      <c r="CL54" s="38"/>
      <c r="CM54" s="38"/>
      <c r="CN54" s="38"/>
      <c r="CO54" s="38"/>
      <c r="CP54" s="38"/>
      <c r="CQ54" s="38"/>
      <c r="CR54" s="38"/>
      <c r="CS54" s="38"/>
      <c r="CT54" s="38"/>
      <c r="CU54" s="38"/>
      <c r="CV54" s="38"/>
      <c r="CW54" s="38"/>
      <c r="CX54" s="38"/>
      <c r="CY54" s="38"/>
      <c r="CZ54" s="38"/>
      <c r="DA54" s="38"/>
      <c r="DB54" s="38"/>
      <c r="DC54" s="38"/>
      <c r="DD54" s="38"/>
      <c r="DE54" s="38"/>
      <c r="DF54" s="38"/>
      <c r="DG54" s="38"/>
      <c r="DH54" s="38"/>
      <c r="DI54" s="38"/>
      <c r="DJ54" s="38"/>
      <c r="DK54" s="38"/>
      <c r="DL54" s="38"/>
      <c r="DM54" s="38"/>
      <c r="DN54" s="38"/>
      <c r="DO54" s="38"/>
      <c r="DP54" s="38"/>
      <c r="DQ54" s="38"/>
      <c r="DR54" s="38"/>
      <c r="DS54" s="38"/>
      <c r="DT54" s="38"/>
    </row>
    <row r="55" spans="1:124" s="5" customFormat="1" ht="30" customHeight="1" x14ac:dyDescent="0.25">
      <c r="A55" s="484"/>
      <c r="B55" s="685" t="s">
        <v>543</v>
      </c>
      <c r="C55" s="166">
        <v>403856</v>
      </c>
      <c r="D55" s="167"/>
      <c r="E55" s="476" t="s">
        <v>40</v>
      </c>
      <c r="F55" s="217" t="s">
        <v>278</v>
      </c>
      <c r="G55" s="144" t="s">
        <v>279</v>
      </c>
      <c r="H55" s="218">
        <v>1999</v>
      </c>
      <c r="I55" s="170" t="s">
        <v>139</v>
      </c>
      <c r="J55" s="168" t="s">
        <v>44</v>
      </c>
      <c r="K55" s="147">
        <v>72.400000000000006</v>
      </c>
      <c r="L55" s="118">
        <v>75</v>
      </c>
      <c r="M55" s="118">
        <v>-80</v>
      </c>
      <c r="N55" s="118">
        <v>80</v>
      </c>
      <c r="O55" s="52">
        <f t="shared" si="15"/>
        <v>80</v>
      </c>
      <c r="P55" s="118">
        <v>95</v>
      </c>
      <c r="Q55" s="118">
        <v>100</v>
      </c>
      <c r="R55" s="118">
        <v>103</v>
      </c>
      <c r="S55" s="52">
        <f t="shared" si="16"/>
        <v>103</v>
      </c>
      <c r="T55" s="489">
        <f t="shared" si="17"/>
        <v>183</v>
      </c>
      <c r="U55" s="48" t="str">
        <f t="shared" si="18"/>
        <v>IRG + 3</v>
      </c>
      <c r="V55" s="48" t="str">
        <f>IF(E55=0," ",IF(E55="H",IF(H55&lt;1999,VLOOKUP(K55,[25]Minimas!$A$15:$F$29,6),IF(AND(H55&gt;1998,H55&lt;2002),VLOOKUP(K55,[25]Minimas!$A$15:$F$29,5),IF(AND(H55&gt;2001,H55&lt;2004),VLOOKUP(K55,[25]Minimas!$A$15:$F$29,4),IF(AND(H55&gt;2003,H55&lt;2006),VLOOKUP(K55,[25]Minimas!$A$15:$F$29,3),VLOOKUP(K55,[25]Minimas!$A$15:$F$29,2))))),IF(H55&lt;1999,VLOOKUP(K55,[25]Minimas!$G$15:$L$29,6),IF(AND(H55&gt;1998,H55&lt;2002),VLOOKUP(K55,[25]Minimas!$G$15:$L$29,5),IF(AND(H55&gt;2001,H55&lt;2004),VLOOKUP(K55,[25]Minimas!$G$15:$L$29,4),IF(AND(H55&gt;2003,H55&lt;2006),VLOOKUP(K55,[25]Minimas!$G$15:$L$29,3),VLOOKUP(K55,[25]Minimas!$G$15:$L$29,2)))))))</f>
        <v>U20 M73</v>
      </c>
      <c r="W55" s="49">
        <f t="shared" si="19"/>
        <v>236.40277749306716</v>
      </c>
      <c r="X55" s="257">
        <v>43492</v>
      </c>
      <c r="Y55" s="261" t="s">
        <v>525</v>
      </c>
      <c r="Z55" s="261" t="s">
        <v>695</v>
      </c>
      <c r="AA55" s="232"/>
      <c r="AB55" s="230">
        <f>T55-HLOOKUP(V55,Minimas!$C$3:$CD$12,2,FALSE)</f>
        <v>63</v>
      </c>
      <c r="AC55" s="230">
        <f>T55-HLOOKUP(V55,Minimas!$C$3:$CD$12,3,FALSE)</f>
        <v>43</v>
      </c>
      <c r="AD55" s="230">
        <f>T55-HLOOKUP(V55,Minimas!$C$3:$CD$12,4,FALSE)</f>
        <v>23</v>
      </c>
      <c r="AE55" s="230">
        <f>T55-HLOOKUP(V55,Minimas!$C$3:$CD$12,5,FALSE)</f>
        <v>3</v>
      </c>
      <c r="AF55" s="230">
        <f>T55-HLOOKUP(V55,Minimas!$C$3:$CD$12,6,FALSE)</f>
        <v>-17</v>
      </c>
      <c r="AG55" s="230">
        <f>T55-HLOOKUP(V55,Minimas!$C$3:$CD$12,7,FALSE)</f>
        <v>-47</v>
      </c>
      <c r="AH55" s="230">
        <f>T55-HLOOKUP(V55,Minimas!$C$3:$CD$12,8,FALSE)</f>
        <v>-67</v>
      </c>
      <c r="AI55" s="230">
        <f>T55-HLOOKUP(V55,Minimas!$C$3:$CD$12,9,FALSE)</f>
        <v>-92</v>
      </c>
      <c r="AJ55" s="230">
        <f>T55-HLOOKUP(V55,Minimas!$C$3:$CD$12,10,FALSE)</f>
        <v>-132</v>
      </c>
      <c r="AK55" s="231" t="str">
        <f t="shared" si="20"/>
        <v>IRG +</v>
      </c>
      <c r="AL55" s="232"/>
      <c r="AM55" s="232" t="str">
        <f t="shared" si="21"/>
        <v>IRG +</v>
      </c>
      <c r="AN55" s="232">
        <f t="shared" si="22"/>
        <v>3</v>
      </c>
      <c r="AO55" s="232"/>
      <c r="AP55" s="485"/>
      <c r="AQ55" s="485"/>
      <c r="AR55" s="485"/>
      <c r="AS55" s="485"/>
      <c r="AT55" s="485"/>
      <c r="AU55" s="485"/>
      <c r="AV55" s="485"/>
      <c r="AW55" s="485"/>
      <c r="AX55" s="485"/>
      <c r="AY55" s="485"/>
      <c r="AZ55" s="485"/>
      <c r="BA55" s="485"/>
      <c r="BB55" s="485"/>
      <c r="BC55" s="485"/>
      <c r="BD55" s="485"/>
      <c r="BE55" s="485"/>
      <c r="BF55" s="485"/>
      <c r="BG55" s="485"/>
      <c r="BH55" s="485"/>
      <c r="BI55" s="485"/>
      <c r="BJ55" s="485"/>
      <c r="BK55" s="485"/>
      <c r="BL55" s="485"/>
      <c r="BM55" s="485"/>
      <c r="BN55" s="485"/>
      <c r="BO55" s="485"/>
      <c r="BP55" s="485"/>
      <c r="BQ55" s="485"/>
      <c r="BR55" s="485"/>
      <c r="BS55" s="485"/>
      <c r="BT55" s="485"/>
      <c r="BU55" s="485"/>
      <c r="BV55" s="485"/>
      <c r="BW55" s="485"/>
      <c r="BX55" s="485"/>
      <c r="BY55" s="485"/>
      <c r="BZ55" s="485"/>
      <c r="CA55" s="485"/>
      <c r="CB55" s="485"/>
      <c r="CC55" s="485"/>
      <c r="CD55" s="485"/>
      <c r="CE55" s="485"/>
      <c r="CF55" s="485"/>
      <c r="CG55" s="485"/>
      <c r="CH55" s="485"/>
      <c r="CI55" s="485"/>
      <c r="CJ55" s="485"/>
      <c r="CK55" s="485"/>
      <c r="CL55" s="485"/>
      <c r="CM55" s="485"/>
      <c r="CN55" s="485"/>
      <c r="CO55" s="485"/>
      <c r="CP55" s="485"/>
      <c r="CQ55" s="485"/>
      <c r="CR55" s="485"/>
      <c r="CS55" s="485"/>
      <c r="CT55" s="485"/>
      <c r="CU55" s="485"/>
      <c r="CV55" s="485"/>
      <c r="CW55" s="485"/>
      <c r="CX55" s="485"/>
      <c r="CY55" s="485"/>
      <c r="CZ55" s="485"/>
      <c r="DA55" s="485"/>
      <c r="DB55" s="485"/>
      <c r="DC55" s="485"/>
      <c r="DD55" s="485"/>
      <c r="DE55" s="485"/>
      <c r="DF55" s="485"/>
      <c r="DG55" s="485"/>
      <c r="DH55" s="485"/>
      <c r="DI55" s="485"/>
      <c r="DJ55" s="485"/>
      <c r="DK55" s="485"/>
      <c r="DL55" s="485"/>
      <c r="DM55" s="485"/>
      <c r="DN55" s="485"/>
      <c r="DO55" s="485"/>
      <c r="DP55" s="485"/>
      <c r="DQ55" s="485"/>
      <c r="DR55" s="485"/>
      <c r="DS55" s="485"/>
      <c r="DT55" s="485"/>
    </row>
    <row r="56" spans="1:124" s="5" customFormat="1" ht="30" customHeight="1" x14ac:dyDescent="0.25">
      <c r="A56" s="484"/>
      <c r="B56" s="136" t="s">
        <v>543</v>
      </c>
      <c r="C56" s="166">
        <v>344412</v>
      </c>
      <c r="D56" s="167"/>
      <c r="E56" s="476" t="s">
        <v>40</v>
      </c>
      <c r="F56" s="217" t="s">
        <v>310</v>
      </c>
      <c r="G56" s="144" t="s">
        <v>311</v>
      </c>
      <c r="H56" s="218">
        <v>2001</v>
      </c>
      <c r="I56" s="169" t="s">
        <v>546</v>
      </c>
      <c r="J56" s="168" t="s">
        <v>44</v>
      </c>
      <c r="K56" s="147">
        <v>70.7</v>
      </c>
      <c r="L56" s="118">
        <v>75</v>
      </c>
      <c r="M56" s="118">
        <v>80</v>
      </c>
      <c r="N56" s="118">
        <v>85</v>
      </c>
      <c r="O56" s="802">
        <f t="shared" si="15"/>
        <v>85</v>
      </c>
      <c r="P56" s="118">
        <v>88</v>
      </c>
      <c r="Q56" s="118">
        <v>93</v>
      </c>
      <c r="R56" s="118">
        <v>97</v>
      </c>
      <c r="S56" s="490">
        <f t="shared" si="16"/>
        <v>97</v>
      </c>
      <c r="T56" s="489">
        <f t="shared" si="17"/>
        <v>182</v>
      </c>
      <c r="U56" s="48" t="str">
        <f t="shared" si="18"/>
        <v>IRG + 2</v>
      </c>
      <c r="V56" s="48" t="str">
        <f>IF(E56=0," ",IF(E56="H",IF(H56&lt;1999,VLOOKUP(K56,Minimas!$A$15:$F$29,6),IF(AND(H56&gt;1998,H56&lt;2002),VLOOKUP(K56,Minimas!$A$15:$F$29,5),IF(AND(H56&gt;2001,H56&lt;2004),VLOOKUP(K56,Minimas!$A$15:$F$29,4),IF(AND(H56&gt;2003,H56&lt;2006),VLOOKUP(K56,Minimas!$A$15:$F$29,3),VLOOKUP(K56,Minimas!$A$15:$F$29,2))))),IF(H56&lt;1999,VLOOKUP(K56,Minimas!$G$15:$L$29,6),IF(AND(H56&gt;1998,H56&lt;2002),VLOOKUP(K56,Minimas!$G$15:$L$29,5),IF(AND(H56&gt;2001,H56&lt;2004),VLOOKUP(K56,Minimas!$G$15:$L$29,4),IF(AND(H56&gt;2003,H56&lt;2006),VLOOKUP(K56,Minimas!$G$15:$L$29,3),VLOOKUP(K56,Minimas!$G$15:$L$29,2)))))))</f>
        <v>U20 M73</v>
      </c>
      <c r="W56" s="49">
        <f t="shared" si="19"/>
        <v>238.4080168425368</v>
      </c>
      <c r="X56" s="257">
        <v>43484</v>
      </c>
      <c r="Y56" s="261" t="s">
        <v>630</v>
      </c>
      <c r="Z56" s="261" t="s">
        <v>511</v>
      </c>
      <c r="AA56" s="232"/>
      <c r="AB56" s="230">
        <f>T56-HLOOKUP(V56,Minimas!$C$3:$CD$12,2,FALSE)</f>
        <v>62</v>
      </c>
      <c r="AC56" s="230">
        <f>T56-HLOOKUP(V56,Minimas!$C$3:$CD$12,3,FALSE)</f>
        <v>42</v>
      </c>
      <c r="AD56" s="230">
        <f>T56-HLOOKUP(V56,Minimas!$C$3:$CD$12,4,FALSE)</f>
        <v>22</v>
      </c>
      <c r="AE56" s="230">
        <f>T56-HLOOKUP(V56,Minimas!$C$3:$CD$12,5,FALSE)</f>
        <v>2</v>
      </c>
      <c r="AF56" s="230">
        <f>T56-HLOOKUP(V56,Minimas!$C$3:$CD$12,6,FALSE)</f>
        <v>-18</v>
      </c>
      <c r="AG56" s="230">
        <f>T56-HLOOKUP(V56,Minimas!$C$3:$CD$12,7,FALSE)</f>
        <v>-48</v>
      </c>
      <c r="AH56" s="230">
        <f>T56-HLOOKUP(V56,Minimas!$C$3:$CD$12,8,FALSE)</f>
        <v>-68</v>
      </c>
      <c r="AI56" s="230">
        <f>T56-HLOOKUP(V56,Minimas!$C$3:$CD$12,9,FALSE)</f>
        <v>-93</v>
      </c>
      <c r="AJ56" s="230">
        <f>T56-HLOOKUP(V56,Minimas!$C$3:$CD$12,10,FALSE)</f>
        <v>-133</v>
      </c>
      <c r="AK56" s="231" t="str">
        <f t="shared" si="20"/>
        <v>IRG +</v>
      </c>
      <c r="AL56" s="232"/>
      <c r="AM56" s="232" t="str">
        <f t="shared" si="21"/>
        <v>IRG +</v>
      </c>
      <c r="AN56" s="232">
        <f t="shared" si="22"/>
        <v>2</v>
      </c>
      <c r="AO56" s="232"/>
      <c r="AP56" s="485"/>
      <c r="AQ56" s="485"/>
      <c r="AR56" s="485"/>
      <c r="AS56" s="485"/>
      <c r="AT56" s="485"/>
      <c r="AU56" s="485"/>
      <c r="AV56" s="485"/>
      <c r="AW56" s="485"/>
      <c r="AX56" s="485"/>
      <c r="AY56" s="485"/>
      <c r="AZ56" s="485"/>
      <c r="BA56" s="485"/>
      <c r="BB56" s="485"/>
      <c r="BC56" s="485"/>
      <c r="BD56" s="485"/>
      <c r="BE56" s="485"/>
      <c r="BF56" s="485"/>
      <c r="BG56" s="485"/>
      <c r="BH56" s="485"/>
      <c r="BI56" s="485"/>
      <c r="BJ56" s="485"/>
      <c r="BK56" s="485"/>
      <c r="BL56" s="485"/>
      <c r="BM56" s="485"/>
      <c r="BN56" s="485"/>
      <c r="BO56" s="485"/>
      <c r="BP56" s="485"/>
      <c r="BQ56" s="485"/>
      <c r="BR56" s="485"/>
      <c r="BS56" s="485"/>
      <c r="BT56" s="485"/>
      <c r="BU56" s="485"/>
      <c r="BV56" s="485"/>
      <c r="BW56" s="485"/>
      <c r="BX56" s="485"/>
      <c r="BY56" s="485"/>
      <c r="BZ56" s="485"/>
      <c r="CA56" s="485"/>
      <c r="CB56" s="485"/>
      <c r="CC56" s="485"/>
      <c r="CD56" s="485"/>
      <c r="CE56" s="485"/>
      <c r="CF56" s="485"/>
      <c r="CG56" s="485"/>
      <c r="CH56" s="485"/>
      <c r="CI56" s="485"/>
      <c r="CJ56" s="485"/>
      <c r="CK56" s="485"/>
      <c r="CL56" s="485"/>
      <c r="CM56" s="485"/>
      <c r="CN56" s="485"/>
      <c r="CO56" s="485"/>
      <c r="CP56" s="485"/>
      <c r="CQ56" s="485"/>
      <c r="CR56" s="485"/>
      <c r="CS56" s="485"/>
      <c r="CT56" s="485"/>
      <c r="CU56" s="485"/>
      <c r="CV56" s="485"/>
      <c r="CW56" s="485"/>
      <c r="CX56" s="485"/>
      <c r="CY56" s="485"/>
      <c r="CZ56" s="485"/>
      <c r="DA56" s="485"/>
      <c r="DB56" s="485"/>
      <c r="DC56" s="485"/>
      <c r="DD56" s="485"/>
      <c r="DE56" s="485"/>
      <c r="DF56" s="485"/>
      <c r="DG56" s="485"/>
      <c r="DH56" s="485"/>
      <c r="DI56" s="485"/>
      <c r="DJ56" s="485"/>
      <c r="DK56" s="485"/>
      <c r="DL56" s="485"/>
      <c r="DM56" s="485"/>
      <c r="DN56" s="485"/>
      <c r="DO56" s="485"/>
      <c r="DP56" s="485"/>
      <c r="DQ56" s="485"/>
      <c r="DR56" s="485"/>
      <c r="DS56" s="485"/>
      <c r="DT56" s="485"/>
    </row>
    <row r="57" spans="1:124" s="5" customFormat="1" ht="30" customHeight="1" x14ac:dyDescent="0.25">
      <c r="A57" s="484"/>
      <c r="B57" s="685" t="s">
        <v>543</v>
      </c>
      <c r="C57" s="166">
        <v>416679</v>
      </c>
      <c r="D57" s="167"/>
      <c r="E57" s="476" t="s">
        <v>40</v>
      </c>
      <c r="F57" s="217" t="s">
        <v>645</v>
      </c>
      <c r="G57" s="144" t="s">
        <v>280</v>
      </c>
      <c r="H57" s="218">
        <v>2001</v>
      </c>
      <c r="I57" s="170" t="s">
        <v>139</v>
      </c>
      <c r="J57" s="168" t="s">
        <v>44</v>
      </c>
      <c r="K57" s="200">
        <v>71.7</v>
      </c>
      <c r="L57" s="148">
        <v>-75</v>
      </c>
      <c r="M57" s="240">
        <v>-75</v>
      </c>
      <c r="N57" s="118">
        <v>80</v>
      </c>
      <c r="O57" s="490">
        <f t="shared" si="15"/>
        <v>80</v>
      </c>
      <c r="P57" s="118">
        <v>92</v>
      </c>
      <c r="Q57" s="118">
        <v>97</v>
      </c>
      <c r="R57" s="118">
        <v>100</v>
      </c>
      <c r="S57" s="490">
        <f t="shared" si="16"/>
        <v>100</v>
      </c>
      <c r="T57" s="489">
        <f t="shared" si="17"/>
        <v>180</v>
      </c>
      <c r="U57" s="48" t="str">
        <f t="shared" si="18"/>
        <v>IRG + 0</v>
      </c>
      <c r="V57" s="48" t="str">
        <f>IF(E57=0," ",IF(E57="H",IF(H57&lt;1999,VLOOKUP(K57,[5]Minimas!$A$15:$F$29,6),IF(AND(H57&gt;1998,H57&lt;2002),VLOOKUP(K57,[5]Minimas!$A$15:$F$29,5),IF(AND(H57&gt;2001,H57&lt;2004),VLOOKUP(K57,[5]Minimas!$A$15:$F$29,4),IF(AND(H57&gt;2003,H57&lt;2006),VLOOKUP(K57,[5]Minimas!$A$15:$F$29,3),VLOOKUP(K57,[5]Minimas!$A$15:$F$29,2))))),IF(H57&lt;1999,VLOOKUP(K57,[5]Minimas!$G$15:$L$29,6),IF(AND(H57&gt;1998,H57&lt;2002),VLOOKUP(K57,[5]Minimas!$G$15:$L$29,5),IF(AND(H57&gt;2001,H57&lt;2004),VLOOKUP(K57,[5]Minimas!$G$15:$L$29,4),IF(AND(H57&gt;2003,H57&lt;2006),VLOOKUP(K57,[5]Minimas!$G$15:$L$29,3),VLOOKUP(K57,[5]Minimas!$G$15:$L$29,2)))))))</f>
        <v>U20 M73</v>
      </c>
      <c r="W57" s="49">
        <f t="shared" si="19"/>
        <v>233.84473902241888</v>
      </c>
      <c r="X57" s="257">
        <v>43555</v>
      </c>
      <c r="Y57" s="261" t="s">
        <v>805</v>
      </c>
      <c r="Z57" s="261" t="s">
        <v>806</v>
      </c>
      <c r="AA57" s="232"/>
      <c r="AB57" s="230">
        <f>T57-HLOOKUP(V57,[5]Minimas!$C$3:$CD$12,2,FALSE)</f>
        <v>60</v>
      </c>
      <c r="AC57" s="230">
        <f>T57-HLOOKUP(V57,[5]Minimas!$C$3:$CD$12,3,FALSE)</f>
        <v>40</v>
      </c>
      <c r="AD57" s="230">
        <f>T57-HLOOKUP(V57,[5]Minimas!$C$3:$CD$12,4,FALSE)</f>
        <v>20</v>
      </c>
      <c r="AE57" s="230">
        <f>T57-HLOOKUP(V57,[5]Minimas!$C$3:$CD$12,5,FALSE)</f>
        <v>0</v>
      </c>
      <c r="AF57" s="230">
        <f>T57-HLOOKUP(V57,[5]Minimas!$C$3:$CD$12,6,FALSE)</f>
        <v>-20</v>
      </c>
      <c r="AG57" s="230">
        <f>T57-HLOOKUP(V57,[5]Minimas!$C$3:$CD$12,7,FALSE)</f>
        <v>-50</v>
      </c>
      <c r="AH57" s="230">
        <f>T57-HLOOKUP(V57,[5]Minimas!$C$3:$CD$12,8,FALSE)</f>
        <v>-70</v>
      </c>
      <c r="AI57" s="230">
        <f>T57-HLOOKUP(V57,[5]Minimas!$C$3:$CD$12,9,FALSE)</f>
        <v>-95</v>
      </c>
      <c r="AJ57" s="230">
        <f>T57-HLOOKUP(V57,[5]Minimas!$C$3:$CD$12,10,FALSE)</f>
        <v>-135</v>
      </c>
      <c r="AK57" s="231" t="str">
        <f t="shared" si="20"/>
        <v>IRG +</v>
      </c>
      <c r="AL57" s="232"/>
      <c r="AM57" s="232" t="str">
        <f t="shared" si="21"/>
        <v>IRG +</v>
      </c>
      <c r="AN57" s="232">
        <f t="shared" si="22"/>
        <v>0</v>
      </c>
      <c r="AO57" s="232"/>
      <c r="AP57" s="485"/>
      <c r="AQ57" s="485"/>
      <c r="AR57" s="485"/>
      <c r="AS57" s="485"/>
      <c r="AT57" s="485"/>
      <c r="AU57" s="485"/>
      <c r="AV57" s="485"/>
      <c r="AW57" s="485"/>
      <c r="AX57" s="485"/>
      <c r="AY57" s="485"/>
      <c r="AZ57" s="485"/>
      <c r="BA57" s="485"/>
      <c r="BB57" s="485"/>
      <c r="BC57" s="485"/>
      <c r="BD57" s="485"/>
      <c r="BE57" s="485"/>
      <c r="BF57" s="485"/>
      <c r="BG57" s="485"/>
      <c r="BH57" s="485"/>
      <c r="BI57" s="485"/>
      <c r="BJ57" s="485"/>
      <c r="BK57" s="485"/>
      <c r="BL57" s="485"/>
      <c r="BM57" s="485"/>
      <c r="BN57" s="485"/>
      <c r="BO57" s="485"/>
      <c r="BP57" s="485"/>
      <c r="BQ57" s="485"/>
      <c r="BR57" s="485"/>
      <c r="BS57" s="485"/>
      <c r="BT57" s="485"/>
      <c r="BU57" s="485"/>
      <c r="BV57" s="485"/>
      <c r="BW57" s="485"/>
      <c r="BX57" s="485"/>
      <c r="BY57" s="485"/>
      <c r="BZ57" s="485"/>
      <c r="CA57" s="485"/>
      <c r="CB57" s="485"/>
      <c r="CC57" s="485"/>
      <c r="CD57" s="485"/>
      <c r="CE57" s="485"/>
      <c r="CF57" s="485"/>
      <c r="CG57" s="485"/>
      <c r="CH57" s="485"/>
      <c r="CI57" s="485"/>
      <c r="CJ57" s="485"/>
      <c r="CK57" s="485"/>
      <c r="CL57" s="485"/>
      <c r="CM57" s="485"/>
      <c r="CN57" s="485"/>
      <c r="CO57" s="485"/>
      <c r="CP57" s="485"/>
      <c r="CQ57" s="485"/>
      <c r="CR57" s="485"/>
      <c r="CS57" s="485"/>
      <c r="CT57" s="485"/>
      <c r="CU57" s="485"/>
      <c r="CV57" s="485"/>
      <c r="CW57" s="485"/>
      <c r="CX57" s="485"/>
      <c r="CY57" s="485"/>
      <c r="CZ57" s="485"/>
      <c r="DA57" s="485"/>
      <c r="DB57" s="485"/>
      <c r="DC57" s="485"/>
      <c r="DD57" s="485"/>
      <c r="DE57" s="485"/>
      <c r="DF57" s="485"/>
      <c r="DG57" s="485"/>
      <c r="DH57" s="485"/>
      <c r="DI57" s="485"/>
      <c r="DJ57" s="485"/>
      <c r="DK57" s="485"/>
      <c r="DL57" s="485"/>
      <c r="DM57" s="485"/>
      <c r="DN57" s="485"/>
      <c r="DO57" s="485"/>
      <c r="DP57" s="485"/>
      <c r="DQ57" s="485"/>
      <c r="DR57" s="485"/>
      <c r="DS57" s="485"/>
      <c r="DT57" s="485"/>
    </row>
    <row r="58" spans="1:124" s="5" customFormat="1" ht="30" customHeight="1" x14ac:dyDescent="0.25">
      <c r="A58" s="1"/>
      <c r="B58" s="136" t="s">
        <v>543</v>
      </c>
      <c r="C58" s="166">
        <v>442049</v>
      </c>
      <c r="D58" s="167"/>
      <c r="E58" s="476" t="s">
        <v>40</v>
      </c>
      <c r="F58" s="143" t="s">
        <v>728</v>
      </c>
      <c r="G58" s="144" t="s">
        <v>335</v>
      </c>
      <c r="H58" s="145">
        <v>2000</v>
      </c>
      <c r="I58" s="172" t="s">
        <v>129</v>
      </c>
      <c r="J58" s="155" t="s">
        <v>44</v>
      </c>
      <c r="K58" s="200">
        <v>72.400000000000006</v>
      </c>
      <c r="L58" s="118">
        <v>55</v>
      </c>
      <c r="M58" s="148">
        <v>-70</v>
      </c>
      <c r="N58" s="118">
        <v>73</v>
      </c>
      <c r="O58" s="52">
        <f t="shared" si="15"/>
        <v>73</v>
      </c>
      <c r="P58" s="118">
        <v>85</v>
      </c>
      <c r="Q58" s="148">
        <v>-93</v>
      </c>
      <c r="R58" s="118">
        <v>93</v>
      </c>
      <c r="S58" s="52">
        <f t="shared" si="16"/>
        <v>93</v>
      </c>
      <c r="T58" s="51">
        <f>IF(E58="","",O58+S58)</f>
        <v>166</v>
      </c>
      <c r="U58" s="48" t="str">
        <f t="shared" si="18"/>
        <v>REG + 6</v>
      </c>
      <c r="V58" s="48" t="str">
        <f>IF(E58=0," ",IF(E58="H",IF(H58&lt;1999,VLOOKUP(K58,[13]Minimas!$A$15:$F$29,6),IF(AND(H58&gt;1998,H58&lt;2002),VLOOKUP(K58,[13]Minimas!$A$15:$F$29,5),IF(AND(H58&gt;2001,H58&lt;2004),VLOOKUP(K58,[13]Minimas!$A$15:$F$29,4),IF(AND(H58&gt;2003,H58&lt;2006),VLOOKUP(K58,[13]Minimas!$A$15:$F$29,3),VLOOKUP(K58,[13]Minimas!$A$15:$F$29,2))))),IF(H58&lt;1999,VLOOKUP(K58,[13]Minimas!$G$15:$L$29,6),IF(AND(H58&gt;1998,H58&lt;2002),VLOOKUP(K58,[13]Minimas!$G$15:$L$29,5),IF(AND(H58&gt;2001,H58&lt;2004),VLOOKUP(K58,[13]Minimas!$G$15:$L$29,4),IF(AND(H58&gt;2003,H58&lt;2006),VLOOKUP(K58,[13]Minimas!$G$15:$L$29,3),VLOOKUP(K58,[13]Minimas!$G$15:$L$29,2)))))))</f>
        <v>U20 M73</v>
      </c>
      <c r="W58" s="49">
        <f t="shared" si="19"/>
        <v>214.44186373688061</v>
      </c>
      <c r="X58" s="257">
        <v>43540</v>
      </c>
      <c r="Y58" s="261" t="s">
        <v>714</v>
      </c>
      <c r="Z58" s="261" t="s">
        <v>704</v>
      </c>
      <c r="AA58" s="463"/>
      <c r="AB58" s="230">
        <f>T58-HLOOKUP(V58,Minimas!$C$3:$CD$12,2,FALSE)</f>
        <v>46</v>
      </c>
      <c r="AC58" s="230">
        <f>T58-HLOOKUP(V58,Minimas!$C$3:$CD$12,3,FALSE)</f>
        <v>26</v>
      </c>
      <c r="AD58" s="230">
        <f>T58-HLOOKUP(V58,Minimas!$C$3:$CD$12,4,FALSE)</f>
        <v>6</v>
      </c>
      <c r="AE58" s="230">
        <f>T58-HLOOKUP(V58,Minimas!$C$3:$CD$12,5,FALSE)</f>
        <v>-14</v>
      </c>
      <c r="AF58" s="230">
        <f>T58-HLOOKUP(V58,Minimas!$C$3:$CD$12,6,FALSE)</f>
        <v>-34</v>
      </c>
      <c r="AG58" s="230">
        <f>T58-HLOOKUP(V58,Minimas!$C$3:$CD$12,7,FALSE)</f>
        <v>-64</v>
      </c>
      <c r="AH58" s="230">
        <f>T58-HLOOKUP(V58,Minimas!$C$3:$CD$12,8,FALSE)</f>
        <v>-84</v>
      </c>
      <c r="AI58" s="230">
        <f>T58-HLOOKUP(V58,Minimas!$C$3:$CD$12,9,FALSE)</f>
        <v>-109</v>
      </c>
      <c r="AJ58" s="230">
        <f>T58-HLOOKUP(V58,Minimas!$C$3:$CD$12,10,FALSE)</f>
        <v>-149</v>
      </c>
      <c r="AK58" s="231" t="str">
        <f t="shared" si="20"/>
        <v>REG +</v>
      </c>
      <c r="AL58" s="232"/>
      <c r="AM58" s="232" t="str">
        <f t="shared" si="21"/>
        <v>REG +</v>
      </c>
      <c r="AN58" s="232">
        <f t="shared" si="22"/>
        <v>6</v>
      </c>
      <c r="AO58" s="463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4"/>
      <c r="BO58" s="34"/>
      <c r="BP58" s="34"/>
      <c r="BQ58" s="34"/>
      <c r="BR58" s="34"/>
      <c r="BS58" s="34"/>
      <c r="BT58" s="34"/>
      <c r="BU58" s="34"/>
      <c r="BV58" s="34"/>
      <c r="BW58" s="34"/>
      <c r="BX58" s="34"/>
      <c r="BY58" s="34"/>
      <c r="BZ58" s="34"/>
      <c r="CA58" s="34"/>
      <c r="CB58" s="34"/>
      <c r="CC58" s="34"/>
      <c r="CD58" s="34"/>
      <c r="CE58" s="34"/>
      <c r="CF58" s="34"/>
      <c r="CG58" s="34"/>
      <c r="CH58" s="34"/>
      <c r="CI58" s="34"/>
      <c r="CJ58" s="34"/>
      <c r="CK58" s="34"/>
      <c r="CL58" s="34"/>
      <c r="CM58" s="34"/>
      <c r="CN58" s="34"/>
      <c r="CO58" s="34"/>
      <c r="CP58" s="34"/>
      <c r="CQ58" s="34"/>
      <c r="CR58" s="34"/>
      <c r="CS58" s="34"/>
      <c r="CT58" s="34"/>
      <c r="CU58" s="34"/>
      <c r="CV58" s="34"/>
      <c r="CW58" s="34"/>
      <c r="CX58" s="34"/>
      <c r="CY58" s="34"/>
      <c r="CZ58" s="34"/>
      <c r="DA58" s="34"/>
      <c r="DB58" s="34"/>
      <c r="DC58" s="34"/>
      <c r="DD58" s="34"/>
      <c r="DE58" s="34"/>
      <c r="DF58" s="34"/>
      <c r="DG58" s="34"/>
      <c r="DH58" s="34"/>
      <c r="DI58" s="34"/>
      <c r="DJ58" s="34"/>
      <c r="DK58" s="34"/>
      <c r="DL58" s="34"/>
      <c r="DM58" s="34"/>
      <c r="DN58" s="34"/>
      <c r="DO58" s="34"/>
      <c r="DP58" s="34"/>
      <c r="DQ58" s="34"/>
      <c r="DR58" s="34"/>
      <c r="DS58" s="34"/>
      <c r="DT58" s="34"/>
    </row>
    <row r="59" spans="1:124" s="5" customFormat="1" ht="30" customHeight="1" x14ac:dyDescent="0.25">
      <c r="B59" s="685" t="s">
        <v>543</v>
      </c>
      <c r="C59" s="166">
        <v>415724</v>
      </c>
      <c r="D59" s="167"/>
      <c r="E59" s="476" t="s">
        <v>40</v>
      </c>
      <c r="F59" s="217" t="s">
        <v>425</v>
      </c>
      <c r="G59" s="144" t="s">
        <v>424</v>
      </c>
      <c r="H59" s="218">
        <v>2001</v>
      </c>
      <c r="I59" s="169" t="s">
        <v>418</v>
      </c>
      <c r="J59" s="168" t="s">
        <v>557</v>
      </c>
      <c r="K59" s="200">
        <v>70.099999999999994</v>
      </c>
      <c r="L59" s="118">
        <v>60</v>
      </c>
      <c r="M59" s="118">
        <v>66</v>
      </c>
      <c r="N59" s="118">
        <v>70</v>
      </c>
      <c r="O59" s="52">
        <f t="shared" si="15"/>
        <v>70</v>
      </c>
      <c r="P59" s="118">
        <v>80</v>
      </c>
      <c r="Q59" s="118">
        <v>87</v>
      </c>
      <c r="R59" s="118">
        <v>90</v>
      </c>
      <c r="S59" s="52">
        <f t="shared" si="16"/>
        <v>90</v>
      </c>
      <c r="T59" s="51">
        <f>IF(E59="","",IF(OR(O59=0,S59=0),0,O59+S59))</f>
        <v>160</v>
      </c>
      <c r="U59" s="48" t="str">
        <f t="shared" si="18"/>
        <v>REG + 0</v>
      </c>
      <c r="V59" s="48" t="str">
        <f>IF(E59=0," ",IF(E59="H",IF(H59&lt;1999,VLOOKUP(K59,[10]Minimas!$A$15:$F$29,6),IF(AND(H59&gt;1998,H59&lt;2002),VLOOKUP(K59,[10]Minimas!$A$15:$F$29,5),IF(AND(H59&gt;2001,H59&lt;2004),VLOOKUP(K59,[10]Minimas!$A$15:$F$29,4),IF(AND(H59&gt;2003,H59&lt;2006),VLOOKUP(K59,[10]Minimas!$A$15:$F$29,3),VLOOKUP(K59,[10]Minimas!$A$15:$F$29,2))))),IF(H59&lt;1999,VLOOKUP(K59,[10]Minimas!$G$15:$L$29,6),IF(AND(H59&gt;1998,H59&lt;2002),VLOOKUP(K59,[10]Minimas!$G$15:$L$29,5),IF(AND(H59&gt;2001,H59&lt;2004),VLOOKUP(K59,[10]Minimas!$G$15:$L$29,4),IF(AND(H59&gt;2003,H59&lt;2006),VLOOKUP(K59,[10]Minimas!$G$15:$L$29,3),VLOOKUP(K59,[10]Minimas!$G$15:$L$29,2)))))))</f>
        <v>U20 M73</v>
      </c>
      <c r="W59" s="49">
        <f t="shared" si="19"/>
        <v>210.65794066897104</v>
      </c>
      <c r="X59" s="257">
        <v>43555</v>
      </c>
      <c r="Y59" s="261" t="s">
        <v>805</v>
      </c>
      <c r="Z59" s="261" t="s">
        <v>661</v>
      </c>
      <c r="AA59" s="232"/>
      <c r="AB59" s="230">
        <f>T59-HLOOKUP(V59,[10]Minimas!$C$3:$CD$12,2,FALSE)</f>
        <v>40</v>
      </c>
      <c r="AC59" s="230">
        <f>T59-HLOOKUP(V59,[10]Minimas!$C$3:$CD$12,3,FALSE)</f>
        <v>20</v>
      </c>
      <c r="AD59" s="230">
        <f>T59-HLOOKUP(V59,[10]Minimas!$C$3:$CD$12,4,FALSE)</f>
        <v>0</v>
      </c>
      <c r="AE59" s="230">
        <f>T59-HLOOKUP(V59,[10]Minimas!$C$3:$CD$12,5,FALSE)</f>
        <v>-20</v>
      </c>
      <c r="AF59" s="230">
        <f>T59-HLOOKUP(V59,[10]Minimas!$C$3:$CD$12,6,FALSE)</f>
        <v>-40</v>
      </c>
      <c r="AG59" s="230">
        <f>T59-HLOOKUP(V59,[10]Minimas!$C$3:$CD$12,7,FALSE)</f>
        <v>-70</v>
      </c>
      <c r="AH59" s="230">
        <f>T59-HLOOKUP(V59,[10]Minimas!$C$3:$CD$12,8,FALSE)</f>
        <v>-90</v>
      </c>
      <c r="AI59" s="230">
        <f>T59-HLOOKUP(V59,[10]Minimas!$C$3:$CD$12,9,FALSE)</f>
        <v>-115</v>
      </c>
      <c r="AJ59" s="230">
        <f>T59-HLOOKUP(V59,[10]Minimas!$C$3:$CD$12,10,FALSE)</f>
        <v>-155</v>
      </c>
      <c r="AK59" s="231" t="str">
        <f t="shared" si="20"/>
        <v>REG +</v>
      </c>
      <c r="AL59" s="232"/>
      <c r="AM59" s="232" t="str">
        <f t="shared" si="21"/>
        <v>REG +</v>
      </c>
      <c r="AN59" s="232">
        <f t="shared" si="22"/>
        <v>0</v>
      </c>
      <c r="AO59" s="232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  <c r="BM59" s="38"/>
      <c r="BN59" s="38"/>
      <c r="BO59" s="38"/>
      <c r="BP59" s="38"/>
      <c r="BQ59" s="38"/>
      <c r="BR59" s="38"/>
      <c r="BS59" s="38"/>
      <c r="BT59" s="38"/>
      <c r="BU59" s="38"/>
      <c r="BV59" s="38"/>
      <c r="BW59" s="38"/>
      <c r="BX59" s="38"/>
      <c r="BY59" s="38"/>
      <c r="BZ59" s="38"/>
      <c r="CA59" s="38"/>
      <c r="CB59" s="38"/>
      <c r="CC59" s="38"/>
      <c r="CD59" s="38"/>
      <c r="CE59" s="38"/>
      <c r="CF59" s="38"/>
      <c r="CG59" s="38"/>
      <c r="CH59" s="38"/>
      <c r="CI59" s="38"/>
      <c r="CJ59" s="38"/>
      <c r="CK59" s="38"/>
      <c r="CL59" s="38"/>
      <c r="CM59" s="38"/>
      <c r="CN59" s="38"/>
      <c r="CO59" s="38"/>
      <c r="CP59" s="38"/>
      <c r="CQ59" s="38"/>
      <c r="CR59" s="38"/>
      <c r="CS59" s="38"/>
      <c r="CT59" s="38"/>
      <c r="CU59" s="38"/>
      <c r="CV59" s="38"/>
      <c r="CW59" s="38"/>
      <c r="CX59" s="38"/>
      <c r="CY59" s="38"/>
      <c r="CZ59" s="38"/>
      <c r="DA59" s="38"/>
      <c r="DB59" s="38"/>
      <c r="DC59" s="38"/>
      <c r="DD59" s="38"/>
      <c r="DE59" s="38"/>
      <c r="DF59" s="38"/>
      <c r="DG59" s="38"/>
      <c r="DH59" s="38"/>
      <c r="DI59" s="38"/>
      <c r="DJ59" s="38"/>
      <c r="DK59" s="38"/>
      <c r="DL59" s="38"/>
      <c r="DM59" s="38"/>
      <c r="DN59" s="38"/>
      <c r="DO59" s="38"/>
      <c r="DP59" s="38"/>
      <c r="DQ59" s="38"/>
      <c r="DR59" s="38"/>
      <c r="DS59" s="38"/>
      <c r="DT59" s="38"/>
    </row>
    <row r="60" spans="1:124" s="5" customFormat="1" ht="30" customHeight="1" x14ac:dyDescent="0.25">
      <c r="A60" s="484"/>
      <c r="B60" s="685" t="s">
        <v>543</v>
      </c>
      <c r="C60" s="166">
        <v>443738</v>
      </c>
      <c r="D60" s="167"/>
      <c r="E60" s="476" t="s">
        <v>40</v>
      </c>
      <c r="F60" s="217" t="s">
        <v>462</v>
      </c>
      <c r="G60" s="144" t="s">
        <v>679</v>
      </c>
      <c r="H60" s="218">
        <v>1999</v>
      </c>
      <c r="I60" s="247" t="s">
        <v>139</v>
      </c>
      <c r="J60" s="168" t="s">
        <v>44</v>
      </c>
      <c r="K60" s="200">
        <v>71.099999999999994</v>
      </c>
      <c r="L60" s="118">
        <v>55</v>
      </c>
      <c r="M60" s="118">
        <v>60</v>
      </c>
      <c r="N60" s="240">
        <v>-63</v>
      </c>
      <c r="O60" s="52">
        <f t="shared" si="15"/>
        <v>60</v>
      </c>
      <c r="P60" s="118">
        <v>70</v>
      </c>
      <c r="Q60" s="118">
        <v>75</v>
      </c>
      <c r="R60" s="118">
        <v>80</v>
      </c>
      <c r="S60" s="52">
        <f t="shared" si="16"/>
        <v>80</v>
      </c>
      <c r="T60" s="489">
        <f>IF(E60="","",IF(OR(O60=0,S60=0),0,O60+S60))</f>
        <v>140</v>
      </c>
      <c r="U60" s="48" t="str">
        <f t="shared" si="18"/>
        <v>DPT + 0</v>
      </c>
      <c r="V60" s="48" t="str">
        <f>IF(E60=0," ",IF(E60="H",IF(H60&lt;1999,VLOOKUP(K60,[5]Minimas!$A$15:$F$29,6),IF(AND(H60&gt;1998,H60&lt;2002),VLOOKUP(K60,[5]Minimas!$A$15:$F$29,5),IF(AND(H60&gt;2001,H60&lt;2004),VLOOKUP(K60,[5]Minimas!$A$15:$F$29,4),IF(AND(H60&gt;2003,H60&lt;2006),VLOOKUP(K60,[5]Minimas!$A$15:$F$29,3),VLOOKUP(K60,[5]Minimas!$A$15:$F$29,2))))),IF(H60&lt;1999,VLOOKUP(K60,[5]Minimas!$G$15:$L$29,6),IF(AND(H60&gt;1998,H60&lt;2002),VLOOKUP(K60,[5]Minimas!$G$15:$L$29,5),IF(AND(H60&gt;2001,H60&lt;2004),VLOOKUP(K60,[5]Minimas!$G$15:$L$29,4),IF(AND(H60&gt;2003,H60&lt;2006),VLOOKUP(K60,[5]Minimas!$G$15:$L$29,3),VLOOKUP(K60,[5]Minimas!$G$15:$L$29,2)))))))</f>
        <v>U20 M73</v>
      </c>
      <c r="W60" s="49">
        <f t="shared" si="19"/>
        <v>182.77928234517529</v>
      </c>
      <c r="X60" s="257">
        <v>43555</v>
      </c>
      <c r="Y60" s="261" t="s">
        <v>805</v>
      </c>
      <c r="Z60" s="261" t="s">
        <v>806</v>
      </c>
      <c r="AA60" s="232"/>
      <c r="AB60" s="230">
        <f>T60-HLOOKUP(V60,[5]Minimas!$C$3:$CD$12,2,FALSE)</f>
        <v>20</v>
      </c>
      <c r="AC60" s="230">
        <f>T60-HLOOKUP(V60,[5]Minimas!$C$3:$CD$12,3,FALSE)</f>
        <v>0</v>
      </c>
      <c r="AD60" s="230">
        <f>T60-HLOOKUP(V60,[5]Minimas!$C$3:$CD$12,4,FALSE)</f>
        <v>-20</v>
      </c>
      <c r="AE60" s="230">
        <f>T60-HLOOKUP(V60,[5]Minimas!$C$3:$CD$12,5,FALSE)</f>
        <v>-40</v>
      </c>
      <c r="AF60" s="230">
        <f>T60-HLOOKUP(V60,[5]Minimas!$C$3:$CD$12,6,FALSE)</f>
        <v>-60</v>
      </c>
      <c r="AG60" s="230">
        <f>T60-HLOOKUP(V60,[5]Minimas!$C$3:$CD$12,7,FALSE)</f>
        <v>-90</v>
      </c>
      <c r="AH60" s="230">
        <f>T60-HLOOKUP(V60,[5]Minimas!$C$3:$CD$12,8,FALSE)</f>
        <v>-110</v>
      </c>
      <c r="AI60" s="230">
        <f>T60-HLOOKUP(V60,[5]Minimas!$C$3:$CD$12,9,FALSE)</f>
        <v>-135</v>
      </c>
      <c r="AJ60" s="230">
        <f>T60-HLOOKUP(V60,[5]Minimas!$C$3:$CD$12,10,FALSE)</f>
        <v>-175</v>
      </c>
      <c r="AK60" s="231" t="str">
        <f t="shared" si="20"/>
        <v>DPT +</v>
      </c>
      <c r="AL60" s="232"/>
      <c r="AM60" s="232" t="str">
        <f t="shared" si="21"/>
        <v>DPT +</v>
      </c>
      <c r="AN60" s="232">
        <f t="shared" si="22"/>
        <v>0</v>
      </c>
      <c r="AO60" s="232"/>
      <c r="AP60" s="485"/>
      <c r="AQ60" s="485"/>
      <c r="AR60" s="485"/>
      <c r="AS60" s="485"/>
      <c r="AT60" s="485"/>
      <c r="AU60" s="485"/>
      <c r="AV60" s="485"/>
      <c r="AW60" s="485"/>
      <c r="AX60" s="485"/>
      <c r="AY60" s="485"/>
      <c r="AZ60" s="485"/>
      <c r="BA60" s="485"/>
      <c r="BB60" s="485"/>
      <c r="BC60" s="485"/>
      <c r="BD60" s="485"/>
      <c r="BE60" s="485"/>
      <c r="BF60" s="485"/>
      <c r="BG60" s="485"/>
      <c r="BH60" s="485"/>
      <c r="BI60" s="485"/>
      <c r="BJ60" s="485"/>
      <c r="BK60" s="485"/>
      <c r="BL60" s="485"/>
      <c r="BM60" s="485"/>
      <c r="BN60" s="485"/>
      <c r="BO60" s="485"/>
      <c r="BP60" s="485"/>
      <c r="BQ60" s="485"/>
      <c r="BR60" s="485"/>
      <c r="BS60" s="485"/>
      <c r="BT60" s="485"/>
      <c r="BU60" s="485"/>
      <c r="BV60" s="485"/>
      <c r="BW60" s="485"/>
      <c r="BX60" s="485"/>
      <c r="BY60" s="485"/>
      <c r="BZ60" s="485"/>
      <c r="CA60" s="485"/>
      <c r="CB60" s="485"/>
      <c r="CC60" s="485"/>
      <c r="CD60" s="485"/>
      <c r="CE60" s="485"/>
      <c r="CF60" s="485"/>
      <c r="CG60" s="485"/>
      <c r="CH60" s="485"/>
      <c r="CI60" s="485"/>
      <c r="CJ60" s="485"/>
      <c r="CK60" s="485"/>
      <c r="CL60" s="485"/>
      <c r="CM60" s="485"/>
      <c r="CN60" s="485"/>
      <c r="CO60" s="485"/>
      <c r="CP60" s="485"/>
      <c r="CQ60" s="485"/>
      <c r="CR60" s="485"/>
      <c r="CS60" s="485"/>
      <c r="CT60" s="485"/>
      <c r="CU60" s="485"/>
      <c r="CV60" s="485"/>
      <c r="CW60" s="485"/>
      <c r="CX60" s="485"/>
      <c r="CY60" s="485"/>
      <c r="CZ60" s="485"/>
      <c r="DA60" s="485"/>
      <c r="DB60" s="485"/>
      <c r="DC60" s="485"/>
      <c r="DD60" s="485"/>
      <c r="DE60" s="485"/>
      <c r="DF60" s="485"/>
      <c r="DG60" s="485"/>
      <c r="DH60" s="485"/>
      <c r="DI60" s="485"/>
      <c r="DJ60" s="485"/>
      <c r="DK60" s="485"/>
      <c r="DL60" s="485"/>
      <c r="DM60" s="485"/>
      <c r="DN60" s="485"/>
      <c r="DO60" s="485"/>
      <c r="DP60" s="485"/>
      <c r="DQ60" s="485"/>
      <c r="DR60" s="485"/>
      <c r="DS60" s="485"/>
      <c r="DT60" s="485"/>
    </row>
    <row r="61" spans="1:124" s="5" customFormat="1" ht="30" customHeight="1" x14ac:dyDescent="0.3">
      <c r="A61" s="484"/>
      <c r="B61" s="136" t="s">
        <v>543</v>
      </c>
      <c r="C61" s="116">
        <v>406031</v>
      </c>
      <c r="D61" s="157"/>
      <c r="E61" s="175" t="s">
        <v>40</v>
      </c>
      <c r="F61" s="124" t="s">
        <v>312</v>
      </c>
      <c r="G61" s="125" t="s">
        <v>313</v>
      </c>
      <c r="H61" s="156">
        <v>2000</v>
      </c>
      <c r="I61" s="127" t="s">
        <v>314</v>
      </c>
      <c r="J61" s="104" t="s">
        <v>44</v>
      </c>
      <c r="K61" s="126">
        <v>70.599999999999994</v>
      </c>
      <c r="L61" s="130">
        <v>-55</v>
      </c>
      <c r="M61" s="109">
        <v>57</v>
      </c>
      <c r="N61" s="130">
        <v>-60</v>
      </c>
      <c r="O61" s="52">
        <f t="shared" si="15"/>
        <v>57</v>
      </c>
      <c r="P61" s="133">
        <v>62</v>
      </c>
      <c r="Q61" s="133">
        <v>65</v>
      </c>
      <c r="R61" s="133">
        <v>70</v>
      </c>
      <c r="S61" s="52">
        <f t="shared" si="16"/>
        <v>70</v>
      </c>
      <c r="T61" s="51">
        <f>IF(E61="","",IF(OR(O61=0,S61=0),0,O61+S61))</f>
        <v>127</v>
      </c>
      <c r="U61" s="48" t="str">
        <f t="shared" si="18"/>
        <v>DEB 7</v>
      </c>
      <c r="V61" s="48" t="str">
        <f>IF(E61=0," ",IF(E61="H",IF(H61&lt;1999,VLOOKUP(K61,Minimas!$A$15:$F$29,6),IF(AND(H61&gt;1998,H61&lt;2002),VLOOKUP(K61,Minimas!$A$15:$F$29,5),IF(AND(H61&gt;2001,H61&lt;2004),VLOOKUP(K61,Minimas!$A$15:$F$29,4),IF(AND(H61&gt;2003,H61&lt;2006),VLOOKUP(K61,Minimas!$A$15:$F$29,3),VLOOKUP(K61,Minimas!$A$15:$F$29,2))))),IF(H61&lt;1999,VLOOKUP(K61,Minimas!$G$15:$L$29,6),IF(AND(H61&gt;1998,H61&lt;2002),VLOOKUP(K61,Minimas!$G$15:$L$29,5),IF(AND(H61&gt;2001,H61&lt;2004),VLOOKUP(K61,Minimas!$G$15:$L$29,4),IF(AND(H61&gt;2003,H61&lt;2006),VLOOKUP(K61,Minimas!$G$15:$L$29,3),VLOOKUP(K61,Minimas!$G$15:$L$29,2)))))))</f>
        <v>U20 M73</v>
      </c>
      <c r="W61" s="49">
        <f t="shared" si="19"/>
        <v>166.50164203491971</v>
      </c>
      <c r="X61" s="184">
        <v>43401</v>
      </c>
      <c r="Y61" s="284" t="s">
        <v>507</v>
      </c>
      <c r="Z61" s="284" t="s">
        <v>506</v>
      </c>
      <c r="AA61" s="232"/>
      <c r="AB61" s="230">
        <f>T61-HLOOKUP(V61,Minimas!$C$3:$CD$12,2,FALSE)</f>
        <v>7</v>
      </c>
      <c r="AC61" s="230">
        <f>T61-HLOOKUP(V61,Minimas!$C$3:$CD$12,3,FALSE)</f>
        <v>-13</v>
      </c>
      <c r="AD61" s="230">
        <f>T61-HLOOKUP(V61,Minimas!$C$3:$CD$12,4,FALSE)</f>
        <v>-33</v>
      </c>
      <c r="AE61" s="230">
        <f>T61-HLOOKUP(V61,Minimas!$C$3:$CD$12,5,FALSE)</f>
        <v>-53</v>
      </c>
      <c r="AF61" s="230">
        <f>T61-HLOOKUP(V61,Minimas!$C$3:$CD$12,6,FALSE)</f>
        <v>-73</v>
      </c>
      <c r="AG61" s="230">
        <f>T61-HLOOKUP(V61,Minimas!$C$3:$CD$12,7,FALSE)</f>
        <v>-103</v>
      </c>
      <c r="AH61" s="230">
        <f>T61-HLOOKUP(V61,Minimas!$C$3:$CD$12,8,FALSE)</f>
        <v>-123</v>
      </c>
      <c r="AI61" s="230">
        <f>T61-HLOOKUP(V61,Minimas!$C$3:$CD$12,9,FALSE)</f>
        <v>-148</v>
      </c>
      <c r="AJ61" s="230">
        <f>T61-HLOOKUP(V61,Minimas!$C$3:$CD$12,10,FALSE)</f>
        <v>-188</v>
      </c>
      <c r="AK61" s="231" t="str">
        <f t="shared" si="20"/>
        <v>DEB</v>
      </c>
      <c r="AL61" s="232"/>
      <c r="AM61" s="232" t="str">
        <f t="shared" si="21"/>
        <v>DEB</v>
      </c>
      <c r="AN61" s="232">
        <f t="shared" si="22"/>
        <v>7</v>
      </c>
      <c r="AO61" s="232"/>
      <c r="AP61" s="485"/>
      <c r="AQ61" s="485"/>
      <c r="AR61" s="485"/>
      <c r="AS61" s="485"/>
      <c r="AT61" s="485"/>
      <c r="AU61" s="485"/>
      <c r="AV61" s="485"/>
      <c r="AW61" s="485"/>
      <c r="AX61" s="485"/>
      <c r="AY61" s="485"/>
      <c r="AZ61" s="485"/>
      <c r="BA61" s="485"/>
      <c r="BB61" s="485"/>
      <c r="BC61" s="485"/>
      <c r="BD61" s="485"/>
      <c r="BE61" s="485"/>
      <c r="BF61" s="485"/>
      <c r="BG61" s="485"/>
      <c r="BH61" s="485"/>
      <c r="BI61" s="485"/>
      <c r="BJ61" s="485"/>
      <c r="BK61" s="485"/>
      <c r="BL61" s="485"/>
      <c r="BM61" s="485"/>
      <c r="BN61" s="485"/>
      <c r="BO61" s="485"/>
      <c r="BP61" s="485"/>
      <c r="BQ61" s="485"/>
      <c r="BR61" s="485"/>
      <c r="BS61" s="485"/>
      <c r="BT61" s="485"/>
      <c r="BU61" s="485"/>
      <c r="BV61" s="485"/>
      <c r="BW61" s="485"/>
      <c r="BX61" s="485"/>
      <c r="BY61" s="485"/>
      <c r="BZ61" s="485"/>
      <c r="CA61" s="485"/>
      <c r="CB61" s="485"/>
      <c r="CC61" s="485"/>
      <c r="CD61" s="485"/>
      <c r="CE61" s="485"/>
      <c r="CF61" s="485"/>
      <c r="CG61" s="485"/>
      <c r="CH61" s="485"/>
      <c r="CI61" s="485"/>
      <c r="CJ61" s="485"/>
      <c r="CK61" s="485"/>
      <c r="CL61" s="485"/>
      <c r="CM61" s="485"/>
      <c r="CN61" s="485"/>
      <c r="CO61" s="485"/>
      <c r="CP61" s="485"/>
      <c r="CQ61" s="485"/>
      <c r="CR61" s="485"/>
      <c r="CS61" s="485"/>
      <c r="CT61" s="485"/>
      <c r="CU61" s="485"/>
      <c r="CV61" s="485"/>
      <c r="CW61" s="485"/>
      <c r="CX61" s="485"/>
      <c r="CY61" s="485"/>
      <c r="CZ61" s="485"/>
      <c r="DA61" s="485"/>
      <c r="DB61" s="485"/>
      <c r="DC61" s="485"/>
      <c r="DD61" s="485"/>
      <c r="DE61" s="485"/>
      <c r="DF61" s="485"/>
      <c r="DG61" s="485"/>
      <c r="DH61" s="485"/>
      <c r="DI61" s="485"/>
      <c r="DJ61" s="485"/>
      <c r="DK61" s="485"/>
      <c r="DL61" s="485"/>
      <c r="DM61" s="485"/>
      <c r="DN61" s="485"/>
      <c r="DO61" s="485"/>
      <c r="DP61" s="485"/>
      <c r="DQ61" s="485"/>
      <c r="DR61" s="485"/>
      <c r="DS61" s="485"/>
      <c r="DT61" s="485"/>
    </row>
    <row r="62" spans="1:124" s="5" customFormat="1" ht="30" customHeight="1" x14ac:dyDescent="0.25">
      <c r="B62" s="516" t="s">
        <v>543</v>
      </c>
      <c r="C62" s="516">
        <v>443336</v>
      </c>
      <c r="D62" s="540"/>
      <c r="E62" s="168" t="s">
        <v>40</v>
      </c>
      <c r="F62" s="143" t="s">
        <v>902</v>
      </c>
      <c r="G62" s="144" t="s">
        <v>398</v>
      </c>
      <c r="H62" s="145">
        <v>1999</v>
      </c>
      <c r="I62" s="564" t="s">
        <v>440</v>
      </c>
      <c r="J62" s="146" t="s">
        <v>41</v>
      </c>
      <c r="K62" s="200">
        <v>71.599999999999994</v>
      </c>
      <c r="L62" s="118">
        <v>55</v>
      </c>
      <c r="M62" s="118">
        <v>59</v>
      </c>
      <c r="N62" s="118">
        <v>-62</v>
      </c>
      <c r="O62" s="358">
        <f t="shared" si="15"/>
        <v>59</v>
      </c>
      <c r="P62" s="118">
        <v>62</v>
      </c>
      <c r="Q62" s="118">
        <v>65</v>
      </c>
      <c r="R62" s="118">
        <v>68</v>
      </c>
      <c r="S62" s="358">
        <f t="shared" si="16"/>
        <v>68</v>
      </c>
      <c r="T62" s="359">
        <f>IF(E62="","",IF(OR(O62=0,S62=0),0,O62+S62))</f>
        <v>127</v>
      </c>
      <c r="U62" s="360" t="str">
        <f t="shared" si="18"/>
        <v>DEB 7</v>
      </c>
      <c r="V62" s="360" t="str">
        <f>IF(E62=0," ",IF(E62="H",IF(H62&lt;1999,VLOOKUP(K62,[3]Minimas!$A$15:$F$29,6),IF(AND(H62&gt;1998,H62&lt;2002),VLOOKUP(K62,[3]Minimas!$A$15:$F$29,5),IF(AND(H62&gt;2001,H62&lt;2004),VLOOKUP(K62,[3]Minimas!$A$15:$F$29,4),IF(AND(H62&gt;2003,H62&lt;2006),VLOOKUP(K62,[3]Minimas!$A$15:$F$29,3),VLOOKUP(K62,[3]Minimas!$A$15:$F$29,2))))),IF(H62&lt;1999,VLOOKUP(K62,[3]Minimas!$G$15:$L$29,6),IF(AND(H62&gt;1998,H62&lt;2002),VLOOKUP(K62,[3]Minimas!$G$15:$L$29,5),IF(AND(H62&gt;2001,H62&lt;2004),VLOOKUP(K62,[3]Minimas!$G$15:$L$29,4),IF(AND(H62&gt;2003,H62&lt;2006),VLOOKUP(K62,[3]Minimas!$G$15:$L$29,3),VLOOKUP(K62,[3]Minimas!$G$15:$L$29,2)))))))</f>
        <v>U20 M73</v>
      </c>
      <c r="W62" s="361">
        <f t="shared" si="19"/>
        <v>165.12525043126092</v>
      </c>
      <c r="X62" s="257">
        <v>43610</v>
      </c>
      <c r="Y62" s="261" t="s">
        <v>892</v>
      </c>
      <c r="Z62" s="261" t="s">
        <v>829</v>
      </c>
      <c r="AA62" s="232"/>
      <c r="AB62" s="230">
        <f>T62-HLOOKUP(V62,[3]Minimas!$C$3:$CD$12,2,FALSE)</f>
        <v>7</v>
      </c>
      <c r="AC62" s="230">
        <f>T62-HLOOKUP(V62,[3]Minimas!$C$3:$CD$12,3,FALSE)</f>
        <v>-13</v>
      </c>
      <c r="AD62" s="230">
        <f>T62-HLOOKUP(V62,[3]Minimas!$C$3:$CD$12,4,FALSE)</f>
        <v>-33</v>
      </c>
      <c r="AE62" s="230">
        <f>T62-HLOOKUP(V62,[3]Minimas!$C$3:$CD$12,5,FALSE)</f>
        <v>-53</v>
      </c>
      <c r="AF62" s="230">
        <f>T62-HLOOKUP(V62,[3]Minimas!$C$3:$CD$12,6,FALSE)</f>
        <v>-73</v>
      </c>
      <c r="AG62" s="230">
        <f>T62-HLOOKUP(V62,[3]Minimas!$C$3:$CD$12,7,FALSE)</f>
        <v>-103</v>
      </c>
      <c r="AH62" s="230">
        <f>T62-HLOOKUP(V62,[3]Minimas!$C$3:$CD$12,8,FALSE)</f>
        <v>-123</v>
      </c>
      <c r="AI62" s="230">
        <f>T62-HLOOKUP(V62,[3]Minimas!$C$3:$CD$12,9,FALSE)</f>
        <v>-148</v>
      </c>
      <c r="AJ62" s="230">
        <f>T62-HLOOKUP(V62,[3]Minimas!$C$3:$CD$12,10,FALSE)</f>
        <v>-188</v>
      </c>
      <c r="AK62" s="231" t="str">
        <f t="shared" si="20"/>
        <v>DEB</v>
      </c>
      <c r="AL62" s="232"/>
      <c r="AM62" s="232" t="str">
        <f t="shared" si="21"/>
        <v>DEB</v>
      </c>
      <c r="AN62" s="232">
        <f t="shared" si="22"/>
        <v>7</v>
      </c>
      <c r="AO62" s="232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</row>
    <row r="63" spans="1:124" s="5" customFormat="1" ht="30" customHeight="1" x14ac:dyDescent="0.25">
      <c r="A63" s="1"/>
      <c r="B63" s="136" t="s">
        <v>543</v>
      </c>
      <c r="C63" s="516">
        <v>438377</v>
      </c>
      <c r="D63" s="167"/>
      <c r="E63" s="476" t="s">
        <v>40</v>
      </c>
      <c r="F63" s="143" t="s">
        <v>784</v>
      </c>
      <c r="G63" s="144" t="s">
        <v>263</v>
      </c>
      <c r="H63" s="145">
        <v>2000</v>
      </c>
      <c r="I63" s="172" t="s">
        <v>214</v>
      </c>
      <c r="J63" s="146" t="s">
        <v>44</v>
      </c>
      <c r="K63" s="200">
        <v>73</v>
      </c>
      <c r="L63" s="118">
        <v>-57</v>
      </c>
      <c r="M63" s="118">
        <v>57</v>
      </c>
      <c r="N63" s="118">
        <v>-62</v>
      </c>
      <c r="O63" s="358">
        <f t="shared" si="15"/>
        <v>57</v>
      </c>
      <c r="P63" s="118">
        <v>60</v>
      </c>
      <c r="Q63" s="118">
        <v>65</v>
      </c>
      <c r="R63" s="118">
        <v>70</v>
      </c>
      <c r="S63" s="358">
        <f t="shared" si="16"/>
        <v>70</v>
      </c>
      <c r="T63" s="359">
        <f>IF(E63="","",O63+S63)</f>
        <v>127</v>
      </c>
      <c r="U63" s="360" t="str">
        <f t="shared" si="18"/>
        <v>DEB 7</v>
      </c>
      <c r="V63" s="360" t="str">
        <f>IF(E63=0," ",IF(E63="H",IF(H63&lt;1999,VLOOKUP(K63,[22]Minimas!$A$15:$F$29,6),IF(AND(H63&gt;1998,H63&lt;2002),VLOOKUP(K63,[22]Minimas!$A$15:$F$29,5),IF(AND(H63&gt;2001,H63&lt;2004),VLOOKUP(K63,[22]Minimas!$A$15:$F$29,4),IF(AND(H63&gt;2003,H63&lt;2006),VLOOKUP(K63,[22]Minimas!$A$15:$F$29,3),VLOOKUP(K63,[22]Minimas!$A$15:$F$29,2))))),IF(H63&lt;1999,VLOOKUP(K63,[22]Minimas!$G$15:$L$29,6),IF(AND(H63&gt;1998,H63&lt;2002),VLOOKUP(K63,[22]Minimas!$G$15:$L$29,5),IF(AND(H63&gt;2001,H63&lt;2004),VLOOKUP(K63,[22]Minimas!$G$15:$L$29,4),IF(AND(H63&gt;2003,H63&lt;2006),VLOOKUP(K63,[22]Minimas!$G$15:$L$29,3),VLOOKUP(K63,[22]Minimas!$G$15:$L$29,2)))))))</f>
        <v>U20 M73</v>
      </c>
      <c r="W63" s="361">
        <f t="shared" si="19"/>
        <v>163.28336773341769</v>
      </c>
      <c r="X63" s="257">
        <v>43540</v>
      </c>
      <c r="Y63" s="261" t="s">
        <v>714</v>
      </c>
      <c r="Z63" s="261" t="s">
        <v>511</v>
      </c>
      <c r="AA63" s="463"/>
      <c r="AB63" s="230">
        <f>T63-HLOOKUP(V63,Minimas!$C$3:$CD$12,2,FALSE)</f>
        <v>7</v>
      </c>
      <c r="AC63" s="230">
        <f>T63-HLOOKUP(V63,Minimas!$C$3:$CD$12,3,FALSE)</f>
        <v>-13</v>
      </c>
      <c r="AD63" s="230">
        <f>T63-HLOOKUP(V63,Minimas!$C$3:$CD$12,4,FALSE)</f>
        <v>-33</v>
      </c>
      <c r="AE63" s="230">
        <f>T63-HLOOKUP(V63,Minimas!$C$3:$CD$12,5,FALSE)</f>
        <v>-53</v>
      </c>
      <c r="AF63" s="230">
        <f>T63-HLOOKUP(V63,Minimas!$C$3:$CD$12,6,FALSE)</f>
        <v>-73</v>
      </c>
      <c r="AG63" s="230">
        <f>T63-HLOOKUP(V63,Minimas!$C$3:$CD$12,7,FALSE)</f>
        <v>-103</v>
      </c>
      <c r="AH63" s="230">
        <f>T63-HLOOKUP(V63,Minimas!$C$3:$CD$12,8,FALSE)</f>
        <v>-123</v>
      </c>
      <c r="AI63" s="230">
        <f>T63-HLOOKUP(V63,Minimas!$C$3:$CD$12,9,FALSE)</f>
        <v>-148</v>
      </c>
      <c r="AJ63" s="230">
        <f>T63-HLOOKUP(V63,Minimas!$C$3:$CD$12,10,FALSE)</f>
        <v>-188</v>
      </c>
      <c r="AK63" s="231" t="str">
        <f t="shared" si="20"/>
        <v>DEB</v>
      </c>
      <c r="AL63" s="232"/>
      <c r="AM63" s="232" t="str">
        <f t="shared" si="21"/>
        <v>DEB</v>
      </c>
      <c r="AN63" s="232">
        <f t="shared" si="22"/>
        <v>7</v>
      </c>
      <c r="AO63" s="463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  <c r="BL63" s="34"/>
      <c r="BM63" s="34"/>
      <c r="BN63" s="34"/>
      <c r="BO63" s="34"/>
      <c r="BP63" s="34"/>
      <c r="BQ63" s="34"/>
      <c r="BR63" s="34"/>
      <c r="BS63" s="34"/>
      <c r="BT63" s="34"/>
      <c r="BU63" s="34"/>
      <c r="BV63" s="34"/>
      <c r="BW63" s="34"/>
      <c r="BX63" s="34"/>
      <c r="BY63" s="34"/>
      <c r="BZ63" s="34"/>
      <c r="CA63" s="34"/>
      <c r="CB63" s="34"/>
      <c r="CC63" s="34"/>
      <c r="CD63" s="34"/>
      <c r="CE63" s="34"/>
      <c r="CF63" s="34"/>
      <c r="CG63" s="34"/>
      <c r="CH63" s="34"/>
      <c r="CI63" s="34"/>
      <c r="CJ63" s="34"/>
      <c r="CK63" s="34"/>
      <c r="CL63" s="34"/>
      <c r="CM63" s="34"/>
      <c r="CN63" s="34"/>
      <c r="CO63" s="34"/>
      <c r="CP63" s="34"/>
      <c r="CQ63" s="34"/>
      <c r="CR63" s="34"/>
      <c r="CS63" s="34"/>
      <c r="CT63" s="34"/>
      <c r="CU63" s="34"/>
      <c r="CV63" s="34"/>
      <c r="CW63" s="34"/>
      <c r="CX63" s="34"/>
      <c r="CY63" s="34"/>
      <c r="CZ63" s="34"/>
      <c r="DA63" s="34"/>
      <c r="DB63" s="34"/>
      <c r="DC63" s="34"/>
      <c r="DD63" s="34"/>
      <c r="DE63" s="34"/>
      <c r="DF63" s="34"/>
      <c r="DG63" s="34"/>
      <c r="DH63" s="34"/>
      <c r="DI63" s="34"/>
      <c r="DJ63" s="34"/>
      <c r="DK63" s="34"/>
      <c r="DL63" s="34"/>
      <c r="DM63" s="34"/>
      <c r="DN63" s="34"/>
      <c r="DO63" s="34"/>
      <c r="DP63" s="34"/>
      <c r="DQ63" s="34"/>
      <c r="DR63" s="34"/>
      <c r="DS63" s="34"/>
      <c r="DT63" s="34"/>
    </row>
    <row r="64" spans="1:124" s="5" customFormat="1" ht="30" customHeight="1" x14ac:dyDescent="0.25">
      <c r="B64" s="686" t="s">
        <v>543</v>
      </c>
      <c r="C64" s="698">
        <v>446451</v>
      </c>
      <c r="D64" s="537"/>
      <c r="E64" s="476" t="s">
        <v>40</v>
      </c>
      <c r="F64" s="544" t="s">
        <v>471</v>
      </c>
      <c r="G64" s="551" t="s">
        <v>472</v>
      </c>
      <c r="H64" s="215">
        <v>2001</v>
      </c>
      <c r="I64" s="569" t="s">
        <v>170</v>
      </c>
      <c r="J64" s="476" t="s">
        <v>41</v>
      </c>
      <c r="K64" s="771">
        <v>71.7</v>
      </c>
      <c r="L64" s="118">
        <v>45</v>
      </c>
      <c r="M64" s="118">
        <v>-50</v>
      </c>
      <c r="N64" s="118">
        <v>50</v>
      </c>
      <c r="O64" s="490">
        <f t="shared" si="15"/>
        <v>50</v>
      </c>
      <c r="P64" s="118">
        <v>50</v>
      </c>
      <c r="Q64" s="118">
        <v>-55</v>
      </c>
      <c r="R64" s="118">
        <v>60</v>
      </c>
      <c r="S64" s="490">
        <f t="shared" si="16"/>
        <v>60</v>
      </c>
      <c r="T64" s="489">
        <f t="shared" ref="T64:T76" si="23">IF(E64="","",IF(OR(O64=0,S64=0),0,O64+S64))</f>
        <v>110</v>
      </c>
      <c r="U64" s="48" t="str">
        <f t="shared" si="18"/>
        <v>DEB -10</v>
      </c>
      <c r="V64" s="48" t="str">
        <f>IF(E64=0," ",IF(E64="H",IF(H64&lt;1999,VLOOKUP(K64,[12]Minimas!$A$15:$F$29,6),IF(AND(H64&gt;1998,H64&lt;2002),VLOOKUP(K64,[12]Minimas!$A$15:$F$29,5),IF(AND(H64&gt;2001,H64&lt;2004),VLOOKUP(K64,[12]Minimas!$A$15:$F$29,4),IF(AND(H64&gt;2003,H64&lt;2006),VLOOKUP(K64,[12]Minimas!$A$15:$F$29,3),VLOOKUP(K64,[12]Minimas!$A$15:$F$29,2))))),IF(H64&lt;1999,VLOOKUP(K64,[12]Minimas!$G$15:$L$29,6),IF(AND(H64&gt;1998,H64&lt;2002),VLOOKUP(K64,[12]Minimas!$G$15:$L$29,5),IF(AND(H64&gt;2001,H64&lt;2004),VLOOKUP(K64,[12]Minimas!$G$15:$L$29,4),IF(AND(H64&gt;2003,H64&lt;2006),VLOOKUP(K64,[12]Minimas!$G$15:$L$29,3),VLOOKUP(K64,[12]Minimas!$G$15:$L$29,2)))))))</f>
        <v>U20 M73</v>
      </c>
      <c r="W64" s="49">
        <f t="shared" si="19"/>
        <v>142.9051182914782</v>
      </c>
      <c r="X64" s="257">
        <v>43492</v>
      </c>
      <c r="Y64" s="261" t="s">
        <v>696</v>
      </c>
      <c r="Z64" s="261" t="s">
        <v>701</v>
      </c>
      <c r="AA64" s="232"/>
      <c r="AB64" s="230">
        <f>T64-HLOOKUP(V64,Minimas!$C$3:$CD$12,2,FALSE)</f>
        <v>-10</v>
      </c>
      <c r="AC64" s="230">
        <f>T64-HLOOKUP(V64,Minimas!$C$3:$CD$12,3,FALSE)</f>
        <v>-30</v>
      </c>
      <c r="AD64" s="230">
        <f>T64-HLOOKUP(V64,Minimas!$C$3:$CD$12,4,FALSE)</f>
        <v>-50</v>
      </c>
      <c r="AE64" s="230">
        <f>T64-HLOOKUP(V64,Minimas!$C$3:$CD$12,5,FALSE)</f>
        <v>-70</v>
      </c>
      <c r="AF64" s="230">
        <f>T64-HLOOKUP(V64,Minimas!$C$3:$CD$12,6,FALSE)</f>
        <v>-90</v>
      </c>
      <c r="AG64" s="230">
        <f>T64-HLOOKUP(V64,Minimas!$C$3:$CD$12,7,FALSE)</f>
        <v>-120</v>
      </c>
      <c r="AH64" s="230">
        <f>T64-HLOOKUP(V64,Minimas!$C$3:$CD$12,8,FALSE)</f>
        <v>-140</v>
      </c>
      <c r="AI64" s="230">
        <f>T64-HLOOKUP(V64,Minimas!$C$3:$CD$12,9,FALSE)</f>
        <v>-165</v>
      </c>
      <c r="AJ64" s="230">
        <f>T64-HLOOKUP(V64,Minimas!$C$3:$CD$12,10,FALSE)</f>
        <v>-205</v>
      </c>
      <c r="AK64" s="231" t="str">
        <f t="shared" si="20"/>
        <v>DEB</v>
      </c>
      <c r="AL64" s="232"/>
      <c r="AM64" s="232" t="str">
        <f t="shared" si="21"/>
        <v>DEB</v>
      </c>
      <c r="AN64" s="232">
        <f t="shared" si="22"/>
        <v>-10</v>
      </c>
      <c r="AO64" s="232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</row>
    <row r="65" spans="1:124" s="5" customFormat="1" ht="30" customHeight="1" x14ac:dyDescent="0.25">
      <c r="B65" s="136" t="s">
        <v>543</v>
      </c>
      <c r="C65" s="116">
        <v>403078</v>
      </c>
      <c r="D65" s="265"/>
      <c r="E65" s="175" t="s">
        <v>40</v>
      </c>
      <c r="F65" s="266" t="s">
        <v>592</v>
      </c>
      <c r="G65" s="125" t="s">
        <v>597</v>
      </c>
      <c r="H65" s="267">
        <v>1999</v>
      </c>
      <c r="I65" s="127" t="s">
        <v>336</v>
      </c>
      <c r="J65" s="146" t="s">
        <v>44</v>
      </c>
      <c r="K65" s="126">
        <v>80.2</v>
      </c>
      <c r="L65" s="109">
        <v>95</v>
      </c>
      <c r="M65" s="109">
        <v>100</v>
      </c>
      <c r="N65" s="280">
        <v>-105</v>
      </c>
      <c r="O65" s="490">
        <f t="shared" si="15"/>
        <v>100</v>
      </c>
      <c r="P65" s="109">
        <v>120</v>
      </c>
      <c r="Q65" s="109">
        <v>127</v>
      </c>
      <c r="R65" s="161">
        <v>-132</v>
      </c>
      <c r="S65" s="490">
        <f t="shared" si="16"/>
        <v>127</v>
      </c>
      <c r="T65" s="489">
        <f t="shared" si="23"/>
        <v>227</v>
      </c>
      <c r="U65" s="48" t="str">
        <f t="shared" si="18"/>
        <v>FED + 12</v>
      </c>
      <c r="V65" s="48" t="str">
        <f>IF(E65=0," ",IF(E65="H",IF(H65&lt;1999,VLOOKUP(K65,Minimas!$A$15:$F$29,6),IF(AND(H65&gt;1998,H65&lt;2002),VLOOKUP(K65,Minimas!$A$15:$F$29,5),IF(AND(H65&gt;2001,H65&lt;2004),VLOOKUP(K65,Minimas!$A$15:$F$29,4),IF(AND(H65&gt;2003,H65&lt;2006),VLOOKUP(K65,Minimas!$A$15:$F$29,3),VLOOKUP(K65,Minimas!$A$15:$F$29,2))))),IF(H65&lt;1999,VLOOKUP(K65,Minimas!$G$15:$L$29,6),IF(AND(H65&gt;1998,H65&lt;2002),VLOOKUP(K65,Minimas!$G$15:$L$29,5),IF(AND(H65&gt;2001,H65&lt;2004),VLOOKUP(K65,Minimas!$G$15:$L$29,4),IF(AND(H65&gt;2003,H65&lt;2006),VLOOKUP(K65,Minimas!$G$15:$L$29,3),VLOOKUP(K65,Minimas!$G$15:$L$29,2)))))))</f>
        <v>U20 M81</v>
      </c>
      <c r="W65" s="49">
        <f t="shared" si="19"/>
        <v>277.34055225812955</v>
      </c>
      <c r="X65" s="257">
        <v>43484</v>
      </c>
      <c r="Y65" s="261" t="s">
        <v>630</v>
      </c>
      <c r="Z65" s="261" t="s">
        <v>581</v>
      </c>
      <c r="AA65" s="232"/>
      <c r="AB65" s="230">
        <f>T65-HLOOKUP(V65,Minimas!$C$3:$CD$12,2,FALSE)</f>
        <v>97</v>
      </c>
      <c r="AC65" s="230">
        <f>T65-HLOOKUP(V65,Minimas!$C$3:$CD$12,3,FALSE)</f>
        <v>77</v>
      </c>
      <c r="AD65" s="230">
        <f>T65-HLOOKUP(V65,Minimas!$C$3:$CD$12,4,FALSE)</f>
        <v>57</v>
      </c>
      <c r="AE65" s="230">
        <f>T65-HLOOKUP(V65,Minimas!$C$3:$CD$12,5,FALSE)</f>
        <v>37</v>
      </c>
      <c r="AF65" s="230">
        <f>T65-HLOOKUP(V65,Minimas!$C$3:$CD$12,6,FALSE)</f>
        <v>12</v>
      </c>
      <c r="AG65" s="230">
        <f>T65-HLOOKUP(V65,Minimas!$C$3:$CD$12,7,FALSE)</f>
        <v>-18</v>
      </c>
      <c r="AH65" s="230">
        <f>T65-HLOOKUP(V65,Minimas!$C$3:$CD$12,8,FALSE)</f>
        <v>-43</v>
      </c>
      <c r="AI65" s="230">
        <f>T65-HLOOKUP(V65,Minimas!$C$3:$CD$12,9,FALSE)</f>
        <v>-68</v>
      </c>
      <c r="AJ65" s="230">
        <f>T65-HLOOKUP(V65,Minimas!$C$3:$CD$12,10,FALSE)</f>
        <v>-108</v>
      </c>
      <c r="AK65" s="231" t="str">
        <f t="shared" si="20"/>
        <v>FED +</v>
      </c>
      <c r="AL65" s="232"/>
      <c r="AM65" s="232" t="str">
        <f t="shared" si="21"/>
        <v>FED +</v>
      </c>
      <c r="AN65" s="232">
        <f t="shared" si="22"/>
        <v>12</v>
      </c>
      <c r="AO65" s="232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38"/>
      <c r="BO65" s="38"/>
      <c r="BP65" s="38"/>
      <c r="BQ65" s="38"/>
      <c r="BR65" s="38"/>
      <c r="BS65" s="38"/>
      <c r="BT65" s="38"/>
      <c r="BU65" s="38"/>
      <c r="BV65" s="38"/>
      <c r="BW65" s="38"/>
      <c r="BX65" s="38"/>
      <c r="BY65" s="38"/>
      <c r="BZ65" s="38"/>
      <c r="CA65" s="38"/>
      <c r="CB65" s="38"/>
      <c r="CC65" s="38"/>
      <c r="CD65" s="38"/>
      <c r="CE65" s="38"/>
      <c r="CF65" s="38"/>
      <c r="CG65" s="38"/>
      <c r="CH65" s="38"/>
      <c r="CI65" s="38"/>
      <c r="CJ65" s="38"/>
      <c r="CK65" s="38"/>
      <c r="CL65" s="38"/>
      <c r="CM65" s="38"/>
      <c r="CN65" s="38"/>
      <c r="CO65" s="38"/>
      <c r="CP65" s="38"/>
      <c r="CQ65" s="38"/>
      <c r="CR65" s="38"/>
      <c r="CS65" s="38"/>
      <c r="CT65" s="38"/>
      <c r="CU65" s="38"/>
      <c r="CV65" s="38"/>
      <c r="CW65" s="38"/>
      <c r="CX65" s="38"/>
      <c r="CY65" s="38"/>
      <c r="CZ65" s="38"/>
      <c r="DA65" s="38"/>
      <c r="DB65" s="38"/>
      <c r="DC65" s="38"/>
      <c r="DD65" s="38"/>
      <c r="DE65" s="38"/>
      <c r="DF65" s="38"/>
      <c r="DG65" s="38"/>
      <c r="DH65" s="38"/>
      <c r="DI65" s="38"/>
      <c r="DJ65" s="38"/>
      <c r="DK65" s="38"/>
      <c r="DL65" s="38"/>
      <c r="DM65" s="38"/>
      <c r="DN65" s="38"/>
      <c r="DO65" s="38"/>
      <c r="DP65" s="38"/>
      <c r="DQ65" s="38"/>
      <c r="DR65" s="38"/>
      <c r="DS65" s="38"/>
      <c r="DT65" s="38"/>
    </row>
    <row r="66" spans="1:124" s="5" customFormat="1" ht="30" customHeight="1" x14ac:dyDescent="0.25">
      <c r="B66" s="516" t="s">
        <v>543</v>
      </c>
      <c r="C66" s="524">
        <v>295872</v>
      </c>
      <c r="D66" s="530"/>
      <c r="E66" s="476" t="s">
        <v>40</v>
      </c>
      <c r="F66" s="728" t="s">
        <v>437</v>
      </c>
      <c r="G66" s="735" t="s">
        <v>870</v>
      </c>
      <c r="H66" s="215">
        <v>1999</v>
      </c>
      <c r="I66" s="564" t="s">
        <v>129</v>
      </c>
      <c r="J66" s="146" t="s">
        <v>44</v>
      </c>
      <c r="K66" s="200">
        <v>80.900000000000006</v>
      </c>
      <c r="L66" s="118">
        <v>-95</v>
      </c>
      <c r="M66" s="118">
        <v>97</v>
      </c>
      <c r="N66" s="118">
        <v>100</v>
      </c>
      <c r="O66" s="358">
        <f t="shared" si="15"/>
        <v>100</v>
      </c>
      <c r="P66" s="118">
        <v>117</v>
      </c>
      <c r="Q66" s="118">
        <v>120</v>
      </c>
      <c r="R66" s="118">
        <v>-126</v>
      </c>
      <c r="S66" s="358">
        <f t="shared" si="16"/>
        <v>120</v>
      </c>
      <c r="T66" s="359">
        <f t="shared" si="23"/>
        <v>220</v>
      </c>
      <c r="U66" s="360" t="str">
        <f t="shared" si="18"/>
        <v>FED + 5</v>
      </c>
      <c r="V66" s="360" t="str">
        <f>IF(E66=0," ",IF(E66="H",IF(H66&lt;1999,VLOOKUP(K66,[3]Minimas!$A$15:$F$29,6),IF(AND(H66&gt;1998,H66&lt;2002),VLOOKUP(K66,[3]Minimas!$A$15:$F$29,5),IF(AND(H66&gt;2001,H66&lt;2004),VLOOKUP(K66,[3]Minimas!$A$15:$F$29,4),IF(AND(H66&gt;2003,H66&lt;2006),VLOOKUP(K66,[3]Minimas!$A$15:$F$29,3),VLOOKUP(K66,[3]Minimas!$A$15:$F$29,2))))),IF(H66&lt;1999,VLOOKUP(K66,[3]Minimas!$G$15:$L$29,6),IF(AND(H66&gt;1998,H66&lt;2002),VLOOKUP(K66,[3]Minimas!$G$15:$L$29,5),IF(AND(H66&gt;2001,H66&lt;2004),VLOOKUP(K66,[3]Minimas!$G$15:$L$29,4),IF(AND(H66&gt;2003,H66&lt;2006),VLOOKUP(K66,[3]Minimas!$G$15:$L$29,3),VLOOKUP(K66,[3]Minimas!$G$15:$L$29,2)))))))</f>
        <v>U20 M81</v>
      </c>
      <c r="W66" s="361">
        <f t="shared" si="19"/>
        <v>267.6026470128038</v>
      </c>
      <c r="X66" s="257">
        <v>43596</v>
      </c>
      <c r="Y66" s="261" t="s">
        <v>867</v>
      </c>
      <c r="Z66" s="261" t="s">
        <v>868</v>
      </c>
      <c r="AA66" s="232"/>
      <c r="AB66" s="230">
        <f>T66-HLOOKUP(V66,[3]Minimas!$C$3:$CD$12,2,FALSE)</f>
        <v>90</v>
      </c>
      <c r="AC66" s="230">
        <f>T66-HLOOKUP(V66,[3]Minimas!$C$3:$CD$12,3,FALSE)</f>
        <v>70</v>
      </c>
      <c r="AD66" s="230">
        <f>T66-HLOOKUP(V66,[3]Minimas!$C$3:$CD$12,4,FALSE)</f>
        <v>50</v>
      </c>
      <c r="AE66" s="230">
        <f>T66-HLOOKUP(V66,[3]Minimas!$C$3:$CD$12,5,FALSE)</f>
        <v>30</v>
      </c>
      <c r="AF66" s="230">
        <f>T66-HLOOKUP(V66,[3]Minimas!$C$3:$CD$12,6,FALSE)</f>
        <v>5</v>
      </c>
      <c r="AG66" s="230">
        <f>T66-HLOOKUP(V66,[3]Minimas!$C$3:$CD$12,7,FALSE)</f>
        <v>-25</v>
      </c>
      <c r="AH66" s="230">
        <f>T66-HLOOKUP(V66,[3]Minimas!$C$3:$CD$12,8,FALSE)</f>
        <v>-50</v>
      </c>
      <c r="AI66" s="230">
        <f>T66-HLOOKUP(V66,[3]Minimas!$C$3:$CD$12,9,FALSE)</f>
        <v>-75</v>
      </c>
      <c r="AJ66" s="230">
        <f>T66-HLOOKUP(V66,[3]Minimas!$C$3:$CD$12,10,FALSE)</f>
        <v>-115</v>
      </c>
      <c r="AK66" s="231" t="str">
        <f t="shared" si="20"/>
        <v>FED +</v>
      </c>
      <c r="AL66" s="232"/>
      <c r="AM66" s="232" t="str">
        <f t="shared" si="21"/>
        <v>FED +</v>
      </c>
      <c r="AN66" s="232">
        <f t="shared" si="22"/>
        <v>5</v>
      </c>
      <c r="AO66" s="232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BM66" s="38"/>
      <c r="BN66" s="38"/>
      <c r="BO66" s="38"/>
      <c r="BP66" s="38"/>
      <c r="BQ66" s="38"/>
      <c r="BR66" s="38"/>
      <c r="BS66" s="38"/>
      <c r="BT66" s="38"/>
      <c r="BU66" s="38"/>
      <c r="BV66" s="38"/>
      <c r="BW66" s="38"/>
      <c r="BX66" s="38"/>
      <c r="BY66" s="38"/>
      <c r="BZ66" s="38"/>
      <c r="CA66" s="38"/>
      <c r="CB66" s="38"/>
      <c r="CC66" s="38"/>
      <c r="CD66" s="38"/>
      <c r="CE66" s="38"/>
      <c r="CF66" s="38"/>
      <c r="CG66" s="38"/>
      <c r="CH66" s="38"/>
      <c r="CI66" s="38"/>
      <c r="CJ66" s="38"/>
      <c r="CK66" s="38"/>
      <c r="CL66" s="38"/>
      <c r="CM66" s="38"/>
      <c r="CN66" s="38"/>
      <c r="CO66" s="38"/>
      <c r="CP66" s="38"/>
      <c r="CQ66" s="38"/>
      <c r="CR66" s="38"/>
      <c r="CS66" s="38"/>
      <c r="CT66" s="38"/>
      <c r="CU66" s="38"/>
      <c r="CV66" s="38"/>
      <c r="CW66" s="38"/>
      <c r="CX66" s="38"/>
      <c r="CY66" s="38"/>
      <c r="CZ66" s="38"/>
      <c r="DA66" s="38"/>
      <c r="DB66" s="38"/>
      <c r="DC66" s="38"/>
      <c r="DD66" s="38"/>
      <c r="DE66" s="38"/>
      <c r="DF66" s="38"/>
      <c r="DG66" s="38"/>
      <c r="DH66" s="38"/>
      <c r="DI66" s="38"/>
      <c r="DJ66" s="38"/>
      <c r="DK66" s="38"/>
      <c r="DL66" s="38"/>
      <c r="DM66" s="38"/>
      <c r="DN66" s="38"/>
      <c r="DO66" s="38"/>
      <c r="DP66" s="38"/>
      <c r="DQ66" s="38"/>
      <c r="DR66" s="38"/>
      <c r="DS66" s="38"/>
      <c r="DT66" s="38"/>
    </row>
    <row r="67" spans="1:124" s="5" customFormat="1" ht="30" customHeight="1" x14ac:dyDescent="0.25">
      <c r="B67" s="516" t="s">
        <v>543</v>
      </c>
      <c r="C67" s="166">
        <v>403856</v>
      </c>
      <c r="D67" s="530"/>
      <c r="E67" s="476" t="s">
        <v>40</v>
      </c>
      <c r="F67" s="728" t="s">
        <v>278</v>
      </c>
      <c r="G67" s="735" t="s">
        <v>876</v>
      </c>
      <c r="H67" s="215">
        <v>1999</v>
      </c>
      <c r="I67" s="564" t="s">
        <v>139</v>
      </c>
      <c r="J67" s="146" t="s">
        <v>44</v>
      </c>
      <c r="K67" s="200">
        <v>73.400000000000006</v>
      </c>
      <c r="L67" s="118">
        <v>75</v>
      </c>
      <c r="M67" s="118">
        <v>80</v>
      </c>
      <c r="N67" s="118">
        <v>83</v>
      </c>
      <c r="O67" s="358">
        <f t="shared" si="15"/>
        <v>83</v>
      </c>
      <c r="P67" s="118">
        <v>95</v>
      </c>
      <c r="Q67" s="118">
        <v>100</v>
      </c>
      <c r="R67" s="118">
        <v>105</v>
      </c>
      <c r="S67" s="358">
        <f t="shared" si="16"/>
        <v>105</v>
      </c>
      <c r="T67" s="359">
        <f t="shared" si="23"/>
        <v>188</v>
      </c>
      <c r="U67" s="360" t="str">
        <f t="shared" si="18"/>
        <v>REG + 18</v>
      </c>
      <c r="V67" s="360" t="str">
        <f>IF(E67=0," ",IF(E67="H",IF(H67&lt;1999,VLOOKUP(K67,[3]Minimas!$A$15:$F$29,6),IF(AND(H67&gt;1998,H67&lt;2002),VLOOKUP(K67,[3]Minimas!$A$15:$F$29,5),IF(AND(H67&gt;2001,H67&lt;2004),VLOOKUP(K67,[3]Minimas!$A$15:$F$29,4),IF(AND(H67&gt;2003,H67&lt;2006),VLOOKUP(K67,[3]Minimas!$A$15:$F$29,3),VLOOKUP(K67,[3]Minimas!$A$15:$F$29,2))))),IF(H67&lt;1999,VLOOKUP(K67,[3]Minimas!$G$15:$L$29,6),IF(AND(H67&gt;1998,H67&lt;2002),VLOOKUP(K67,[3]Minimas!$G$15:$L$29,5),IF(AND(H67&gt;2001,H67&lt;2004),VLOOKUP(K67,[3]Minimas!$G$15:$L$29,4),IF(AND(H67&gt;2003,H67&lt;2006),VLOOKUP(K67,[3]Minimas!$G$15:$L$29,3),VLOOKUP(K67,[3]Minimas!$G$15:$L$29,2)))))))</f>
        <v>U20 M81</v>
      </c>
      <c r="W67" s="361">
        <f t="shared" si="19"/>
        <v>240.95758623057546</v>
      </c>
      <c r="X67" s="257">
        <v>43599</v>
      </c>
      <c r="Y67" s="261" t="s">
        <v>874</v>
      </c>
      <c r="Z67" s="261" t="s">
        <v>875</v>
      </c>
      <c r="AA67" s="232"/>
      <c r="AB67" s="230">
        <f>T67-HLOOKUP(V67,[3]Minimas!$C$3:$CD$12,2,FALSE)</f>
        <v>58</v>
      </c>
      <c r="AC67" s="230">
        <f>T67-HLOOKUP(V67,[3]Minimas!$C$3:$CD$12,3,FALSE)</f>
        <v>38</v>
      </c>
      <c r="AD67" s="230">
        <f>T67-HLOOKUP(V67,[3]Minimas!$C$3:$CD$12,4,FALSE)</f>
        <v>18</v>
      </c>
      <c r="AE67" s="230">
        <f>T67-HLOOKUP(V67,[3]Minimas!$C$3:$CD$12,5,FALSE)</f>
        <v>-2</v>
      </c>
      <c r="AF67" s="230">
        <f>T67-HLOOKUP(V67,[3]Minimas!$C$3:$CD$12,6,FALSE)</f>
        <v>-27</v>
      </c>
      <c r="AG67" s="230">
        <f>T67-HLOOKUP(V67,[3]Minimas!$C$3:$CD$12,7,FALSE)</f>
        <v>-57</v>
      </c>
      <c r="AH67" s="230">
        <f>T67-HLOOKUP(V67,[3]Minimas!$C$3:$CD$12,8,FALSE)</f>
        <v>-82</v>
      </c>
      <c r="AI67" s="230">
        <f>T67-HLOOKUP(V67,[3]Minimas!$C$3:$CD$12,9,FALSE)</f>
        <v>-107</v>
      </c>
      <c r="AJ67" s="230">
        <f>T67-HLOOKUP(V67,[3]Minimas!$C$3:$CD$12,10,FALSE)</f>
        <v>-147</v>
      </c>
      <c r="AK67" s="231" t="str">
        <f t="shared" si="20"/>
        <v>REG +</v>
      </c>
      <c r="AL67" s="232"/>
      <c r="AM67" s="232" t="str">
        <f t="shared" si="21"/>
        <v>REG +</v>
      </c>
      <c r="AN67" s="232">
        <f t="shared" si="22"/>
        <v>18</v>
      </c>
      <c r="AO67" s="232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  <c r="BM67" s="38"/>
      <c r="BN67" s="38"/>
      <c r="BO67" s="38"/>
      <c r="BP67" s="38"/>
      <c r="BQ67" s="38"/>
      <c r="BR67" s="38"/>
      <c r="BS67" s="38"/>
      <c r="BT67" s="38"/>
      <c r="BU67" s="38"/>
      <c r="BV67" s="38"/>
      <c r="BW67" s="38"/>
      <c r="BX67" s="38"/>
      <c r="BY67" s="38"/>
      <c r="BZ67" s="38"/>
      <c r="CA67" s="38"/>
      <c r="CB67" s="38"/>
      <c r="CC67" s="38"/>
      <c r="CD67" s="38"/>
      <c r="CE67" s="38"/>
      <c r="CF67" s="38"/>
      <c r="CG67" s="38"/>
      <c r="CH67" s="38"/>
      <c r="CI67" s="38"/>
      <c r="CJ67" s="38"/>
      <c r="CK67" s="38"/>
      <c r="CL67" s="38"/>
      <c r="CM67" s="38"/>
      <c r="CN67" s="38"/>
      <c r="CO67" s="38"/>
      <c r="CP67" s="38"/>
      <c r="CQ67" s="38"/>
      <c r="CR67" s="38"/>
      <c r="CS67" s="38"/>
      <c r="CT67" s="38"/>
      <c r="CU67" s="38"/>
      <c r="CV67" s="38"/>
      <c r="CW67" s="38"/>
      <c r="CX67" s="38"/>
      <c r="CY67" s="38"/>
      <c r="CZ67" s="38"/>
      <c r="DA67" s="38"/>
      <c r="DB67" s="38"/>
      <c r="DC67" s="38"/>
      <c r="DD67" s="38"/>
      <c r="DE67" s="38"/>
      <c r="DF67" s="38"/>
      <c r="DG67" s="38"/>
      <c r="DH67" s="38"/>
      <c r="DI67" s="38"/>
      <c r="DJ67" s="38"/>
      <c r="DK67" s="38"/>
      <c r="DL67" s="38"/>
      <c r="DM67" s="38"/>
      <c r="DN67" s="38"/>
      <c r="DO67" s="38"/>
      <c r="DP67" s="38"/>
      <c r="DQ67" s="38"/>
      <c r="DR67" s="38"/>
      <c r="DS67" s="38"/>
      <c r="DT67" s="38"/>
    </row>
    <row r="68" spans="1:124" s="5" customFormat="1" ht="30" customHeight="1" x14ac:dyDescent="0.3">
      <c r="B68" s="136" t="s">
        <v>543</v>
      </c>
      <c r="C68" s="116">
        <v>444433</v>
      </c>
      <c r="D68" s="119"/>
      <c r="E68" s="175" t="s">
        <v>40</v>
      </c>
      <c r="F68" s="124" t="s">
        <v>315</v>
      </c>
      <c r="G68" s="125" t="s">
        <v>316</v>
      </c>
      <c r="H68" s="156">
        <v>1999</v>
      </c>
      <c r="I68" s="127" t="s">
        <v>317</v>
      </c>
      <c r="J68" s="104" t="s">
        <v>44</v>
      </c>
      <c r="K68" s="126">
        <v>80.900000000000006</v>
      </c>
      <c r="L68" s="109">
        <v>80</v>
      </c>
      <c r="M68" s="109">
        <v>82</v>
      </c>
      <c r="N68" s="160">
        <v>-86</v>
      </c>
      <c r="O68" s="490">
        <f t="shared" si="15"/>
        <v>82</v>
      </c>
      <c r="P68" s="133">
        <v>95</v>
      </c>
      <c r="Q68" s="130">
        <v>-101</v>
      </c>
      <c r="R68" s="133">
        <v>101</v>
      </c>
      <c r="S68" s="490">
        <f t="shared" si="16"/>
        <v>101</v>
      </c>
      <c r="T68" s="489">
        <f t="shared" si="23"/>
        <v>183</v>
      </c>
      <c r="U68" s="48" t="str">
        <f t="shared" si="18"/>
        <v>REG + 13</v>
      </c>
      <c r="V68" s="48" t="str">
        <f>IF(E68=0," ",IF(E68="H",IF(H68&lt;1999,VLOOKUP(K68,Minimas!$A$15:$F$29,6),IF(AND(H68&gt;1998,H68&lt;2002),VLOOKUP(K68,Minimas!$A$15:$F$29,5),IF(AND(H68&gt;2001,H68&lt;2004),VLOOKUP(K68,Minimas!$A$15:$F$29,4),IF(AND(H68&gt;2003,H68&lt;2006),VLOOKUP(K68,Minimas!$A$15:$F$29,3),VLOOKUP(K68,Minimas!$A$15:$F$29,2))))),IF(H68&lt;1999,VLOOKUP(K68,Minimas!$G$15:$L$29,6),IF(AND(H68&gt;1998,H68&lt;2002),VLOOKUP(K68,Minimas!$G$15:$L$29,5),IF(AND(H68&gt;2001,H68&lt;2004),VLOOKUP(K68,Minimas!$G$15:$L$29,4),IF(AND(H68&gt;2003,H68&lt;2006),VLOOKUP(K68,Minimas!$G$15:$L$29,3),VLOOKUP(K68,Minimas!$G$15:$L$29,2)))))))</f>
        <v>U20 M81</v>
      </c>
      <c r="W68" s="49">
        <f t="shared" si="19"/>
        <v>222.59674728792317</v>
      </c>
      <c r="X68" s="184">
        <v>43401</v>
      </c>
      <c r="Y68" s="284" t="s">
        <v>507</v>
      </c>
      <c r="Z68" s="284" t="s">
        <v>506</v>
      </c>
      <c r="AA68" s="232"/>
      <c r="AB68" s="230">
        <f>T68-HLOOKUP(V68,Minimas!$C$3:$CD$12,2,FALSE)</f>
        <v>53</v>
      </c>
      <c r="AC68" s="230">
        <f>T68-HLOOKUP(V68,Minimas!$C$3:$CD$12,3,FALSE)</f>
        <v>33</v>
      </c>
      <c r="AD68" s="230">
        <f>T68-HLOOKUP(V68,Minimas!$C$3:$CD$12,4,FALSE)</f>
        <v>13</v>
      </c>
      <c r="AE68" s="230">
        <f>T68-HLOOKUP(V68,Minimas!$C$3:$CD$12,5,FALSE)</f>
        <v>-7</v>
      </c>
      <c r="AF68" s="230">
        <f>T68-HLOOKUP(V68,Minimas!$C$3:$CD$12,6,FALSE)</f>
        <v>-32</v>
      </c>
      <c r="AG68" s="230">
        <f>T68-HLOOKUP(V68,Minimas!$C$3:$CD$12,7,FALSE)</f>
        <v>-62</v>
      </c>
      <c r="AH68" s="230">
        <f>T68-HLOOKUP(V68,Minimas!$C$3:$CD$12,8,FALSE)</f>
        <v>-87</v>
      </c>
      <c r="AI68" s="230">
        <f>T68-HLOOKUP(V68,Minimas!$C$3:$CD$12,9,FALSE)</f>
        <v>-112</v>
      </c>
      <c r="AJ68" s="230">
        <f>T68-HLOOKUP(V68,Minimas!$C$3:$CD$12,10,FALSE)</f>
        <v>-152</v>
      </c>
      <c r="AK68" s="231" t="str">
        <f t="shared" si="20"/>
        <v>REG +</v>
      </c>
      <c r="AL68" s="232"/>
      <c r="AM68" s="232" t="str">
        <f t="shared" si="21"/>
        <v>REG +</v>
      </c>
      <c r="AN68" s="232">
        <f t="shared" si="22"/>
        <v>13</v>
      </c>
      <c r="AO68" s="232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  <c r="BM68" s="38"/>
      <c r="BN68" s="38"/>
      <c r="BO68" s="38"/>
      <c r="BP68" s="38"/>
      <c r="BQ68" s="38"/>
      <c r="BR68" s="38"/>
      <c r="BS68" s="38"/>
      <c r="BT68" s="38"/>
      <c r="BU68" s="38"/>
      <c r="BV68" s="38"/>
      <c r="BW68" s="38"/>
      <c r="BX68" s="38"/>
      <c r="BY68" s="38"/>
      <c r="BZ68" s="38"/>
      <c r="CA68" s="38"/>
      <c r="CB68" s="38"/>
      <c r="CC68" s="38"/>
      <c r="CD68" s="38"/>
      <c r="CE68" s="38"/>
      <c r="CF68" s="38"/>
      <c r="CG68" s="38"/>
      <c r="CH68" s="38"/>
      <c r="CI68" s="38"/>
      <c r="CJ68" s="38"/>
      <c r="CK68" s="38"/>
      <c r="CL68" s="38"/>
      <c r="CM68" s="38"/>
      <c r="CN68" s="38"/>
      <c r="CO68" s="38"/>
      <c r="CP68" s="38"/>
      <c r="CQ68" s="38"/>
      <c r="CR68" s="38"/>
      <c r="CS68" s="38"/>
      <c r="CT68" s="38"/>
      <c r="CU68" s="38"/>
      <c r="CV68" s="38"/>
      <c r="CW68" s="38"/>
      <c r="CX68" s="38"/>
      <c r="CY68" s="38"/>
      <c r="CZ68" s="38"/>
      <c r="DA68" s="38"/>
      <c r="DB68" s="38"/>
      <c r="DC68" s="38"/>
      <c r="DD68" s="38"/>
      <c r="DE68" s="38"/>
      <c r="DF68" s="38"/>
      <c r="DG68" s="38"/>
      <c r="DH68" s="38"/>
      <c r="DI68" s="38"/>
      <c r="DJ68" s="38"/>
      <c r="DK68" s="38"/>
      <c r="DL68" s="38"/>
      <c r="DM68" s="38"/>
      <c r="DN68" s="38"/>
      <c r="DO68" s="38"/>
      <c r="DP68" s="38"/>
      <c r="DQ68" s="38"/>
      <c r="DR68" s="38"/>
      <c r="DS68" s="38"/>
      <c r="DT68" s="38"/>
    </row>
    <row r="69" spans="1:124" s="5" customFormat="1" ht="30" customHeight="1" x14ac:dyDescent="0.25">
      <c r="B69" s="686" t="s">
        <v>543</v>
      </c>
      <c r="C69" s="166">
        <v>424995</v>
      </c>
      <c r="D69" s="537"/>
      <c r="E69" s="476" t="s">
        <v>40</v>
      </c>
      <c r="F69" s="544" t="s">
        <v>318</v>
      </c>
      <c r="G69" s="551" t="s">
        <v>319</v>
      </c>
      <c r="H69" s="215">
        <v>2000</v>
      </c>
      <c r="I69" s="569" t="s">
        <v>170</v>
      </c>
      <c r="J69" s="476" t="s">
        <v>41</v>
      </c>
      <c r="K69" s="771">
        <v>74.400000000000006</v>
      </c>
      <c r="L69" s="118">
        <v>65</v>
      </c>
      <c r="M69" s="118">
        <v>70</v>
      </c>
      <c r="N69" s="118">
        <v>-75</v>
      </c>
      <c r="O69" s="52">
        <f t="shared" si="15"/>
        <v>70</v>
      </c>
      <c r="P69" s="118">
        <v>85</v>
      </c>
      <c r="Q69" s="118">
        <v>90</v>
      </c>
      <c r="R69" s="118">
        <v>-95</v>
      </c>
      <c r="S69" s="52">
        <f t="shared" si="16"/>
        <v>90</v>
      </c>
      <c r="T69" s="51">
        <f t="shared" si="23"/>
        <v>160</v>
      </c>
      <c r="U69" s="48" t="str">
        <f t="shared" si="18"/>
        <v>DPT + 10</v>
      </c>
      <c r="V69" s="48" t="str">
        <f>IF(E69=0," ",IF(E69="H",IF(H69&lt;1999,VLOOKUP(K69,[12]Minimas!$A$15:$F$29,6),IF(AND(H69&gt;1998,H69&lt;2002),VLOOKUP(K69,[12]Minimas!$A$15:$F$29,5),IF(AND(H69&gt;2001,H69&lt;2004),VLOOKUP(K69,[12]Minimas!$A$15:$F$29,4),IF(AND(H69&gt;2003,H69&lt;2006),VLOOKUP(K69,[12]Minimas!$A$15:$F$29,3),VLOOKUP(K69,[12]Minimas!$A$15:$F$29,2))))),IF(H69&lt;1999,VLOOKUP(K69,[12]Minimas!$G$15:$L$29,6),IF(AND(H69&gt;1998,H69&lt;2002),VLOOKUP(K69,[12]Minimas!$G$15:$L$29,5),IF(AND(H69&gt;2001,H69&lt;2004),VLOOKUP(K69,[12]Minimas!$G$15:$L$29,4),IF(AND(H69&gt;2003,H69&lt;2006),VLOOKUP(K69,[12]Minimas!$G$15:$L$29,3),VLOOKUP(K69,[12]Minimas!$G$15:$L$29,2)))))))</f>
        <v>U20 M81</v>
      </c>
      <c r="W69" s="49">
        <f t="shared" si="19"/>
        <v>203.50850657855199</v>
      </c>
      <c r="X69" s="257">
        <v>43492</v>
      </c>
      <c r="Y69" s="261" t="s">
        <v>696</v>
      </c>
      <c r="Z69" s="261" t="s">
        <v>701</v>
      </c>
      <c r="AA69" s="232"/>
      <c r="AB69" s="230">
        <f>T69-HLOOKUP(V69,Minimas!$C$3:$CD$12,2,FALSE)</f>
        <v>30</v>
      </c>
      <c r="AC69" s="230">
        <f>T69-HLOOKUP(V69,Minimas!$C$3:$CD$12,3,FALSE)</f>
        <v>10</v>
      </c>
      <c r="AD69" s="230">
        <f>T69-HLOOKUP(V69,Minimas!$C$3:$CD$12,4,FALSE)</f>
        <v>-10</v>
      </c>
      <c r="AE69" s="230">
        <f>T69-HLOOKUP(V69,Minimas!$C$3:$CD$12,5,FALSE)</f>
        <v>-30</v>
      </c>
      <c r="AF69" s="230">
        <f>T69-HLOOKUP(V69,Minimas!$C$3:$CD$12,6,FALSE)</f>
        <v>-55</v>
      </c>
      <c r="AG69" s="230">
        <f>T69-HLOOKUP(V69,Minimas!$C$3:$CD$12,7,FALSE)</f>
        <v>-85</v>
      </c>
      <c r="AH69" s="230">
        <f>T69-HLOOKUP(V69,Minimas!$C$3:$CD$12,8,FALSE)</f>
        <v>-110</v>
      </c>
      <c r="AI69" s="230">
        <f>T69-HLOOKUP(V69,Minimas!$C$3:$CD$12,9,FALSE)</f>
        <v>-135</v>
      </c>
      <c r="AJ69" s="230">
        <f>T69-HLOOKUP(V69,Minimas!$C$3:$CD$12,10,FALSE)</f>
        <v>-175</v>
      </c>
      <c r="AK69" s="231" t="str">
        <f t="shared" si="20"/>
        <v>DPT +</v>
      </c>
      <c r="AL69" s="232"/>
      <c r="AM69" s="232" t="str">
        <f t="shared" si="21"/>
        <v>DPT +</v>
      </c>
      <c r="AN69" s="232">
        <f t="shared" si="22"/>
        <v>10</v>
      </c>
      <c r="AO69" s="232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  <c r="BK69" s="38"/>
      <c r="BL69" s="38"/>
      <c r="BM69" s="38"/>
      <c r="BN69" s="38"/>
      <c r="BO69" s="38"/>
      <c r="BP69" s="38"/>
      <c r="BQ69" s="38"/>
      <c r="BR69" s="38"/>
      <c r="BS69" s="38"/>
      <c r="BT69" s="38"/>
      <c r="BU69" s="38"/>
      <c r="BV69" s="38"/>
      <c r="BW69" s="38"/>
      <c r="BX69" s="38"/>
      <c r="BY69" s="38"/>
      <c r="BZ69" s="38"/>
      <c r="CA69" s="38"/>
      <c r="CB69" s="38"/>
      <c r="CC69" s="38"/>
      <c r="CD69" s="38"/>
      <c r="CE69" s="38"/>
      <c r="CF69" s="38"/>
      <c r="CG69" s="38"/>
      <c r="CH69" s="38"/>
      <c r="CI69" s="38"/>
      <c r="CJ69" s="38"/>
      <c r="CK69" s="38"/>
      <c r="CL69" s="38"/>
      <c r="CM69" s="38"/>
      <c r="CN69" s="38"/>
      <c r="CO69" s="38"/>
      <c r="CP69" s="38"/>
      <c r="CQ69" s="38"/>
      <c r="CR69" s="38"/>
      <c r="CS69" s="38"/>
      <c r="CT69" s="38"/>
      <c r="CU69" s="38"/>
      <c r="CV69" s="38"/>
      <c r="CW69" s="38"/>
      <c r="CX69" s="38"/>
      <c r="CY69" s="38"/>
      <c r="CZ69" s="38"/>
      <c r="DA69" s="38"/>
      <c r="DB69" s="38"/>
      <c r="DC69" s="38"/>
      <c r="DD69" s="38"/>
      <c r="DE69" s="38"/>
      <c r="DF69" s="38"/>
      <c r="DG69" s="38"/>
      <c r="DH69" s="38"/>
      <c r="DI69" s="38"/>
      <c r="DJ69" s="38"/>
      <c r="DK69" s="38"/>
      <c r="DL69" s="38"/>
      <c r="DM69" s="38"/>
      <c r="DN69" s="38"/>
      <c r="DO69" s="38"/>
      <c r="DP69" s="38"/>
      <c r="DQ69" s="38"/>
      <c r="DR69" s="38"/>
      <c r="DS69" s="38"/>
      <c r="DT69" s="38"/>
    </row>
    <row r="70" spans="1:124" s="5" customFormat="1" ht="30" customHeight="1" x14ac:dyDescent="0.3">
      <c r="B70" s="136" t="s">
        <v>543</v>
      </c>
      <c r="C70" s="116">
        <v>443639</v>
      </c>
      <c r="D70" s="119"/>
      <c r="E70" s="175" t="s">
        <v>40</v>
      </c>
      <c r="F70" s="124" t="s">
        <v>320</v>
      </c>
      <c r="G70" s="125" t="s">
        <v>321</v>
      </c>
      <c r="H70" s="156">
        <v>2000</v>
      </c>
      <c r="I70" s="127" t="s">
        <v>322</v>
      </c>
      <c r="J70" s="104" t="s">
        <v>44</v>
      </c>
      <c r="K70" s="126">
        <v>74.8</v>
      </c>
      <c r="L70" s="109">
        <v>57</v>
      </c>
      <c r="M70" s="109">
        <v>60</v>
      </c>
      <c r="N70" s="109">
        <v>63</v>
      </c>
      <c r="O70" s="490">
        <f t="shared" si="15"/>
        <v>63</v>
      </c>
      <c r="P70" s="133">
        <v>75</v>
      </c>
      <c r="Q70" s="133">
        <v>80</v>
      </c>
      <c r="R70" s="130">
        <v>-85</v>
      </c>
      <c r="S70" s="490">
        <f t="shared" si="16"/>
        <v>80</v>
      </c>
      <c r="T70" s="489">
        <f t="shared" si="23"/>
        <v>143</v>
      </c>
      <c r="U70" s="48" t="str">
        <f t="shared" si="18"/>
        <v>DEB 13</v>
      </c>
      <c r="V70" s="48" t="str">
        <f>IF(E70=0," ",IF(E70="H",IF(H70&lt;1999,VLOOKUP(K70,Minimas!$A$15:$F$29,6),IF(AND(H70&gt;1998,H70&lt;2002),VLOOKUP(K70,Minimas!$A$15:$F$29,5),IF(AND(H70&gt;2001,H70&lt;2004),VLOOKUP(K70,Minimas!$A$15:$F$29,4),IF(AND(H70&gt;2003,H70&lt;2006),VLOOKUP(K70,Minimas!$A$15:$F$29,3),VLOOKUP(K70,Minimas!$A$15:$F$29,2))))),IF(H70&lt;1999,VLOOKUP(K70,Minimas!$G$15:$L$29,6),IF(AND(H70&gt;1998,H70&lt;2002),VLOOKUP(K70,Minimas!$G$15:$L$29,5),IF(AND(H70&gt;2001,H70&lt;2004),VLOOKUP(K70,Minimas!$G$15:$L$29,4),IF(AND(H70&gt;2003,H70&lt;2006),VLOOKUP(K70,Minimas!$G$15:$L$29,3),VLOOKUP(K70,Minimas!$G$15:$L$29,2)))))))</f>
        <v>U20 M81</v>
      </c>
      <c r="W70" s="49">
        <f t="shared" si="19"/>
        <v>181.34158229102496</v>
      </c>
      <c r="X70" s="184">
        <v>43401</v>
      </c>
      <c r="Y70" s="284" t="s">
        <v>507</v>
      </c>
      <c r="Z70" s="284" t="s">
        <v>506</v>
      </c>
      <c r="AA70" s="232"/>
      <c r="AB70" s="230">
        <f>T70-HLOOKUP(V70,Minimas!$C$3:$CD$12,2,FALSE)</f>
        <v>13</v>
      </c>
      <c r="AC70" s="230">
        <f>T70-HLOOKUP(V70,Minimas!$C$3:$CD$12,3,FALSE)</f>
        <v>-7</v>
      </c>
      <c r="AD70" s="230">
        <f>T70-HLOOKUP(V70,Minimas!$C$3:$CD$12,4,FALSE)</f>
        <v>-27</v>
      </c>
      <c r="AE70" s="230">
        <f>T70-HLOOKUP(V70,Minimas!$C$3:$CD$12,5,FALSE)</f>
        <v>-47</v>
      </c>
      <c r="AF70" s="230">
        <f>T70-HLOOKUP(V70,Minimas!$C$3:$CD$12,6,FALSE)</f>
        <v>-72</v>
      </c>
      <c r="AG70" s="230">
        <f>T70-HLOOKUP(V70,Minimas!$C$3:$CD$12,7,FALSE)</f>
        <v>-102</v>
      </c>
      <c r="AH70" s="230">
        <f>T70-HLOOKUP(V70,Minimas!$C$3:$CD$12,8,FALSE)</f>
        <v>-127</v>
      </c>
      <c r="AI70" s="230">
        <f>T70-HLOOKUP(V70,Minimas!$C$3:$CD$12,9,FALSE)</f>
        <v>-152</v>
      </c>
      <c r="AJ70" s="230">
        <f>T70-HLOOKUP(V70,Minimas!$C$3:$CD$12,10,FALSE)</f>
        <v>-192</v>
      </c>
      <c r="AK70" s="231" t="str">
        <f t="shared" si="20"/>
        <v>DEB</v>
      </c>
      <c r="AL70" s="232"/>
      <c r="AM70" s="232" t="str">
        <f t="shared" si="21"/>
        <v>DEB</v>
      </c>
      <c r="AN70" s="232">
        <f t="shared" si="22"/>
        <v>13</v>
      </c>
      <c r="AO70" s="232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  <c r="BJ70" s="38"/>
      <c r="BK70" s="38"/>
      <c r="BL70" s="38"/>
      <c r="BM70" s="38"/>
      <c r="BN70" s="38"/>
      <c r="BO70" s="38"/>
      <c r="BP70" s="38"/>
      <c r="BQ70" s="38"/>
      <c r="BR70" s="38"/>
      <c r="BS70" s="38"/>
      <c r="BT70" s="38"/>
      <c r="BU70" s="38"/>
      <c r="BV70" s="38"/>
      <c r="BW70" s="38"/>
      <c r="BX70" s="38"/>
      <c r="BY70" s="38"/>
      <c r="BZ70" s="38"/>
      <c r="CA70" s="38"/>
      <c r="CB70" s="38"/>
      <c r="CC70" s="38"/>
      <c r="CD70" s="38"/>
      <c r="CE70" s="38"/>
      <c r="CF70" s="38"/>
      <c r="CG70" s="38"/>
      <c r="CH70" s="38"/>
      <c r="CI70" s="38"/>
      <c r="CJ70" s="38"/>
      <c r="CK70" s="38"/>
      <c r="CL70" s="38"/>
      <c r="CM70" s="38"/>
      <c r="CN70" s="38"/>
      <c r="CO70" s="38"/>
      <c r="CP70" s="38"/>
      <c r="CQ70" s="38"/>
      <c r="CR70" s="38"/>
      <c r="CS70" s="38"/>
      <c r="CT70" s="38"/>
      <c r="CU70" s="38"/>
      <c r="CV70" s="38"/>
      <c r="CW70" s="38"/>
      <c r="CX70" s="38"/>
      <c r="CY70" s="38"/>
      <c r="CZ70" s="38"/>
      <c r="DA70" s="38"/>
      <c r="DB70" s="38"/>
      <c r="DC70" s="38"/>
      <c r="DD70" s="38"/>
      <c r="DE70" s="38"/>
      <c r="DF70" s="38"/>
      <c r="DG70" s="38"/>
      <c r="DH70" s="38"/>
      <c r="DI70" s="38"/>
      <c r="DJ70" s="38"/>
      <c r="DK70" s="38"/>
      <c r="DL70" s="38"/>
      <c r="DM70" s="38"/>
      <c r="DN70" s="38"/>
      <c r="DO70" s="38"/>
      <c r="DP70" s="38"/>
      <c r="DQ70" s="38"/>
      <c r="DR70" s="38"/>
      <c r="DS70" s="38"/>
      <c r="DT70" s="38"/>
    </row>
    <row r="71" spans="1:124" s="5" customFormat="1" ht="30" customHeight="1" x14ac:dyDescent="0.3">
      <c r="A71" s="484"/>
      <c r="B71" s="136" t="s">
        <v>543</v>
      </c>
      <c r="C71" s="173">
        <v>438377</v>
      </c>
      <c r="D71" s="174"/>
      <c r="E71" s="175" t="s">
        <v>40</v>
      </c>
      <c r="F71" s="176" t="s">
        <v>473</v>
      </c>
      <c r="G71" s="177" t="s">
        <v>263</v>
      </c>
      <c r="H71" s="178">
        <v>2000</v>
      </c>
      <c r="I71" s="179" t="s">
        <v>214</v>
      </c>
      <c r="J71" s="104" t="s">
        <v>44</v>
      </c>
      <c r="K71" s="180">
        <v>73.5</v>
      </c>
      <c r="L71" s="133">
        <v>50</v>
      </c>
      <c r="M71" s="133">
        <v>55</v>
      </c>
      <c r="N71" s="133">
        <v>60</v>
      </c>
      <c r="O71" s="490">
        <f t="shared" si="15"/>
        <v>60</v>
      </c>
      <c r="P71" s="133">
        <v>60</v>
      </c>
      <c r="Q71" s="133">
        <v>65</v>
      </c>
      <c r="R71" s="131">
        <v>-75</v>
      </c>
      <c r="S71" s="490">
        <f t="shared" si="16"/>
        <v>65</v>
      </c>
      <c r="T71" s="489">
        <f t="shared" si="23"/>
        <v>125</v>
      </c>
      <c r="U71" s="48" t="str">
        <f t="shared" si="18"/>
        <v>DEB -5</v>
      </c>
      <c r="V71" s="48" t="str">
        <f>IF(E71=0," ",IF(E71="H",IF(H71&lt;1999,VLOOKUP(K71,Minimas!$A$15:$F$29,6),IF(AND(H71&gt;1998,H71&lt;2002),VLOOKUP(K71,Minimas!$A$15:$F$29,5),IF(AND(H71&gt;2001,H71&lt;2004),VLOOKUP(K71,Minimas!$A$15:$F$29,4),IF(AND(H71&gt;2003,H71&lt;2006),VLOOKUP(K71,Minimas!$A$15:$F$29,3),VLOOKUP(K71,Minimas!$A$15:$F$29,2))))),IF(H71&lt;1999,VLOOKUP(K71,Minimas!$G$15:$L$29,6),IF(AND(H71&gt;1998,H71&lt;2002),VLOOKUP(K71,Minimas!$G$15:$L$29,5),IF(AND(H71&gt;2001,H71&lt;2004),VLOOKUP(K71,Minimas!$G$15:$L$29,4),IF(AND(H71&gt;2003,H71&lt;2006),VLOOKUP(K71,Minimas!$G$15:$L$29,3),VLOOKUP(K71,Minimas!$G$15:$L$29,2)))))))</f>
        <v>U20 M81</v>
      </c>
      <c r="W71" s="49">
        <f t="shared" si="19"/>
        <v>160.08711262880794</v>
      </c>
      <c r="X71" s="184">
        <v>43435</v>
      </c>
      <c r="Y71" s="284" t="s">
        <v>509</v>
      </c>
      <c r="Z71" s="284" t="s">
        <v>511</v>
      </c>
      <c r="AA71" s="232"/>
      <c r="AB71" s="230">
        <f>T71-HLOOKUP(V71,Minimas!$C$3:$CD$12,2,FALSE)</f>
        <v>-5</v>
      </c>
      <c r="AC71" s="230">
        <f>T71-HLOOKUP(V71,Minimas!$C$3:$CD$12,3,FALSE)</f>
        <v>-25</v>
      </c>
      <c r="AD71" s="230">
        <f>T71-HLOOKUP(V71,Minimas!$C$3:$CD$12,4,FALSE)</f>
        <v>-45</v>
      </c>
      <c r="AE71" s="230">
        <f>T71-HLOOKUP(V71,Minimas!$C$3:$CD$12,5,FALSE)</f>
        <v>-65</v>
      </c>
      <c r="AF71" s="230">
        <f>T71-HLOOKUP(V71,Minimas!$C$3:$CD$12,6,FALSE)</f>
        <v>-90</v>
      </c>
      <c r="AG71" s="230">
        <f>T71-HLOOKUP(V71,Minimas!$C$3:$CD$12,7,FALSE)</f>
        <v>-120</v>
      </c>
      <c r="AH71" s="230">
        <f>T71-HLOOKUP(V71,Minimas!$C$3:$CD$12,8,FALSE)</f>
        <v>-145</v>
      </c>
      <c r="AI71" s="230">
        <f>T71-HLOOKUP(V71,Minimas!$C$3:$CD$12,9,FALSE)</f>
        <v>-170</v>
      </c>
      <c r="AJ71" s="230">
        <f>T71-HLOOKUP(V71,Minimas!$C$3:$CD$12,10,FALSE)</f>
        <v>-210</v>
      </c>
      <c r="AK71" s="231" t="str">
        <f t="shared" si="20"/>
        <v>DEB</v>
      </c>
      <c r="AL71" s="232"/>
      <c r="AM71" s="232" t="str">
        <f t="shared" si="21"/>
        <v>DEB</v>
      </c>
      <c r="AN71" s="232">
        <f t="shared" si="22"/>
        <v>-5</v>
      </c>
      <c r="AO71" s="232"/>
      <c r="AP71" s="485"/>
      <c r="AQ71" s="485"/>
      <c r="AR71" s="485"/>
      <c r="AS71" s="485"/>
      <c r="AT71" s="485"/>
      <c r="AU71" s="485"/>
      <c r="AV71" s="485"/>
      <c r="AW71" s="485"/>
      <c r="AX71" s="485"/>
      <c r="AY71" s="485"/>
      <c r="AZ71" s="485"/>
      <c r="BA71" s="485"/>
      <c r="BB71" s="485"/>
      <c r="BC71" s="485"/>
      <c r="BD71" s="485"/>
      <c r="BE71" s="485"/>
      <c r="BF71" s="485"/>
      <c r="BG71" s="485"/>
      <c r="BH71" s="485"/>
      <c r="BI71" s="485"/>
      <c r="BJ71" s="485"/>
      <c r="BK71" s="485"/>
      <c r="BL71" s="485"/>
      <c r="BM71" s="485"/>
      <c r="BN71" s="485"/>
      <c r="BO71" s="485"/>
      <c r="BP71" s="485"/>
      <c r="BQ71" s="485"/>
      <c r="BR71" s="485"/>
      <c r="BS71" s="485"/>
      <c r="BT71" s="485"/>
      <c r="BU71" s="485"/>
      <c r="BV71" s="485"/>
      <c r="BW71" s="485"/>
      <c r="BX71" s="485"/>
      <c r="BY71" s="485"/>
      <c r="BZ71" s="485"/>
      <c r="CA71" s="485"/>
      <c r="CB71" s="485"/>
      <c r="CC71" s="485"/>
      <c r="CD71" s="485"/>
      <c r="CE71" s="485"/>
      <c r="CF71" s="485"/>
      <c r="CG71" s="485"/>
      <c r="CH71" s="485"/>
      <c r="CI71" s="485"/>
      <c r="CJ71" s="485"/>
      <c r="CK71" s="485"/>
      <c r="CL71" s="485"/>
      <c r="CM71" s="485"/>
      <c r="CN71" s="485"/>
      <c r="CO71" s="485"/>
      <c r="CP71" s="485"/>
      <c r="CQ71" s="485"/>
      <c r="CR71" s="485"/>
      <c r="CS71" s="485"/>
      <c r="CT71" s="485"/>
      <c r="CU71" s="485"/>
      <c r="CV71" s="485"/>
      <c r="CW71" s="485"/>
      <c r="CX71" s="485"/>
      <c r="CY71" s="485"/>
      <c r="CZ71" s="485"/>
      <c r="DA71" s="485"/>
      <c r="DB71" s="485"/>
      <c r="DC71" s="485"/>
      <c r="DD71" s="485"/>
      <c r="DE71" s="485"/>
      <c r="DF71" s="485"/>
      <c r="DG71" s="485"/>
      <c r="DH71" s="485"/>
      <c r="DI71" s="485"/>
      <c r="DJ71" s="485"/>
      <c r="DK71" s="485"/>
      <c r="DL71" s="485"/>
      <c r="DM71" s="485"/>
      <c r="DN71" s="485"/>
      <c r="DO71" s="485"/>
      <c r="DP71" s="485"/>
      <c r="DQ71" s="485"/>
      <c r="DR71" s="485"/>
      <c r="DS71" s="485"/>
      <c r="DT71" s="485"/>
    </row>
    <row r="72" spans="1:124" s="5" customFormat="1" ht="30" customHeight="1" x14ac:dyDescent="0.25">
      <c r="B72" s="516" t="s">
        <v>543</v>
      </c>
      <c r="C72" s="516">
        <v>446451</v>
      </c>
      <c r="D72" s="540"/>
      <c r="E72" s="168" t="s">
        <v>40</v>
      </c>
      <c r="F72" s="143" t="s">
        <v>471</v>
      </c>
      <c r="G72" s="144" t="s">
        <v>472</v>
      </c>
      <c r="H72" s="145">
        <v>2001</v>
      </c>
      <c r="I72" s="569" t="s">
        <v>170</v>
      </c>
      <c r="J72" s="146" t="s">
        <v>44</v>
      </c>
      <c r="K72" s="587">
        <v>76.900000000000006</v>
      </c>
      <c r="L72" s="118">
        <v>45</v>
      </c>
      <c r="M72" s="118">
        <v>50</v>
      </c>
      <c r="N72" s="118">
        <v>55</v>
      </c>
      <c r="O72" s="358">
        <f t="shared" si="15"/>
        <v>55</v>
      </c>
      <c r="P72" s="118">
        <v>57</v>
      </c>
      <c r="Q72" s="118">
        <v>62</v>
      </c>
      <c r="R72" s="118">
        <v>66</v>
      </c>
      <c r="S72" s="358">
        <f t="shared" si="16"/>
        <v>66</v>
      </c>
      <c r="T72" s="359">
        <f t="shared" si="23"/>
        <v>121</v>
      </c>
      <c r="U72" s="360" t="str">
        <f t="shared" si="18"/>
        <v>DEB -9</v>
      </c>
      <c r="V72" s="360" t="str">
        <f>IF(E72=0," ",IF(E72="H",IF(H72&lt;1999,VLOOKUP(K72,[3]Minimas!$A$15:$F$29,6),IF(AND(H72&gt;1998,H72&lt;2002),VLOOKUP(K72,[3]Minimas!$A$15:$F$29,5),IF(AND(H72&gt;2001,H72&lt;2004),VLOOKUP(K72,[3]Minimas!$A$15:$F$29,4),IF(AND(H72&gt;2003,H72&lt;2006),VLOOKUP(K72,[3]Minimas!$A$15:$F$29,3),VLOOKUP(K72,[3]Minimas!$A$15:$F$29,2))))),IF(H72&lt;1999,VLOOKUP(K72,[3]Minimas!$G$15:$L$29,6),IF(AND(H72&gt;1998,H72&lt;2002),VLOOKUP(K72,[3]Minimas!$G$15:$L$29,5),IF(AND(H72&gt;2001,H72&lt;2004),VLOOKUP(K72,[3]Minimas!$G$15:$L$29,4),IF(AND(H72&gt;2003,H72&lt;2006),VLOOKUP(K72,[3]Minimas!$G$15:$L$29,3),VLOOKUP(K72,[3]Minimas!$G$15:$L$29,2)))))))</f>
        <v>U20 M81</v>
      </c>
      <c r="W72" s="361">
        <f t="shared" si="19"/>
        <v>151.13229334848398</v>
      </c>
      <c r="X72" s="257">
        <v>43610</v>
      </c>
      <c r="Y72" s="261" t="s">
        <v>892</v>
      </c>
      <c r="Z72" s="261" t="s">
        <v>829</v>
      </c>
      <c r="AA72" s="232"/>
      <c r="AB72" s="230">
        <f>T72-HLOOKUP(V72,[3]Minimas!$C$3:$CD$12,2,FALSE)</f>
        <v>-9</v>
      </c>
      <c r="AC72" s="230">
        <f>T72-HLOOKUP(V72,[3]Minimas!$C$3:$CD$12,3,FALSE)</f>
        <v>-29</v>
      </c>
      <c r="AD72" s="230">
        <f>T72-HLOOKUP(V72,[3]Minimas!$C$3:$CD$12,4,FALSE)</f>
        <v>-49</v>
      </c>
      <c r="AE72" s="230">
        <f>T72-HLOOKUP(V72,[3]Minimas!$C$3:$CD$12,5,FALSE)</f>
        <v>-69</v>
      </c>
      <c r="AF72" s="230">
        <f>T72-HLOOKUP(V72,[3]Minimas!$C$3:$CD$12,6,FALSE)</f>
        <v>-94</v>
      </c>
      <c r="AG72" s="230">
        <f>T72-HLOOKUP(V72,[3]Minimas!$C$3:$CD$12,7,FALSE)</f>
        <v>-124</v>
      </c>
      <c r="AH72" s="230">
        <f>T72-HLOOKUP(V72,[3]Minimas!$C$3:$CD$12,8,FALSE)</f>
        <v>-149</v>
      </c>
      <c r="AI72" s="230">
        <f>T72-HLOOKUP(V72,[3]Minimas!$C$3:$CD$12,9,FALSE)</f>
        <v>-174</v>
      </c>
      <c r="AJ72" s="230">
        <f>T72-HLOOKUP(V72,[3]Minimas!$C$3:$CD$12,10,FALSE)</f>
        <v>-214</v>
      </c>
      <c r="AK72" s="231" t="str">
        <f t="shared" si="20"/>
        <v>DEB</v>
      </c>
      <c r="AL72" s="232"/>
      <c r="AM72" s="232" t="str">
        <f t="shared" si="21"/>
        <v>DEB</v>
      </c>
      <c r="AN72" s="232">
        <f t="shared" si="22"/>
        <v>-9</v>
      </c>
      <c r="AO72" s="232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  <c r="BM72" s="38"/>
      <c r="BN72" s="38"/>
      <c r="BO72" s="38"/>
      <c r="BP72" s="38"/>
      <c r="BQ72" s="38"/>
      <c r="BR72" s="38"/>
      <c r="BS72" s="38"/>
      <c r="BT72" s="38"/>
      <c r="BU72" s="38"/>
      <c r="BV72" s="38"/>
      <c r="BW72" s="38"/>
      <c r="BX72" s="38"/>
      <c r="BY72" s="38"/>
      <c r="BZ72" s="38"/>
      <c r="CA72" s="38"/>
      <c r="CB72" s="38"/>
      <c r="CC72" s="38"/>
      <c r="CD72" s="38"/>
      <c r="CE72" s="38"/>
      <c r="CF72" s="38"/>
      <c r="CG72" s="38"/>
      <c r="CH72" s="38"/>
      <c r="CI72" s="38"/>
      <c r="CJ72" s="38"/>
      <c r="CK72" s="38"/>
      <c r="CL72" s="38"/>
      <c r="CM72" s="38"/>
      <c r="CN72" s="38"/>
      <c r="CO72" s="38"/>
      <c r="CP72" s="38"/>
      <c r="CQ72" s="38"/>
      <c r="CR72" s="38"/>
      <c r="CS72" s="38"/>
      <c r="CT72" s="38"/>
      <c r="CU72" s="38"/>
      <c r="CV72" s="38"/>
      <c r="CW72" s="38"/>
      <c r="CX72" s="38"/>
      <c r="CY72" s="38"/>
      <c r="CZ72" s="38"/>
      <c r="DA72" s="38"/>
      <c r="DB72" s="38"/>
      <c r="DC72" s="38"/>
      <c r="DD72" s="38"/>
      <c r="DE72" s="38"/>
      <c r="DF72" s="38"/>
      <c r="DG72" s="38"/>
      <c r="DH72" s="38"/>
      <c r="DI72" s="38"/>
      <c r="DJ72" s="38"/>
      <c r="DK72" s="38"/>
      <c r="DL72" s="38"/>
      <c r="DM72" s="38"/>
      <c r="DN72" s="38"/>
      <c r="DO72" s="38"/>
      <c r="DP72" s="38"/>
      <c r="DQ72" s="38"/>
      <c r="DR72" s="38"/>
      <c r="DS72" s="38"/>
      <c r="DT72" s="38"/>
    </row>
    <row r="73" spans="1:124" s="5" customFormat="1" ht="30" customHeight="1" x14ac:dyDescent="0.3">
      <c r="A73" s="484"/>
      <c r="B73" s="136" t="s">
        <v>543</v>
      </c>
      <c r="C73" s="116">
        <v>435329</v>
      </c>
      <c r="D73" s="119"/>
      <c r="E73" s="175" t="s">
        <v>40</v>
      </c>
      <c r="F73" s="124" t="s">
        <v>149</v>
      </c>
      <c r="G73" s="125" t="s">
        <v>323</v>
      </c>
      <c r="H73" s="156">
        <v>2000</v>
      </c>
      <c r="I73" s="158" t="s">
        <v>324</v>
      </c>
      <c r="J73" s="104" t="s">
        <v>44</v>
      </c>
      <c r="K73" s="126">
        <v>74.900000000000006</v>
      </c>
      <c r="L73" s="161">
        <v>-67</v>
      </c>
      <c r="M73" s="161">
        <v>-70</v>
      </c>
      <c r="N73" s="161">
        <v>-70</v>
      </c>
      <c r="O73" s="490">
        <f t="shared" si="15"/>
        <v>0</v>
      </c>
      <c r="P73" s="133">
        <v>80</v>
      </c>
      <c r="Q73" s="133">
        <v>85</v>
      </c>
      <c r="R73" s="133">
        <v>-90</v>
      </c>
      <c r="S73" s="490">
        <f t="shared" si="16"/>
        <v>85</v>
      </c>
      <c r="T73" s="489">
        <f t="shared" si="23"/>
        <v>0</v>
      </c>
      <c r="U73" s="48" t="str">
        <f t="shared" si="18"/>
        <v>DEB -130</v>
      </c>
      <c r="V73" s="48" t="str">
        <f>IF(E73=0," ",IF(E73="H",IF(H73&lt;1999,VLOOKUP(K73,Minimas!$A$15:$F$29,6),IF(AND(H73&gt;1998,H73&lt;2002),VLOOKUP(K73,Minimas!$A$15:$F$29,5),IF(AND(H73&gt;2001,H73&lt;2004),VLOOKUP(K73,Minimas!$A$15:$F$29,4),IF(AND(H73&gt;2003,H73&lt;2006),VLOOKUP(K73,Minimas!$A$15:$F$29,3),VLOOKUP(K73,Minimas!$A$15:$F$29,2))))),IF(H73&lt;1999,VLOOKUP(K73,Minimas!$G$15:$L$29,6),IF(AND(H73&gt;1998,H73&lt;2002),VLOOKUP(K73,Minimas!$G$15:$L$29,5),IF(AND(H73&gt;2001,H73&lt;2004),VLOOKUP(K73,Minimas!$G$15:$L$29,4),IF(AND(H73&gt;2003,H73&lt;2006),VLOOKUP(K73,Minimas!$G$15:$L$29,3),VLOOKUP(K73,Minimas!$G$15:$L$29,2)))))))</f>
        <v>U20 M81</v>
      </c>
      <c r="W73" s="49">
        <f t="shared" si="19"/>
        <v>0</v>
      </c>
      <c r="X73" s="184">
        <v>43401</v>
      </c>
      <c r="Y73" s="284" t="s">
        <v>507</v>
      </c>
      <c r="Z73" s="284" t="s">
        <v>506</v>
      </c>
      <c r="AA73" s="232"/>
      <c r="AB73" s="230">
        <f>T73-HLOOKUP(V73,Minimas!$C$3:$CD$12,2,FALSE)</f>
        <v>-130</v>
      </c>
      <c r="AC73" s="230">
        <f>T73-HLOOKUP(V73,Minimas!$C$3:$CD$12,3,FALSE)</f>
        <v>-150</v>
      </c>
      <c r="AD73" s="230">
        <f>T73-HLOOKUP(V73,Minimas!$C$3:$CD$12,4,FALSE)</f>
        <v>-170</v>
      </c>
      <c r="AE73" s="230">
        <f>T73-HLOOKUP(V73,Minimas!$C$3:$CD$12,5,FALSE)</f>
        <v>-190</v>
      </c>
      <c r="AF73" s="230">
        <f>T73-HLOOKUP(V73,Minimas!$C$3:$CD$12,6,FALSE)</f>
        <v>-215</v>
      </c>
      <c r="AG73" s="230">
        <f>T73-HLOOKUP(V73,Minimas!$C$3:$CD$12,7,FALSE)</f>
        <v>-245</v>
      </c>
      <c r="AH73" s="230">
        <f>T73-HLOOKUP(V73,Minimas!$C$3:$CD$12,8,FALSE)</f>
        <v>-270</v>
      </c>
      <c r="AI73" s="230">
        <f>T73-HLOOKUP(V73,Minimas!$C$3:$CD$12,9,FALSE)</f>
        <v>-295</v>
      </c>
      <c r="AJ73" s="230">
        <f>T73-HLOOKUP(V73,Minimas!$C$3:$CD$12,10,FALSE)</f>
        <v>-335</v>
      </c>
      <c r="AK73" s="231" t="str">
        <f t="shared" si="20"/>
        <v>DEB</v>
      </c>
      <c r="AL73" s="232"/>
      <c r="AM73" s="232" t="str">
        <f t="shared" si="21"/>
        <v>DEB</v>
      </c>
      <c r="AN73" s="232">
        <f t="shared" si="22"/>
        <v>-130</v>
      </c>
      <c r="AO73" s="232"/>
      <c r="AP73" s="485"/>
      <c r="AQ73" s="485"/>
      <c r="AR73" s="485"/>
      <c r="AS73" s="485"/>
      <c r="AT73" s="485"/>
      <c r="AU73" s="485"/>
      <c r="AV73" s="485"/>
      <c r="AW73" s="485"/>
      <c r="AX73" s="485"/>
      <c r="AY73" s="485"/>
      <c r="AZ73" s="485"/>
      <c r="BA73" s="485"/>
      <c r="BB73" s="485"/>
      <c r="BC73" s="485"/>
      <c r="BD73" s="485"/>
      <c r="BE73" s="485"/>
      <c r="BF73" s="485"/>
      <c r="BG73" s="485"/>
      <c r="BH73" s="485"/>
      <c r="BI73" s="485"/>
      <c r="BJ73" s="485"/>
      <c r="BK73" s="485"/>
      <c r="BL73" s="485"/>
      <c r="BM73" s="485"/>
      <c r="BN73" s="485"/>
      <c r="BO73" s="485"/>
      <c r="BP73" s="485"/>
      <c r="BQ73" s="485"/>
      <c r="BR73" s="485"/>
      <c r="BS73" s="485"/>
      <c r="BT73" s="485"/>
      <c r="BU73" s="485"/>
      <c r="BV73" s="485"/>
      <c r="BW73" s="485"/>
      <c r="BX73" s="485"/>
      <c r="BY73" s="485"/>
      <c r="BZ73" s="485"/>
      <c r="CA73" s="485"/>
      <c r="CB73" s="485"/>
      <c r="CC73" s="485"/>
      <c r="CD73" s="485"/>
      <c r="CE73" s="485"/>
      <c r="CF73" s="485"/>
      <c r="CG73" s="485"/>
      <c r="CH73" s="485"/>
      <c r="CI73" s="485"/>
      <c r="CJ73" s="485"/>
      <c r="CK73" s="485"/>
      <c r="CL73" s="485"/>
      <c r="CM73" s="485"/>
      <c r="CN73" s="485"/>
      <c r="CO73" s="485"/>
      <c r="CP73" s="485"/>
      <c r="CQ73" s="485"/>
      <c r="CR73" s="485"/>
      <c r="CS73" s="485"/>
      <c r="CT73" s="485"/>
      <c r="CU73" s="485"/>
      <c r="CV73" s="485"/>
      <c r="CW73" s="485"/>
      <c r="CX73" s="485"/>
      <c r="CY73" s="485"/>
      <c r="CZ73" s="485"/>
      <c r="DA73" s="485"/>
      <c r="DB73" s="485"/>
      <c r="DC73" s="485"/>
      <c r="DD73" s="485"/>
      <c r="DE73" s="485"/>
      <c r="DF73" s="485"/>
      <c r="DG73" s="485"/>
      <c r="DH73" s="485"/>
      <c r="DI73" s="485"/>
      <c r="DJ73" s="485"/>
      <c r="DK73" s="485"/>
      <c r="DL73" s="485"/>
      <c r="DM73" s="485"/>
      <c r="DN73" s="485"/>
      <c r="DO73" s="485"/>
      <c r="DP73" s="485"/>
      <c r="DQ73" s="485"/>
      <c r="DR73" s="485"/>
      <c r="DS73" s="485"/>
      <c r="DT73" s="485"/>
    </row>
    <row r="74" spans="1:124" s="5" customFormat="1" ht="30" customHeight="1" x14ac:dyDescent="0.25">
      <c r="A74" s="484"/>
      <c r="B74" s="516" t="s">
        <v>543</v>
      </c>
      <c r="C74" s="524">
        <v>295872</v>
      </c>
      <c r="D74" s="530"/>
      <c r="E74" s="476" t="s">
        <v>40</v>
      </c>
      <c r="F74" s="728" t="s">
        <v>437</v>
      </c>
      <c r="G74" s="735" t="s">
        <v>883</v>
      </c>
      <c r="H74" s="215">
        <v>1999</v>
      </c>
      <c r="I74" s="564" t="s">
        <v>129</v>
      </c>
      <c r="J74" s="146" t="s">
        <v>44</v>
      </c>
      <c r="K74" s="200">
        <v>85.2</v>
      </c>
      <c r="L74" s="118">
        <v>98</v>
      </c>
      <c r="M74" s="118">
        <v>102</v>
      </c>
      <c r="N74" s="118">
        <v>104</v>
      </c>
      <c r="O74" s="358">
        <f t="shared" si="15"/>
        <v>104</v>
      </c>
      <c r="P74" s="118">
        <v>121</v>
      </c>
      <c r="Q74" s="118">
        <v>126</v>
      </c>
      <c r="R74" s="118">
        <v>130</v>
      </c>
      <c r="S74" s="358">
        <f t="shared" si="16"/>
        <v>130</v>
      </c>
      <c r="T74" s="359">
        <f t="shared" si="23"/>
        <v>234</v>
      </c>
      <c r="U74" s="360" t="str">
        <f t="shared" si="18"/>
        <v>FED + 9</v>
      </c>
      <c r="V74" s="360" t="str">
        <f>IF(E74=0," ",IF(E74="H",IF(H74&lt;1999,VLOOKUP(K74,[3]Minimas!$A$15:$F$29,6),IF(AND(H74&gt;1998,H74&lt;2002),VLOOKUP(K74,[3]Minimas!$A$15:$F$29,5),IF(AND(H74&gt;2001,H74&lt;2004),VLOOKUP(K74,[3]Minimas!$A$15:$F$29,4),IF(AND(H74&gt;2003,H74&lt;2006),VLOOKUP(K74,[3]Minimas!$A$15:$F$29,3),VLOOKUP(K74,[3]Minimas!$A$15:$F$29,2))))),IF(H74&lt;1999,VLOOKUP(K74,[3]Minimas!$G$15:$L$29,6),IF(AND(H74&gt;1998,H74&lt;2002),VLOOKUP(K74,[3]Minimas!$G$15:$L$29,5),IF(AND(H74&gt;2001,H74&lt;2004),VLOOKUP(K74,[3]Minimas!$G$15:$L$29,4),IF(AND(H74&gt;2003,H74&lt;2006),VLOOKUP(K74,[3]Minimas!$G$15:$L$29,3),VLOOKUP(K74,[3]Minimas!$G$15:$L$29,2)))))))</f>
        <v>U20 M89</v>
      </c>
      <c r="W74" s="361">
        <f t="shared" si="19"/>
        <v>277.51551587038341</v>
      </c>
      <c r="X74" s="257">
        <v>43610</v>
      </c>
      <c r="Y74" s="261" t="s">
        <v>881</v>
      </c>
      <c r="Z74" s="261" t="s">
        <v>882</v>
      </c>
      <c r="AA74" s="232"/>
      <c r="AB74" s="230">
        <f>T74-HLOOKUP(V74,[3]Minimas!$C$3:$CD$12,2,FALSE)</f>
        <v>99</v>
      </c>
      <c r="AC74" s="230">
        <f>T74-HLOOKUP(V74,[3]Minimas!$C$3:$CD$12,3,FALSE)</f>
        <v>74</v>
      </c>
      <c r="AD74" s="230">
        <f>T74-HLOOKUP(V74,[3]Minimas!$C$3:$CD$12,4,FALSE)</f>
        <v>54</v>
      </c>
      <c r="AE74" s="230">
        <f>T74-HLOOKUP(V74,[3]Minimas!$C$3:$CD$12,5,FALSE)</f>
        <v>34</v>
      </c>
      <c r="AF74" s="230">
        <f>T74-HLOOKUP(V74,[3]Minimas!$C$3:$CD$12,6,FALSE)</f>
        <v>9</v>
      </c>
      <c r="AG74" s="230">
        <f>T74-HLOOKUP(V74,[3]Minimas!$C$3:$CD$12,7,FALSE)</f>
        <v>-21</v>
      </c>
      <c r="AH74" s="230">
        <f>T74-HLOOKUP(V74,[3]Minimas!$C$3:$CD$12,8,FALSE)</f>
        <v>-51</v>
      </c>
      <c r="AI74" s="230">
        <f>T74-HLOOKUP(V74,[3]Minimas!$C$3:$CD$12,9,FALSE)</f>
        <v>-76</v>
      </c>
      <c r="AJ74" s="230">
        <f>T74-HLOOKUP(V74,[3]Minimas!$C$3:$CD$12,10,FALSE)</f>
        <v>-126</v>
      </c>
      <c r="AK74" s="231" t="str">
        <f t="shared" si="20"/>
        <v>FED +</v>
      </c>
      <c r="AL74" s="232"/>
      <c r="AM74" s="232" t="str">
        <f t="shared" si="21"/>
        <v>FED +</v>
      </c>
      <c r="AN74" s="232">
        <f t="shared" si="22"/>
        <v>9</v>
      </c>
      <c r="AO74" s="232"/>
      <c r="AP74" s="485"/>
      <c r="AQ74" s="485"/>
      <c r="AR74" s="485"/>
      <c r="AS74" s="485"/>
      <c r="AT74" s="485"/>
      <c r="AU74" s="485"/>
      <c r="AV74" s="485"/>
      <c r="AW74" s="485"/>
      <c r="AX74" s="485"/>
      <c r="AY74" s="485"/>
      <c r="AZ74" s="485"/>
      <c r="BA74" s="485"/>
      <c r="BB74" s="485"/>
      <c r="BC74" s="485"/>
      <c r="BD74" s="485"/>
      <c r="BE74" s="485"/>
      <c r="BF74" s="485"/>
      <c r="BG74" s="485"/>
      <c r="BH74" s="485"/>
      <c r="BI74" s="485"/>
      <c r="BJ74" s="485"/>
      <c r="BK74" s="485"/>
      <c r="BL74" s="485"/>
      <c r="BM74" s="485"/>
      <c r="BN74" s="485"/>
      <c r="BO74" s="485"/>
      <c r="BP74" s="485"/>
      <c r="BQ74" s="485"/>
      <c r="BR74" s="485"/>
      <c r="BS74" s="485"/>
      <c r="BT74" s="485"/>
      <c r="BU74" s="485"/>
      <c r="BV74" s="485"/>
      <c r="BW74" s="485"/>
      <c r="BX74" s="485"/>
      <c r="BY74" s="485"/>
      <c r="BZ74" s="485"/>
      <c r="CA74" s="485"/>
      <c r="CB74" s="485"/>
      <c r="CC74" s="485"/>
      <c r="CD74" s="485"/>
      <c r="CE74" s="485"/>
      <c r="CF74" s="485"/>
      <c r="CG74" s="485"/>
      <c r="CH74" s="485"/>
      <c r="CI74" s="485"/>
      <c r="CJ74" s="485"/>
      <c r="CK74" s="485"/>
      <c r="CL74" s="485"/>
      <c r="CM74" s="485"/>
      <c r="CN74" s="485"/>
      <c r="CO74" s="485"/>
      <c r="CP74" s="485"/>
      <c r="CQ74" s="485"/>
      <c r="CR74" s="485"/>
      <c r="CS74" s="485"/>
      <c r="CT74" s="485"/>
      <c r="CU74" s="485"/>
      <c r="CV74" s="485"/>
      <c r="CW74" s="485"/>
      <c r="CX74" s="485"/>
      <c r="CY74" s="485"/>
      <c r="CZ74" s="485"/>
      <c r="DA74" s="485"/>
      <c r="DB74" s="485"/>
      <c r="DC74" s="485"/>
      <c r="DD74" s="485"/>
      <c r="DE74" s="485"/>
      <c r="DF74" s="485"/>
      <c r="DG74" s="485"/>
      <c r="DH74" s="485"/>
      <c r="DI74" s="485"/>
      <c r="DJ74" s="485"/>
      <c r="DK74" s="485"/>
      <c r="DL74" s="485"/>
      <c r="DM74" s="485"/>
      <c r="DN74" s="485"/>
      <c r="DO74" s="485"/>
      <c r="DP74" s="485"/>
      <c r="DQ74" s="485"/>
      <c r="DR74" s="485"/>
      <c r="DS74" s="485"/>
      <c r="DT74" s="485"/>
    </row>
    <row r="75" spans="1:124" s="5" customFormat="1" ht="30" customHeight="1" x14ac:dyDescent="0.25">
      <c r="B75" s="521" t="s">
        <v>543</v>
      </c>
      <c r="C75" s="166">
        <v>408496</v>
      </c>
      <c r="D75" s="167"/>
      <c r="E75" s="476" t="s">
        <v>40</v>
      </c>
      <c r="F75" s="217" t="s">
        <v>631</v>
      </c>
      <c r="G75" s="144" t="s">
        <v>632</v>
      </c>
      <c r="H75" s="218">
        <v>2001</v>
      </c>
      <c r="I75" s="169" t="s">
        <v>633</v>
      </c>
      <c r="J75" s="168" t="s">
        <v>44</v>
      </c>
      <c r="K75" s="147">
        <v>87.07</v>
      </c>
      <c r="L75" s="148">
        <v>-92</v>
      </c>
      <c r="M75" s="118">
        <v>96</v>
      </c>
      <c r="N75" s="118">
        <v>101</v>
      </c>
      <c r="O75" s="202">
        <f t="shared" si="15"/>
        <v>101</v>
      </c>
      <c r="P75" s="118">
        <v>115</v>
      </c>
      <c r="Q75" s="118">
        <v>120</v>
      </c>
      <c r="R75" s="118">
        <v>124</v>
      </c>
      <c r="S75" s="202">
        <f t="shared" si="16"/>
        <v>124</v>
      </c>
      <c r="T75" s="203">
        <f t="shared" si="23"/>
        <v>225</v>
      </c>
      <c r="U75" s="204" t="str">
        <f t="shared" si="18"/>
        <v>FED + 0</v>
      </c>
      <c r="V75" s="204" t="str">
        <f>IF(E75=0," ",IF(E75="H",IF(H75&lt;1999,VLOOKUP(K75,Minimas!$A$15:$F$29,6),IF(AND(H75&gt;1998,H75&lt;2002),VLOOKUP(K75,Minimas!$A$15:$F$29,5),IF(AND(H75&gt;2001,H75&lt;2004),VLOOKUP(K75,Minimas!$A$15:$F$29,4),IF(AND(H75&gt;2003,H75&lt;2006),VLOOKUP(K75,Minimas!$A$15:$F$29,3),VLOOKUP(K75,Minimas!$A$15:$F$29,2))))),IF(H75&lt;1999,VLOOKUP(K75,Minimas!$G$15:$L$29,6),IF(AND(H75&gt;1998,H75&lt;2002),VLOOKUP(K75,Minimas!$G$15:$L$29,5),IF(AND(H75&gt;2001,H75&lt;2004),VLOOKUP(K75,Minimas!$G$15:$L$29,4),IF(AND(H75&gt;2003,H75&lt;2006),VLOOKUP(K75,Minimas!$G$15:$L$29,3),VLOOKUP(K75,Minimas!$G$15:$L$29,2)))))))</f>
        <v>U20 M89</v>
      </c>
      <c r="W75" s="205">
        <f t="shared" si="19"/>
        <v>264.16194437009415</v>
      </c>
      <c r="X75" s="257">
        <v>43485</v>
      </c>
      <c r="Y75" s="261" t="s">
        <v>640</v>
      </c>
      <c r="Z75" s="261" t="s">
        <v>514</v>
      </c>
      <c r="AA75" s="232"/>
      <c r="AB75" s="230">
        <f>T75-HLOOKUP(V75,Minimas!$C$3:$CD$12,2,FALSE)</f>
        <v>90</v>
      </c>
      <c r="AC75" s="230">
        <f>T75-HLOOKUP(V75,Minimas!$C$3:$CD$12,3,FALSE)</f>
        <v>65</v>
      </c>
      <c r="AD75" s="230">
        <f>T75-HLOOKUP(V75,Minimas!$C$3:$CD$12,4,FALSE)</f>
        <v>45</v>
      </c>
      <c r="AE75" s="230">
        <f>T75-HLOOKUP(V75,Minimas!$C$3:$CD$12,5,FALSE)</f>
        <v>25</v>
      </c>
      <c r="AF75" s="230">
        <f>T75-HLOOKUP(V75,Minimas!$C$3:$CD$12,6,FALSE)</f>
        <v>0</v>
      </c>
      <c r="AG75" s="230">
        <f>T75-HLOOKUP(V75,Minimas!$C$3:$CD$12,7,FALSE)</f>
        <v>-30</v>
      </c>
      <c r="AH75" s="230">
        <f>T75-HLOOKUP(V75,Minimas!$C$3:$CD$12,8,FALSE)</f>
        <v>-60</v>
      </c>
      <c r="AI75" s="230">
        <f>T75-HLOOKUP(V75,Minimas!$C$3:$CD$12,9,FALSE)</f>
        <v>-85</v>
      </c>
      <c r="AJ75" s="230">
        <f>T75-HLOOKUP(V75,Minimas!$C$3:$CD$12,10,FALSE)</f>
        <v>-135</v>
      </c>
      <c r="AK75" s="231" t="str">
        <f t="shared" si="20"/>
        <v>FED +</v>
      </c>
      <c r="AL75" s="232"/>
      <c r="AM75" s="232" t="str">
        <f t="shared" si="21"/>
        <v>FED +</v>
      </c>
      <c r="AN75" s="232">
        <f t="shared" si="22"/>
        <v>0</v>
      </c>
      <c r="AO75" s="232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38"/>
      <c r="BM75" s="38"/>
      <c r="BN75" s="38"/>
      <c r="BO75" s="38"/>
      <c r="BP75" s="38"/>
      <c r="BQ75" s="38"/>
      <c r="BR75" s="38"/>
      <c r="BS75" s="38"/>
      <c r="BT75" s="38"/>
      <c r="BU75" s="38"/>
      <c r="BV75" s="38"/>
      <c r="BW75" s="38"/>
      <c r="BX75" s="38"/>
      <c r="BY75" s="38"/>
      <c r="BZ75" s="38"/>
      <c r="CA75" s="38"/>
      <c r="CB75" s="38"/>
      <c r="CC75" s="38"/>
      <c r="CD75" s="38"/>
      <c r="CE75" s="38"/>
      <c r="CF75" s="38"/>
      <c r="CG75" s="38"/>
      <c r="CH75" s="38"/>
      <c r="CI75" s="38"/>
      <c r="CJ75" s="38"/>
      <c r="CK75" s="38"/>
      <c r="CL75" s="38"/>
      <c r="CM75" s="38"/>
      <c r="CN75" s="38"/>
      <c r="CO75" s="38"/>
      <c r="CP75" s="38"/>
      <c r="CQ75" s="38"/>
      <c r="CR75" s="38"/>
      <c r="CS75" s="38"/>
      <c r="CT75" s="38"/>
      <c r="CU75" s="38"/>
      <c r="CV75" s="38"/>
      <c r="CW75" s="38"/>
      <c r="CX75" s="38"/>
      <c r="CY75" s="38"/>
      <c r="CZ75" s="38"/>
      <c r="DA75" s="38"/>
      <c r="DB75" s="38"/>
      <c r="DC75" s="38"/>
      <c r="DD75" s="38"/>
      <c r="DE75" s="38"/>
      <c r="DF75" s="38"/>
      <c r="DG75" s="38"/>
      <c r="DH75" s="38"/>
      <c r="DI75" s="38"/>
      <c r="DJ75" s="38"/>
      <c r="DK75" s="38"/>
      <c r="DL75" s="38"/>
      <c r="DM75" s="38"/>
      <c r="DN75" s="38"/>
      <c r="DO75" s="38"/>
      <c r="DP75" s="38"/>
      <c r="DQ75" s="38"/>
      <c r="DR75" s="38"/>
      <c r="DS75" s="38"/>
      <c r="DT75" s="38"/>
    </row>
    <row r="76" spans="1:124" s="5" customFormat="1" ht="30" customHeight="1" x14ac:dyDescent="0.25">
      <c r="B76" s="136" t="s">
        <v>543</v>
      </c>
      <c r="C76" s="166">
        <v>444433</v>
      </c>
      <c r="D76" s="167"/>
      <c r="E76" s="476" t="s">
        <v>40</v>
      </c>
      <c r="F76" s="217" t="s">
        <v>315</v>
      </c>
      <c r="G76" s="144" t="s">
        <v>316</v>
      </c>
      <c r="H76" s="218">
        <v>1999</v>
      </c>
      <c r="I76" s="170" t="s">
        <v>540</v>
      </c>
      <c r="J76" s="168" t="s">
        <v>44</v>
      </c>
      <c r="K76" s="147">
        <v>85</v>
      </c>
      <c r="L76" s="118">
        <v>85</v>
      </c>
      <c r="M76" s="118">
        <v>89</v>
      </c>
      <c r="N76" s="118">
        <v>92</v>
      </c>
      <c r="O76" s="490">
        <f t="shared" si="15"/>
        <v>92</v>
      </c>
      <c r="P76" s="118">
        <v>110</v>
      </c>
      <c r="Q76" s="148">
        <v>-114</v>
      </c>
      <c r="R76" s="118">
        <v>115</v>
      </c>
      <c r="S76" s="490">
        <f t="shared" si="16"/>
        <v>115</v>
      </c>
      <c r="T76" s="489">
        <f t="shared" si="23"/>
        <v>207</v>
      </c>
      <c r="U76" s="48" t="str">
        <f t="shared" si="18"/>
        <v>IRG + 7</v>
      </c>
      <c r="V76" s="48" t="str">
        <f>IF(E76=0," ",IF(E76="H",IF(H76&lt;1999,VLOOKUP(K76,[8]Minimas!$A$15:$F$29,6),IF(AND(H76&gt;1998,H76&lt;2002),VLOOKUP(K76,[8]Minimas!$A$15:$F$29,5),IF(AND(H76&gt;2001,H76&lt;2004),VLOOKUP(K76,[8]Minimas!$A$15:$F$29,4),IF(AND(H76&gt;2003,H76&lt;2006),VLOOKUP(K76,[8]Minimas!$A$15:$F$29,3),VLOOKUP(K76,[8]Minimas!$A$15:$F$29,2))))),IF(H76&lt;1999,VLOOKUP(K76,[8]Minimas!$G$15:$L$29,6),IF(AND(H76&gt;1998,H76&lt;2002),VLOOKUP(K76,[8]Minimas!$G$15:$L$29,5),IF(AND(H76&gt;2001,H76&lt;2004),VLOOKUP(K76,[8]Minimas!$G$15:$L$29,4),IF(AND(H76&gt;2003,H76&lt;2006),VLOOKUP(K76,[8]Minimas!$G$15:$L$29,3),VLOOKUP(K76,[8]Minimas!$G$15:$L$29,2)))))))</f>
        <v>U20 M89</v>
      </c>
      <c r="W76" s="49">
        <f t="shared" si="19"/>
        <v>245.7674162368225</v>
      </c>
      <c r="X76" s="257">
        <v>43526</v>
      </c>
      <c r="Y76" s="261" t="s">
        <v>705</v>
      </c>
      <c r="Z76" s="261" t="s">
        <v>704</v>
      </c>
      <c r="AA76" s="232"/>
      <c r="AB76" s="230">
        <f>T76-HLOOKUP(V76,[8]Minimas!$C$3:$CD$12,2,FALSE)</f>
        <v>72</v>
      </c>
      <c r="AC76" s="230">
        <f>T76-HLOOKUP(V76,[8]Minimas!$C$3:$CD$12,3,FALSE)</f>
        <v>47</v>
      </c>
      <c r="AD76" s="230">
        <f>T76-HLOOKUP(V76,[8]Minimas!$C$3:$CD$12,4,FALSE)</f>
        <v>27</v>
      </c>
      <c r="AE76" s="230">
        <f>T76-HLOOKUP(V76,[8]Minimas!$C$3:$CD$12,5,FALSE)</f>
        <v>7</v>
      </c>
      <c r="AF76" s="230">
        <f>T76-HLOOKUP(V76,[8]Minimas!$C$3:$CD$12,6,FALSE)</f>
        <v>-18</v>
      </c>
      <c r="AG76" s="230">
        <f>T76-HLOOKUP(V76,[8]Minimas!$C$3:$CD$12,7,FALSE)</f>
        <v>-48</v>
      </c>
      <c r="AH76" s="230">
        <f>T76-HLOOKUP(V76,[8]Minimas!$C$3:$CD$12,8,FALSE)</f>
        <v>-78</v>
      </c>
      <c r="AI76" s="230">
        <f>T76-HLOOKUP(V76,[8]Minimas!$C$3:$CD$12,9,FALSE)</f>
        <v>-103</v>
      </c>
      <c r="AJ76" s="230">
        <f>T76-HLOOKUP(V76,[8]Minimas!$C$3:$CD$12,10,FALSE)</f>
        <v>-153</v>
      </c>
      <c r="AK76" s="231" t="str">
        <f t="shared" si="20"/>
        <v>IRG +</v>
      </c>
      <c r="AL76" s="232"/>
      <c r="AM76" s="232" t="str">
        <f t="shared" si="21"/>
        <v>IRG +</v>
      </c>
      <c r="AN76" s="232">
        <f t="shared" si="22"/>
        <v>7</v>
      </c>
      <c r="AO76" s="232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38"/>
      <c r="BM76" s="38"/>
      <c r="BN76" s="38"/>
      <c r="BO76" s="38"/>
      <c r="BP76" s="38"/>
      <c r="BQ76" s="38"/>
      <c r="BR76" s="38"/>
      <c r="BS76" s="38"/>
      <c r="BT76" s="38"/>
      <c r="BU76" s="38"/>
      <c r="BV76" s="38"/>
      <c r="BW76" s="38"/>
      <c r="BX76" s="38"/>
      <c r="BY76" s="38"/>
      <c r="BZ76" s="38"/>
      <c r="CA76" s="38"/>
      <c r="CB76" s="38"/>
      <c r="CC76" s="38"/>
      <c r="CD76" s="38"/>
      <c r="CE76" s="38"/>
      <c r="CF76" s="38"/>
      <c r="CG76" s="38"/>
      <c r="CH76" s="38"/>
      <c r="CI76" s="38"/>
      <c r="CJ76" s="38"/>
      <c r="CK76" s="38"/>
      <c r="CL76" s="38"/>
      <c r="CM76" s="38"/>
      <c r="CN76" s="38"/>
      <c r="CO76" s="38"/>
      <c r="CP76" s="38"/>
      <c r="CQ76" s="38"/>
      <c r="CR76" s="38"/>
      <c r="CS76" s="38"/>
      <c r="CT76" s="38"/>
      <c r="CU76" s="38"/>
      <c r="CV76" s="38"/>
      <c r="CW76" s="38"/>
      <c r="CX76" s="38"/>
      <c r="CY76" s="38"/>
      <c r="CZ76" s="38"/>
      <c r="DA76" s="38"/>
      <c r="DB76" s="38"/>
      <c r="DC76" s="38"/>
      <c r="DD76" s="38"/>
      <c r="DE76" s="38"/>
      <c r="DF76" s="38"/>
      <c r="DG76" s="38"/>
      <c r="DH76" s="38"/>
      <c r="DI76" s="38"/>
      <c r="DJ76" s="38"/>
      <c r="DK76" s="38"/>
      <c r="DL76" s="38"/>
      <c r="DM76" s="38"/>
      <c r="DN76" s="38"/>
      <c r="DO76" s="38"/>
      <c r="DP76" s="38"/>
      <c r="DQ76" s="38"/>
      <c r="DR76" s="38"/>
      <c r="DS76" s="38"/>
      <c r="DT76" s="38"/>
    </row>
    <row r="77" spans="1:124" s="5" customFormat="1" ht="30" customHeight="1" x14ac:dyDescent="0.25">
      <c r="A77" s="1"/>
      <c r="B77" s="136" t="s">
        <v>543</v>
      </c>
      <c r="C77" s="516">
        <v>450091</v>
      </c>
      <c r="D77" s="167"/>
      <c r="E77" s="476" t="s">
        <v>40</v>
      </c>
      <c r="F77" s="143" t="s">
        <v>788</v>
      </c>
      <c r="G77" s="144" t="s">
        <v>789</v>
      </c>
      <c r="H77" s="145">
        <v>2000</v>
      </c>
      <c r="I77" s="172" t="s">
        <v>214</v>
      </c>
      <c r="J77" s="146" t="s">
        <v>44</v>
      </c>
      <c r="K77" s="200">
        <v>81.2</v>
      </c>
      <c r="L77" s="118">
        <v>70</v>
      </c>
      <c r="M77" s="118">
        <v>75</v>
      </c>
      <c r="N77" s="118">
        <v>80</v>
      </c>
      <c r="O77" s="358">
        <f t="shared" si="15"/>
        <v>80</v>
      </c>
      <c r="P77" s="118">
        <v>90</v>
      </c>
      <c r="Q77" s="118">
        <v>95</v>
      </c>
      <c r="R77" s="118">
        <v>100</v>
      </c>
      <c r="S77" s="358">
        <f t="shared" si="16"/>
        <v>100</v>
      </c>
      <c r="T77" s="359">
        <f>IF(E77="","",O77+S77)</f>
        <v>180</v>
      </c>
      <c r="U77" s="360" t="str">
        <f t="shared" ref="U77:U96" si="24">+CONCATENATE(AM77," ",AN77)</f>
        <v>REG + 0</v>
      </c>
      <c r="V77" s="360" t="str">
        <f>IF(E77=0," ",IF(E77="H",IF(H77&lt;1999,VLOOKUP(K77,[22]Minimas!$A$15:$F$29,6),IF(AND(H77&gt;1998,H77&lt;2002),VLOOKUP(K77,[22]Minimas!$A$15:$F$29,5),IF(AND(H77&gt;2001,H77&lt;2004),VLOOKUP(K77,[22]Minimas!$A$15:$F$29,4),IF(AND(H77&gt;2003,H77&lt;2006),VLOOKUP(K77,[22]Minimas!$A$15:$F$29,3),VLOOKUP(K77,[22]Minimas!$A$15:$F$29,2))))),IF(H77&lt;1999,VLOOKUP(K77,[22]Minimas!$G$15:$L$29,6),IF(AND(H77&gt;1998,H77&lt;2002),VLOOKUP(K77,[22]Minimas!$G$15:$L$29,5),IF(AND(H77&gt;2001,H77&lt;2004),VLOOKUP(K77,[22]Minimas!$G$15:$L$29,4),IF(AND(H77&gt;2003,H77&lt;2006),VLOOKUP(K77,[22]Minimas!$G$15:$L$29,3),VLOOKUP(K77,[22]Minimas!$G$15:$L$29,2)))))))</f>
        <v>U20 M89</v>
      </c>
      <c r="W77" s="361">
        <f t="shared" si="19"/>
        <v>218.53904712776549</v>
      </c>
      <c r="X77" s="257">
        <v>43540</v>
      </c>
      <c r="Y77" s="261" t="s">
        <v>714</v>
      </c>
      <c r="Z77" s="261" t="s">
        <v>511</v>
      </c>
      <c r="AA77" s="463"/>
      <c r="AB77" s="230">
        <f>T77-HLOOKUP(V77,Minimas!$C$3:$CD$12,2,FALSE)</f>
        <v>45</v>
      </c>
      <c r="AC77" s="230">
        <f>T77-HLOOKUP(V77,Minimas!$C$3:$CD$12,3,FALSE)</f>
        <v>20</v>
      </c>
      <c r="AD77" s="230">
        <f>T77-HLOOKUP(V77,Minimas!$C$3:$CD$12,4,FALSE)</f>
        <v>0</v>
      </c>
      <c r="AE77" s="230">
        <f>T77-HLOOKUP(V77,Minimas!$C$3:$CD$12,5,FALSE)</f>
        <v>-20</v>
      </c>
      <c r="AF77" s="230">
        <f>T77-HLOOKUP(V77,Minimas!$C$3:$CD$12,6,FALSE)</f>
        <v>-45</v>
      </c>
      <c r="AG77" s="230">
        <f>T77-HLOOKUP(V77,Minimas!$C$3:$CD$12,7,FALSE)</f>
        <v>-75</v>
      </c>
      <c r="AH77" s="230">
        <f>T77-HLOOKUP(V77,Minimas!$C$3:$CD$12,8,FALSE)</f>
        <v>-105</v>
      </c>
      <c r="AI77" s="230">
        <f>T77-HLOOKUP(V77,Minimas!$C$3:$CD$12,9,FALSE)</f>
        <v>-130</v>
      </c>
      <c r="AJ77" s="230">
        <f>T77-HLOOKUP(V77,Minimas!$C$3:$CD$12,10,FALSE)</f>
        <v>-180</v>
      </c>
      <c r="AK77" s="231" t="str">
        <f t="shared" ref="AK77:AK96" si="25">IF(E77=0," ",IF(AJ77&gt;=0,$AJ$5,IF(AI77&gt;=0,$AI$5,IF(AH77&gt;=0,$AH$5,IF(AG77&gt;=0,$AG$5,IF(AF77&gt;=0,$AF$5,IF(AE77&gt;=0,$AE$5,IF(AD77&gt;=0,$AD$5,IF(AC77&gt;=0,$AC$5,$AB$5)))))))))</f>
        <v>REG +</v>
      </c>
      <c r="AL77" s="232"/>
      <c r="AM77" s="232" t="str">
        <f t="shared" ref="AM77:AM96" si="26">IF(AK77="","",AK77)</f>
        <v>REG +</v>
      </c>
      <c r="AN77" s="232">
        <f t="shared" ref="AN77:AN96" si="27">IF(E77=0," ",IF(AJ77&gt;=0,AJ77,IF(AI77&gt;=0,AI77,IF(AH77&gt;=0,AH77,IF(AG77&gt;=0,AG77,IF(AF77&gt;=0,AF77,IF(AE77&gt;=0,AE77,IF(AD77&gt;=0,AD77,IF(AC77&gt;=0,AC77,AB77)))))))))</f>
        <v>0</v>
      </c>
      <c r="AO77" s="463"/>
      <c r="AP77" s="34"/>
      <c r="AQ77" s="34"/>
      <c r="AR77" s="34"/>
      <c r="AS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34"/>
      <c r="BS77" s="34"/>
      <c r="BT77" s="34"/>
      <c r="BU77" s="34"/>
      <c r="BV77" s="34"/>
      <c r="BW77" s="34"/>
      <c r="BX77" s="34"/>
      <c r="BY77" s="34"/>
      <c r="BZ77" s="34"/>
      <c r="CA77" s="34"/>
      <c r="CB77" s="34"/>
      <c r="CC77" s="34"/>
      <c r="CD77" s="34"/>
      <c r="CE77" s="34"/>
      <c r="CF77" s="34"/>
      <c r="CG77" s="34"/>
      <c r="CH77" s="34"/>
      <c r="CI77" s="34"/>
      <c r="CJ77" s="34"/>
      <c r="CK77" s="34"/>
      <c r="CL77" s="34"/>
      <c r="CM77" s="34"/>
      <c r="CN77" s="34"/>
      <c r="CO77" s="34"/>
      <c r="CP77" s="34"/>
      <c r="CQ77" s="34"/>
      <c r="CR77" s="34"/>
      <c r="CS77" s="34"/>
      <c r="CT77" s="34"/>
      <c r="CU77" s="34"/>
      <c r="CV77" s="34"/>
      <c r="CW77" s="34"/>
      <c r="CX77" s="34"/>
      <c r="CY77" s="34"/>
      <c r="CZ77" s="34"/>
      <c r="DA77" s="34"/>
      <c r="DB77" s="34"/>
      <c r="DC77" s="34"/>
      <c r="DD77" s="34"/>
      <c r="DE77" s="34"/>
      <c r="DF77" s="34"/>
      <c r="DG77" s="34"/>
      <c r="DH77" s="34"/>
      <c r="DI77" s="34"/>
      <c r="DJ77" s="34"/>
      <c r="DK77" s="34"/>
      <c r="DL77" s="34"/>
      <c r="DM77" s="34"/>
      <c r="DN77" s="34"/>
      <c r="DO77" s="34"/>
      <c r="DP77" s="34"/>
      <c r="DQ77" s="34"/>
      <c r="DR77" s="34"/>
      <c r="DS77" s="34"/>
      <c r="DT77" s="34"/>
    </row>
    <row r="78" spans="1:124" s="5" customFormat="1" ht="30" customHeight="1" x14ac:dyDescent="0.25">
      <c r="B78" s="516" t="s">
        <v>543</v>
      </c>
      <c r="C78" s="524">
        <v>443410</v>
      </c>
      <c r="D78" s="530"/>
      <c r="E78" s="476" t="s">
        <v>40</v>
      </c>
      <c r="F78" s="728" t="s">
        <v>325</v>
      </c>
      <c r="G78" s="735" t="s">
        <v>326</v>
      </c>
      <c r="H78" s="215">
        <v>1999</v>
      </c>
      <c r="I78" s="564" t="s">
        <v>173</v>
      </c>
      <c r="J78" s="146" t="s">
        <v>44</v>
      </c>
      <c r="K78" s="200">
        <v>95.1</v>
      </c>
      <c r="L78" s="118">
        <v>-111</v>
      </c>
      <c r="M78" s="118">
        <v>111</v>
      </c>
      <c r="N78" s="118">
        <v>-120</v>
      </c>
      <c r="O78" s="358">
        <f t="shared" si="15"/>
        <v>111</v>
      </c>
      <c r="P78" s="118">
        <v>140</v>
      </c>
      <c r="Q78" s="118">
        <v>150</v>
      </c>
      <c r="R78" s="118">
        <v>155</v>
      </c>
      <c r="S78" s="358">
        <f t="shared" si="16"/>
        <v>155</v>
      </c>
      <c r="T78" s="359">
        <f>IF(E78="","",IF(OR(O78=0,S78=0),0,O78+S78))</f>
        <v>266</v>
      </c>
      <c r="U78" s="360" t="str">
        <f t="shared" si="24"/>
        <v>NAT + 6</v>
      </c>
      <c r="V78" s="360" t="str">
        <f>IF(E78=0," ",IF(E78="H",IF(H78&lt;1999,VLOOKUP(K78,[3]Minimas!$A$15:$F$29,6),IF(AND(H78&gt;1998,H78&lt;2002),VLOOKUP(K78,[3]Minimas!$A$15:$F$29,5),IF(AND(H78&gt;2001,H78&lt;2004),VLOOKUP(K78,[3]Minimas!$A$15:$F$29,4),IF(AND(H78&gt;2003,H78&lt;2006),VLOOKUP(K78,[3]Minimas!$A$15:$F$29,3),VLOOKUP(K78,[3]Minimas!$A$15:$F$29,2))))),IF(H78&lt;1999,VLOOKUP(K78,[3]Minimas!$G$15:$L$29,6),IF(AND(H78&gt;1998,H78&lt;2002),VLOOKUP(K78,[3]Minimas!$G$15:$L$29,5),IF(AND(H78&gt;2001,H78&lt;2004),VLOOKUP(K78,[3]Minimas!$G$15:$L$29,4),IF(AND(H78&gt;2003,H78&lt;2006),VLOOKUP(K78,[3]Minimas!$G$15:$L$29,3),VLOOKUP(K78,[3]Minimas!$G$15:$L$29,2)))))))</f>
        <v>U20 M96</v>
      </c>
      <c r="W78" s="361">
        <f t="shared" si="19"/>
        <v>300.69958832895401</v>
      </c>
      <c r="X78" s="257">
        <v>43626</v>
      </c>
      <c r="Y78" s="261" t="s">
        <v>886</v>
      </c>
      <c r="Z78" s="261" t="s">
        <v>887</v>
      </c>
      <c r="AA78" s="232"/>
      <c r="AB78" s="230">
        <f>T78-HLOOKUP(V78,[3]Minimas!$C$3:$CD$12,2,FALSE)</f>
        <v>126</v>
      </c>
      <c r="AC78" s="230">
        <f>T78-HLOOKUP(V78,[3]Minimas!$C$3:$CD$12,3,FALSE)</f>
        <v>101</v>
      </c>
      <c r="AD78" s="230">
        <f>T78-HLOOKUP(V78,[3]Minimas!$C$3:$CD$12,4,FALSE)</f>
        <v>81</v>
      </c>
      <c r="AE78" s="230">
        <f>T78-HLOOKUP(V78,[3]Minimas!$C$3:$CD$12,5,FALSE)</f>
        <v>56</v>
      </c>
      <c r="AF78" s="230">
        <f>T78-HLOOKUP(V78,[3]Minimas!$C$3:$CD$12,6,FALSE)</f>
        <v>36</v>
      </c>
      <c r="AG78" s="230">
        <f>T78-HLOOKUP(V78,[3]Minimas!$C$3:$CD$12,7,FALSE)</f>
        <v>6</v>
      </c>
      <c r="AH78" s="230">
        <f>T78-HLOOKUP(V78,[3]Minimas!$C$3:$CD$12,8,FALSE)</f>
        <v>-24</v>
      </c>
      <c r="AI78" s="230">
        <f>T78-HLOOKUP(V78,[3]Minimas!$C$3:$CD$12,9,FALSE)</f>
        <v>-49</v>
      </c>
      <c r="AJ78" s="230">
        <f>T78-HLOOKUP(V78,[3]Minimas!$C$3:$CD$12,10,FALSE)</f>
        <v>-94</v>
      </c>
      <c r="AK78" s="231" t="str">
        <f t="shared" si="25"/>
        <v>NAT +</v>
      </c>
      <c r="AL78" s="232"/>
      <c r="AM78" s="232" t="str">
        <f t="shared" si="26"/>
        <v>NAT +</v>
      </c>
      <c r="AN78" s="232">
        <f t="shared" si="27"/>
        <v>6</v>
      </c>
      <c r="AO78" s="232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  <c r="BK78" s="38"/>
      <c r="BL78" s="38"/>
      <c r="BM78" s="38"/>
      <c r="BN78" s="38"/>
      <c r="BO78" s="38"/>
      <c r="BP78" s="38"/>
      <c r="BQ78" s="38"/>
      <c r="BR78" s="38"/>
      <c r="BS78" s="38"/>
      <c r="BT78" s="38"/>
      <c r="BU78" s="38"/>
      <c r="BV78" s="38"/>
      <c r="BW78" s="38"/>
      <c r="BX78" s="38"/>
      <c r="BY78" s="38"/>
      <c r="BZ78" s="38"/>
      <c r="CA78" s="38"/>
      <c r="CB78" s="38"/>
      <c r="CC78" s="38"/>
      <c r="CD78" s="38"/>
      <c r="CE78" s="38"/>
      <c r="CF78" s="38"/>
      <c r="CG78" s="38"/>
      <c r="CH78" s="38"/>
      <c r="CI78" s="38"/>
      <c r="CJ78" s="38"/>
      <c r="CK78" s="38"/>
      <c r="CL78" s="38"/>
      <c r="CM78" s="38"/>
      <c r="CN78" s="38"/>
      <c r="CO78" s="38"/>
      <c r="CP78" s="38"/>
      <c r="CQ78" s="38"/>
      <c r="CR78" s="38"/>
      <c r="CS78" s="38"/>
      <c r="CT78" s="38"/>
      <c r="CU78" s="38"/>
      <c r="CV78" s="38"/>
      <c r="CW78" s="38"/>
      <c r="CX78" s="38"/>
      <c r="CY78" s="38"/>
      <c r="CZ78" s="38"/>
      <c r="DA78" s="38"/>
      <c r="DB78" s="38"/>
      <c r="DC78" s="38"/>
      <c r="DD78" s="38"/>
      <c r="DE78" s="38"/>
      <c r="DF78" s="38"/>
      <c r="DG78" s="38"/>
      <c r="DH78" s="38"/>
      <c r="DI78" s="38"/>
      <c r="DJ78" s="38"/>
      <c r="DK78" s="38"/>
      <c r="DL78" s="38"/>
      <c r="DM78" s="38"/>
      <c r="DN78" s="38"/>
      <c r="DO78" s="38"/>
      <c r="DP78" s="38"/>
      <c r="DQ78" s="38"/>
      <c r="DR78" s="38"/>
      <c r="DS78" s="38"/>
      <c r="DT78" s="38"/>
    </row>
    <row r="79" spans="1:124" s="5" customFormat="1" ht="30" customHeight="1" x14ac:dyDescent="0.3">
      <c r="B79" s="136" t="s">
        <v>543</v>
      </c>
      <c r="C79" s="116">
        <v>443410</v>
      </c>
      <c r="D79" s="119"/>
      <c r="E79" s="175" t="s">
        <v>40</v>
      </c>
      <c r="F79" s="124" t="s">
        <v>325</v>
      </c>
      <c r="G79" s="125" t="s">
        <v>326</v>
      </c>
      <c r="H79" s="156">
        <v>1999</v>
      </c>
      <c r="I79" s="127" t="s">
        <v>173</v>
      </c>
      <c r="J79" s="104" t="s">
        <v>44</v>
      </c>
      <c r="K79" s="126">
        <v>98.98</v>
      </c>
      <c r="L79" s="109">
        <v>100</v>
      </c>
      <c r="M79" s="109">
        <v>107</v>
      </c>
      <c r="N79" s="109">
        <v>112</v>
      </c>
      <c r="O79" s="490">
        <f t="shared" si="15"/>
        <v>112</v>
      </c>
      <c r="P79" s="133">
        <v>130</v>
      </c>
      <c r="Q79" s="130">
        <v>-137</v>
      </c>
      <c r="R79" s="130">
        <v>-140</v>
      </c>
      <c r="S79" s="490">
        <f t="shared" si="16"/>
        <v>130</v>
      </c>
      <c r="T79" s="489">
        <f>IF(E79="","",IF(OR(O79=0,S79=0),0,O79+S79))</f>
        <v>242</v>
      </c>
      <c r="U79" s="48" t="str">
        <f t="shared" si="24"/>
        <v>FED + 2</v>
      </c>
      <c r="V79" s="48" t="str">
        <f>IF(E79=0," ",IF(E79="H",IF(H79&lt;1999,VLOOKUP(K79,Minimas!$A$15:$F$29,6),IF(AND(H79&gt;1998,H79&lt;2002),VLOOKUP(K79,Minimas!$A$15:$F$29,5),IF(AND(H79&gt;2001,H79&lt;2004),VLOOKUP(K79,Minimas!$A$15:$F$29,4),IF(AND(H79&gt;2003,H79&lt;2006),VLOOKUP(K79,Minimas!$A$15:$F$29,3),VLOOKUP(K79,Minimas!$A$15:$F$29,2))))),IF(H79&lt;1999,VLOOKUP(K79,Minimas!$G$15:$L$29,6),IF(AND(H79&gt;1998,H79&lt;2002),VLOOKUP(K79,Minimas!$G$15:$L$29,5),IF(AND(H79&gt;2001,H79&lt;2004),VLOOKUP(K79,Minimas!$G$15:$L$29,4),IF(AND(H79&gt;2003,H79&lt;2006),VLOOKUP(K79,Minimas!$G$15:$L$29,3),VLOOKUP(K79,Minimas!$G$15:$L$29,2)))))))</f>
        <v>U20 M102</v>
      </c>
      <c r="W79" s="49">
        <f t="shared" si="19"/>
        <v>269.36610130536269</v>
      </c>
      <c r="X79" s="184">
        <v>43401</v>
      </c>
      <c r="Y79" s="284" t="s">
        <v>507</v>
      </c>
      <c r="Z79" s="284" t="s">
        <v>506</v>
      </c>
      <c r="AA79" s="232"/>
      <c r="AB79" s="230">
        <f>T79-HLOOKUP(V79,Minimas!$C$3:$CD$12,2,FALSE)</f>
        <v>97</v>
      </c>
      <c r="AC79" s="230">
        <f>T79-HLOOKUP(V79,Minimas!$C$3:$CD$12,3,FALSE)</f>
        <v>72</v>
      </c>
      <c r="AD79" s="230">
        <f>T79-HLOOKUP(V79,Minimas!$C$3:$CD$12,4,FALSE)</f>
        <v>52</v>
      </c>
      <c r="AE79" s="230">
        <f>T79-HLOOKUP(V79,Minimas!$C$3:$CD$12,5,FALSE)</f>
        <v>27</v>
      </c>
      <c r="AF79" s="230">
        <f>T79-HLOOKUP(V79,Minimas!$C$3:$CD$12,6,FALSE)</f>
        <v>2</v>
      </c>
      <c r="AG79" s="230">
        <f>T79-HLOOKUP(V79,Minimas!$C$3:$CD$12,7,FALSE)</f>
        <v>-28</v>
      </c>
      <c r="AH79" s="230">
        <f>T79-HLOOKUP(V79,Minimas!$C$3:$CD$12,8,FALSE)</f>
        <v>-58</v>
      </c>
      <c r="AI79" s="230">
        <f>T79-HLOOKUP(V79,Minimas!$C$3:$CD$12,9,FALSE)</f>
        <v>-83</v>
      </c>
      <c r="AJ79" s="230">
        <f>T79-HLOOKUP(V79,Minimas!$C$3:$CD$12,10,FALSE)</f>
        <v>-138</v>
      </c>
      <c r="AK79" s="231" t="str">
        <f t="shared" si="25"/>
        <v>FED +</v>
      </c>
      <c r="AL79" s="232"/>
      <c r="AM79" s="232" t="str">
        <f t="shared" si="26"/>
        <v>FED +</v>
      </c>
      <c r="AN79" s="232">
        <f t="shared" si="27"/>
        <v>2</v>
      </c>
      <c r="AO79" s="232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  <c r="BH79" s="38"/>
      <c r="BI79" s="38"/>
      <c r="BJ79" s="38"/>
      <c r="BK79" s="38"/>
      <c r="BL79" s="38"/>
      <c r="BM79" s="38"/>
      <c r="BN79" s="38"/>
      <c r="BO79" s="38"/>
      <c r="BP79" s="38"/>
      <c r="BQ79" s="38"/>
      <c r="BR79" s="38"/>
      <c r="BS79" s="38"/>
      <c r="BT79" s="38"/>
      <c r="BU79" s="38"/>
      <c r="BV79" s="38"/>
      <c r="BW79" s="38"/>
      <c r="BX79" s="38"/>
      <c r="BY79" s="38"/>
      <c r="BZ79" s="38"/>
      <c r="CA79" s="38"/>
      <c r="CB79" s="38"/>
      <c r="CC79" s="38"/>
      <c r="CD79" s="38"/>
      <c r="CE79" s="38"/>
      <c r="CF79" s="38"/>
      <c r="CG79" s="38"/>
      <c r="CH79" s="38"/>
      <c r="CI79" s="38"/>
      <c r="CJ79" s="38"/>
      <c r="CK79" s="38"/>
      <c r="CL79" s="38"/>
      <c r="CM79" s="38"/>
      <c r="CN79" s="38"/>
      <c r="CO79" s="38"/>
      <c r="CP79" s="38"/>
      <c r="CQ79" s="38"/>
      <c r="CR79" s="38"/>
      <c r="CS79" s="38"/>
      <c r="CT79" s="38"/>
      <c r="CU79" s="38"/>
      <c r="CV79" s="38"/>
      <c r="CW79" s="38"/>
      <c r="CX79" s="38"/>
      <c r="CY79" s="38"/>
      <c r="CZ79" s="38"/>
      <c r="DA79" s="38"/>
      <c r="DB79" s="38"/>
      <c r="DC79" s="38"/>
      <c r="DD79" s="38"/>
      <c r="DE79" s="38"/>
      <c r="DF79" s="38"/>
      <c r="DG79" s="38"/>
      <c r="DH79" s="38"/>
      <c r="DI79" s="38"/>
      <c r="DJ79" s="38"/>
      <c r="DK79" s="38"/>
      <c r="DL79" s="38"/>
      <c r="DM79" s="38"/>
      <c r="DN79" s="38"/>
      <c r="DO79" s="38"/>
      <c r="DP79" s="38"/>
      <c r="DQ79" s="38"/>
      <c r="DR79" s="38"/>
      <c r="DS79" s="38"/>
      <c r="DT79" s="38"/>
    </row>
    <row r="80" spans="1:124" s="5" customFormat="1" ht="30" customHeight="1" x14ac:dyDescent="0.3">
      <c r="B80" s="136" t="s">
        <v>543</v>
      </c>
      <c r="C80" s="173">
        <v>8027</v>
      </c>
      <c r="D80" s="174"/>
      <c r="E80" s="175" t="s">
        <v>40</v>
      </c>
      <c r="F80" s="176" t="s">
        <v>327</v>
      </c>
      <c r="G80" s="177" t="s">
        <v>328</v>
      </c>
      <c r="H80" s="178">
        <v>1951</v>
      </c>
      <c r="I80" s="179" t="s">
        <v>474</v>
      </c>
      <c r="J80" s="104" t="s">
        <v>44</v>
      </c>
      <c r="K80" s="180">
        <v>54.6</v>
      </c>
      <c r="L80" s="133">
        <v>45</v>
      </c>
      <c r="M80" s="133">
        <v>47</v>
      </c>
      <c r="N80" s="133">
        <v>48</v>
      </c>
      <c r="O80" s="52">
        <f t="shared" si="15"/>
        <v>48</v>
      </c>
      <c r="P80" s="133">
        <v>55</v>
      </c>
      <c r="Q80" s="133">
        <v>58</v>
      </c>
      <c r="R80" s="133">
        <v>60</v>
      </c>
      <c r="S80" s="52">
        <f t="shared" si="16"/>
        <v>60</v>
      </c>
      <c r="T80" s="51">
        <f>IF(E80="","",IF(OR(O80=0,S80=0),0,O80+S80))</f>
        <v>108</v>
      </c>
      <c r="U80" s="48" t="str">
        <f t="shared" si="24"/>
        <v>DEB 13</v>
      </c>
      <c r="V80" s="48" t="str">
        <f>IF(E80=0," ",IF(E80="H",IF(H80&lt;1999,VLOOKUP(K80,Minimas!$A$15:$F$29,6),IF(AND(H80&gt;1998,H80&lt;2002),VLOOKUP(K80,Minimas!$A$15:$F$29,5),IF(AND(H80&gt;2001,H80&lt;2004),VLOOKUP(K80,Minimas!$A$15:$F$29,4),IF(AND(H80&gt;2003,H80&lt;2006),VLOOKUP(K80,Minimas!$A$15:$F$29,3),VLOOKUP(K80,Minimas!$A$15:$F$29,2))))),IF(H80&lt;1999,VLOOKUP(K80,Minimas!$G$15:$L$29,6),IF(AND(H80&gt;1998,H80&lt;2002),VLOOKUP(K80,Minimas!$G$15:$L$29,5),IF(AND(H80&gt;2001,H80&lt;2004),VLOOKUP(K80,Minimas!$G$15:$L$29,4),IF(AND(H80&gt;2003,H80&lt;2006),VLOOKUP(K80,Minimas!$G$15:$L$29,3),VLOOKUP(K80,Minimas!$G$15:$L$29,2)))))))</f>
        <v>SE M55</v>
      </c>
      <c r="W80" s="49">
        <f t="shared" si="19"/>
        <v>168.57376557543367</v>
      </c>
      <c r="X80" s="184">
        <v>43435</v>
      </c>
      <c r="Y80" s="284" t="s">
        <v>509</v>
      </c>
      <c r="Z80" s="284" t="s">
        <v>511</v>
      </c>
      <c r="AA80" s="232"/>
      <c r="AB80" s="230">
        <f>T80-HLOOKUP(V80,Minimas!$C$3:$CD$12,2,FALSE)</f>
        <v>13</v>
      </c>
      <c r="AC80" s="230">
        <f>T80-HLOOKUP(V80,Minimas!$C$3:$CD$12,3,FALSE)</f>
        <v>-7</v>
      </c>
      <c r="AD80" s="230">
        <f>T80-HLOOKUP(V80,Minimas!$C$3:$CD$12,4,FALSE)</f>
        <v>-22</v>
      </c>
      <c r="AE80" s="230">
        <f>T80-HLOOKUP(V80,Minimas!$C$3:$CD$12,5,FALSE)</f>
        <v>-37</v>
      </c>
      <c r="AF80" s="230">
        <f>T80-HLOOKUP(V80,Minimas!$C$3:$CD$12,6,FALSE)</f>
        <v>-62</v>
      </c>
      <c r="AG80" s="230">
        <f>T80-HLOOKUP(V80,Minimas!$C$3:$CD$12,7,FALSE)</f>
        <v>-82</v>
      </c>
      <c r="AH80" s="230">
        <f>T80-HLOOKUP(V80,Minimas!$C$3:$CD$12,8,FALSE)</f>
        <v>-102</v>
      </c>
      <c r="AI80" s="230">
        <f>T80-HLOOKUP(V80,Minimas!$C$3:$CD$12,9,FALSE)</f>
        <v>-122</v>
      </c>
      <c r="AJ80" s="230">
        <f>T80-HLOOKUP(V80,Minimas!$C$3:$CD$12,10,FALSE)</f>
        <v>-167</v>
      </c>
      <c r="AK80" s="231" t="str">
        <f t="shared" si="25"/>
        <v>DEB</v>
      </c>
      <c r="AL80" s="232"/>
      <c r="AM80" s="232" t="str">
        <f t="shared" si="26"/>
        <v>DEB</v>
      </c>
      <c r="AN80" s="232">
        <f t="shared" si="27"/>
        <v>13</v>
      </c>
      <c r="AO80" s="232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  <c r="BH80" s="38"/>
      <c r="BI80" s="38"/>
      <c r="BJ80" s="38"/>
      <c r="BK80" s="38"/>
      <c r="BL80" s="38"/>
      <c r="BM80" s="38"/>
      <c r="BN80" s="38"/>
      <c r="BO80" s="38"/>
      <c r="BP80" s="38"/>
      <c r="BQ80" s="38"/>
      <c r="BR80" s="38"/>
      <c r="BS80" s="38"/>
      <c r="BT80" s="38"/>
      <c r="BU80" s="38"/>
      <c r="BV80" s="38"/>
      <c r="BW80" s="38"/>
      <c r="BX80" s="38"/>
      <c r="BY80" s="38"/>
      <c r="BZ80" s="38"/>
      <c r="CA80" s="38"/>
      <c r="CB80" s="38"/>
      <c r="CC80" s="38"/>
      <c r="CD80" s="38"/>
      <c r="CE80" s="38"/>
      <c r="CF80" s="38"/>
      <c r="CG80" s="38"/>
      <c r="CH80" s="38"/>
      <c r="CI80" s="38"/>
      <c r="CJ80" s="38"/>
      <c r="CK80" s="38"/>
      <c r="CL80" s="38"/>
      <c r="CM80" s="38"/>
      <c r="CN80" s="38"/>
      <c r="CO80" s="38"/>
      <c r="CP80" s="38"/>
      <c r="CQ80" s="38"/>
      <c r="CR80" s="38"/>
      <c r="CS80" s="38"/>
      <c r="CT80" s="38"/>
      <c r="CU80" s="38"/>
      <c r="CV80" s="38"/>
      <c r="CW80" s="38"/>
      <c r="CX80" s="38"/>
      <c r="CY80" s="38"/>
      <c r="CZ80" s="38"/>
      <c r="DA80" s="38"/>
      <c r="DB80" s="38"/>
      <c r="DC80" s="38"/>
      <c r="DD80" s="38"/>
      <c r="DE80" s="38"/>
      <c r="DF80" s="38"/>
      <c r="DG80" s="38"/>
      <c r="DH80" s="38"/>
      <c r="DI80" s="38"/>
      <c r="DJ80" s="38"/>
      <c r="DK80" s="38"/>
      <c r="DL80" s="38"/>
      <c r="DM80" s="38"/>
      <c r="DN80" s="38"/>
      <c r="DO80" s="38"/>
      <c r="DP80" s="38"/>
      <c r="DQ80" s="38"/>
      <c r="DR80" s="38"/>
      <c r="DS80" s="38"/>
      <c r="DT80" s="38"/>
    </row>
    <row r="81" spans="1:124" s="5" customFormat="1" ht="30" customHeight="1" x14ac:dyDescent="0.25">
      <c r="B81" s="516" t="s">
        <v>543</v>
      </c>
      <c r="C81" s="524">
        <v>245875</v>
      </c>
      <c r="D81" s="530"/>
      <c r="E81" s="476" t="s">
        <v>40</v>
      </c>
      <c r="F81" s="728" t="s">
        <v>598</v>
      </c>
      <c r="G81" s="735" t="s">
        <v>871</v>
      </c>
      <c r="H81" s="215">
        <v>1997</v>
      </c>
      <c r="I81" s="564" t="s">
        <v>336</v>
      </c>
      <c r="J81" s="146" t="s">
        <v>44</v>
      </c>
      <c r="K81" s="200">
        <v>60.3</v>
      </c>
      <c r="L81" s="118">
        <v>88</v>
      </c>
      <c r="M81" s="118">
        <v>91</v>
      </c>
      <c r="N81" s="118">
        <v>94</v>
      </c>
      <c r="O81" s="358">
        <f t="shared" si="15"/>
        <v>94</v>
      </c>
      <c r="P81" s="118">
        <v>110</v>
      </c>
      <c r="Q81" s="118">
        <v>115</v>
      </c>
      <c r="R81" s="118">
        <v>117</v>
      </c>
      <c r="S81" s="358">
        <f t="shared" si="16"/>
        <v>117</v>
      </c>
      <c r="T81" s="359">
        <f>IF(E81="","",IF(OR(O81=0,S81=0),0,O81+S81))</f>
        <v>211</v>
      </c>
      <c r="U81" s="360" t="str">
        <f t="shared" si="24"/>
        <v>FED + 16</v>
      </c>
      <c r="V81" s="360" t="str">
        <f>IF(E81=0," ",IF(E81="H",IF(H81&lt;1999,VLOOKUP(K81,[3]Minimas!$A$15:$F$29,6),IF(AND(H81&gt;1998,H81&lt;2002),VLOOKUP(K81,[3]Minimas!$A$15:$F$29,5),IF(AND(H81&gt;2001,H81&lt;2004),VLOOKUP(K81,[3]Minimas!$A$15:$F$29,4),IF(AND(H81&gt;2003,H81&lt;2006),VLOOKUP(K81,[3]Minimas!$A$15:$F$29,3),VLOOKUP(K81,[3]Minimas!$A$15:$F$29,2))))),IF(H81&lt;1999,VLOOKUP(K81,[3]Minimas!$G$15:$L$29,6),IF(AND(H81&gt;1998,H81&lt;2002),VLOOKUP(K81,[3]Minimas!$G$15:$L$29,5),IF(AND(H81&gt;2001,H81&lt;2004),VLOOKUP(K81,[3]Minimas!$G$15:$L$29,4),IF(AND(H81&gt;2003,H81&lt;2006),VLOOKUP(K81,[3]Minimas!$G$15:$L$29,3),VLOOKUP(K81,[3]Minimas!$G$15:$L$29,2)))))))</f>
        <v>SE M61</v>
      </c>
      <c r="W81" s="361">
        <f t="shared" si="19"/>
        <v>306.30845244434698</v>
      </c>
      <c r="X81" s="257">
        <v>43597</v>
      </c>
      <c r="Y81" s="261" t="s">
        <v>867</v>
      </c>
      <c r="Z81" s="261" t="s">
        <v>868</v>
      </c>
      <c r="AA81" s="232"/>
      <c r="AB81" s="230">
        <f>T81-HLOOKUP(V81,[3]Minimas!$C$3:$CD$12,2,FALSE)</f>
        <v>101</v>
      </c>
      <c r="AC81" s="230">
        <f>T81-HLOOKUP(V81,[3]Minimas!$C$3:$CD$12,3,FALSE)</f>
        <v>81</v>
      </c>
      <c r="AD81" s="230">
        <f>T81-HLOOKUP(V81,[3]Minimas!$C$3:$CD$12,4,FALSE)</f>
        <v>61</v>
      </c>
      <c r="AE81" s="230">
        <f>T81-HLOOKUP(V81,[3]Minimas!$C$3:$CD$12,5,FALSE)</f>
        <v>41</v>
      </c>
      <c r="AF81" s="230">
        <f>T81-HLOOKUP(V81,[3]Minimas!$C$3:$CD$12,6,FALSE)</f>
        <v>16</v>
      </c>
      <c r="AG81" s="230">
        <f>T81-HLOOKUP(V81,[3]Minimas!$C$3:$CD$12,7,FALSE)</f>
        <v>-4</v>
      </c>
      <c r="AH81" s="230">
        <f>T81-HLOOKUP(V81,[3]Minimas!$C$3:$CD$12,8,FALSE)</f>
        <v>-24</v>
      </c>
      <c r="AI81" s="230">
        <f>T81-HLOOKUP(V81,[3]Minimas!$C$3:$CD$12,9,FALSE)</f>
        <v>-49</v>
      </c>
      <c r="AJ81" s="230">
        <f>T81-HLOOKUP(V81,[3]Minimas!$C$3:$CD$12,10,FALSE)</f>
        <v>-64</v>
      </c>
      <c r="AK81" s="231" t="str">
        <f t="shared" si="25"/>
        <v>FED +</v>
      </c>
      <c r="AL81" s="232"/>
      <c r="AM81" s="232" t="str">
        <f t="shared" si="26"/>
        <v>FED +</v>
      </c>
      <c r="AN81" s="232">
        <f t="shared" si="27"/>
        <v>16</v>
      </c>
      <c r="AO81" s="232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  <c r="BH81" s="38"/>
      <c r="BI81" s="38"/>
      <c r="BJ81" s="38"/>
      <c r="BK81" s="38"/>
      <c r="BL81" s="38"/>
      <c r="BM81" s="38"/>
      <c r="BN81" s="38"/>
      <c r="BO81" s="38"/>
      <c r="BP81" s="38"/>
      <c r="BQ81" s="38"/>
      <c r="BR81" s="38"/>
      <c r="BS81" s="38"/>
      <c r="BT81" s="38"/>
      <c r="BU81" s="38"/>
      <c r="BV81" s="38"/>
      <c r="BW81" s="38"/>
      <c r="BX81" s="38"/>
      <c r="BY81" s="38"/>
      <c r="BZ81" s="38"/>
      <c r="CA81" s="38"/>
      <c r="CB81" s="38"/>
      <c r="CC81" s="38"/>
      <c r="CD81" s="38"/>
      <c r="CE81" s="38"/>
      <c r="CF81" s="38"/>
      <c r="CG81" s="38"/>
      <c r="CH81" s="38"/>
      <c r="CI81" s="38"/>
      <c r="CJ81" s="38"/>
      <c r="CK81" s="38"/>
      <c r="CL81" s="38"/>
      <c r="CM81" s="38"/>
      <c r="CN81" s="38"/>
      <c r="CO81" s="38"/>
      <c r="CP81" s="38"/>
      <c r="CQ81" s="38"/>
      <c r="CR81" s="38"/>
      <c r="CS81" s="38"/>
      <c r="CT81" s="38"/>
      <c r="CU81" s="38"/>
      <c r="CV81" s="38"/>
      <c r="CW81" s="38"/>
      <c r="CX81" s="38"/>
      <c r="CY81" s="38"/>
      <c r="CZ81" s="38"/>
      <c r="DA81" s="38"/>
      <c r="DB81" s="38"/>
      <c r="DC81" s="38"/>
      <c r="DD81" s="38"/>
      <c r="DE81" s="38"/>
      <c r="DF81" s="38"/>
      <c r="DG81" s="38"/>
      <c r="DH81" s="38"/>
      <c r="DI81" s="38"/>
      <c r="DJ81" s="38"/>
      <c r="DK81" s="38"/>
      <c r="DL81" s="38"/>
      <c r="DM81" s="38"/>
      <c r="DN81" s="38"/>
      <c r="DO81" s="38"/>
      <c r="DP81" s="38"/>
      <c r="DQ81" s="38"/>
      <c r="DR81" s="38"/>
      <c r="DS81" s="38"/>
      <c r="DT81" s="38"/>
    </row>
    <row r="82" spans="1:124" s="5" customFormat="1" ht="30" customHeight="1" x14ac:dyDescent="0.25">
      <c r="B82" s="136" t="s">
        <v>543</v>
      </c>
      <c r="C82" s="858">
        <v>172489</v>
      </c>
      <c r="D82" s="163"/>
      <c r="E82" s="138" t="s">
        <v>40</v>
      </c>
      <c r="F82" s="859" t="s">
        <v>345</v>
      </c>
      <c r="G82" s="859" t="s">
        <v>864</v>
      </c>
      <c r="H82" s="138">
        <v>1980</v>
      </c>
      <c r="I82" s="138" t="s">
        <v>254</v>
      </c>
      <c r="J82" s="860" t="s">
        <v>44</v>
      </c>
      <c r="K82" s="164">
        <v>60.98</v>
      </c>
      <c r="L82" s="861">
        <v>67</v>
      </c>
      <c r="M82" s="861">
        <v>72</v>
      </c>
      <c r="N82" s="862">
        <v>75</v>
      </c>
      <c r="O82" s="192">
        <f t="shared" si="15"/>
        <v>75</v>
      </c>
      <c r="P82" s="862">
        <v>80</v>
      </c>
      <c r="Q82" s="862">
        <v>90</v>
      </c>
      <c r="R82" s="863">
        <v>-95</v>
      </c>
      <c r="S82" s="192">
        <f t="shared" si="16"/>
        <v>90</v>
      </c>
      <c r="T82" s="193">
        <f>IF(E82="","",IF(OR(O82=0,S82=0),0,O82+S82))</f>
        <v>165</v>
      </c>
      <c r="U82" s="194" t="str">
        <f t="shared" si="24"/>
        <v>REG + 15</v>
      </c>
      <c r="V82" s="194" t="str">
        <f>IF(E82=0," ",IF(E82="H",IF(H82&lt;1999,VLOOKUP(K82,Minimas!$A$15:$F$29,6),IF(AND(H82&gt;1998,H82&lt;2002),VLOOKUP(K82,Minimas!$A$15:$F$29,5),IF(AND(H82&gt;2001,H82&lt;2004),VLOOKUP(K82,Minimas!$A$15:$F$29,4),IF(AND(H82&gt;2003,H82&lt;2006),VLOOKUP(K82,Minimas!$A$15:$F$29,3),VLOOKUP(K82,Minimas!$A$15:$F$29,2))))),IF(H82&lt;1999,VLOOKUP(K82,Minimas!$G$15:$L$29,6),IF(AND(H82&gt;1998,H82&lt;2002),VLOOKUP(K82,Minimas!$G$15:$L$29,5),IF(AND(H82&gt;2001,H82&lt;2004),VLOOKUP(K82,Minimas!$G$15:$L$29,4),IF(AND(H82&gt;2003,H82&lt;2006),VLOOKUP(K82,Minimas!$G$15:$L$29,3),VLOOKUP(K82,Minimas!$G$15:$L$29,2)))))))</f>
        <v>SE M61</v>
      </c>
      <c r="W82" s="195">
        <f t="shared" si="19"/>
        <v>237.67312061665714</v>
      </c>
      <c r="X82" s="257">
        <v>43576</v>
      </c>
      <c r="Y82" s="261" t="s">
        <v>860</v>
      </c>
      <c r="Z82" s="261" t="s">
        <v>861</v>
      </c>
      <c r="AA82" s="232"/>
      <c r="AB82" s="230">
        <f>T82-HLOOKUP(V82,Minimas!$C$3:$CD$12,2,FALSE)</f>
        <v>55</v>
      </c>
      <c r="AC82" s="230">
        <f>T82-HLOOKUP(V82,Minimas!$C$3:$CD$12,3,FALSE)</f>
        <v>35</v>
      </c>
      <c r="AD82" s="230">
        <f>T82-HLOOKUP(V82,Minimas!$C$3:$CD$12,4,FALSE)</f>
        <v>15</v>
      </c>
      <c r="AE82" s="230">
        <f>T82-HLOOKUP(V82,Minimas!$C$3:$CD$12,5,FALSE)</f>
        <v>-5</v>
      </c>
      <c r="AF82" s="230">
        <f>T82-HLOOKUP(V82,Minimas!$C$3:$CD$12,6,FALSE)</f>
        <v>-30</v>
      </c>
      <c r="AG82" s="230">
        <f>T82-HLOOKUP(V82,Minimas!$C$3:$CD$12,7,FALSE)</f>
        <v>-50</v>
      </c>
      <c r="AH82" s="230">
        <f>T82-HLOOKUP(V82,Minimas!$C$3:$CD$12,8,FALSE)</f>
        <v>-70</v>
      </c>
      <c r="AI82" s="230">
        <f>T82-HLOOKUP(V82,Minimas!$C$3:$CD$12,9,FALSE)</f>
        <v>-95</v>
      </c>
      <c r="AJ82" s="230">
        <f>T82-HLOOKUP(V82,Minimas!$C$3:$CD$12,10,FALSE)</f>
        <v>-110</v>
      </c>
      <c r="AK82" s="231" t="str">
        <f t="shared" si="25"/>
        <v>REG +</v>
      </c>
      <c r="AL82" s="232"/>
      <c r="AM82" s="232" t="str">
        <f t="shared" si="26"/>
        <v>REG +</v>
      </c>
      <c r="AN82" s="232">
        <f t="shared" si="27"/>
        <v>15</v>
      </c>
      <c r="AO82" s="232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  <c r="BG82" s="38"/>
      <c r="BH82" s="38"/>
      <c r="BI82" s="38"/>
      <c r="BJ82" s="38"/>
      <c r="BK82" s="38"/>
      <c r="BL82" s="38"/>
      <c r="BM82" s="38"/>
      <c r="BN82" s="38"/>
      <c r="BO82" s="38"/>
      <c r="BP82" s="38"/>
      <c r="BQ82" s="38"/>
      <c r="BR82" s="38"/>
      <c r="BS82" s="38"/>
      <c r="BT82" s="38"/>
      <c r="BU82" s="38"/>
      <c r="BV82" s="38"/>
      <c r="BW82" s="38"/>
      <c r="BX82" s="38"/>
      <c r="BY82" s="38"/>
      <c r="BZ82" s="38"/>
      <c r="CA82" s="38"/>
      <c r="CB82" s="38"/>
      <c r="CC82" s="38"/>
      <c r="CD82" s="38"/>
      <c r="CE82" s="38"/>
      <c r="CF82" s="38"/>
      <c r="CG82" s="38"/>
      <c r="CH82" s="38"/>
      <c r="CI82" s="38"/>
      <c r="CJ82" s="38"/>
      <c r="CK82" s="38"/>
      <c r="CL82" s="38"/>
      <c r="CM82" s="38"/>
      <c r="CN82" s="38"/>
      <c r="CO82" s="38"/>
      <c r="CP82" s="38"/>
      <c r="CQ82" s="38"/>
      <c r="CR82" s="38"/>
      <c r="CS82" s="38"/>
      <c r="CT82" s="38"/>
      <c r="CU82" s="38"/>
      <c r="CV82" s="38"/>
      <c r="CW82" s="38"/>
      <c r="CX82" s="38"/>
      <c r="CY82" s="38"/>
      <c r="CZ82" s="38"/>
      <c r="DA82" s="38"/>
      <c r="DB82" s="38"/>
      <c r="DC82" s="38"/>
      <c r="DD82" s="38"/>
      <c r="DE82" s="38"/>
      <c r="DF82" s="38"/>
      <c r="DG82" s="38"/>
      <c r="DH82" s="38"/>
      <c r="DI82" s="38"/>
      <c r="DJ82" s="38"/>
      <c r="DK82" s="38"/>
      <c r="DL82" s="38"/>
      <c r="DM82" s="38"/>
      <c r="DN82" s="38"/>
      <c r="DO82" s="38"/>
      <c r="DP82" s="38"/>
      <c r="DQ82" s="38"/>
      <c r="DR82" s="38"/>
      <c r="DS82" s="38"/>
      <c r="DT82" s="38"/>
    </row>
    <row r="83" spans="1:124" s="5" customFormat="1" ht="30" customHeight="1" x14ac:dyDescent="0.25">
      <c r="B83" s="136" t="s">
        <v>543</v>
      </c>
      <c r="C83" s="166">
        <v>440058</v>
      </c>
      <c r="D83" s="171"/>
      <c r="E83" s="476" t="s">
        <v>40</v>
      </c>
      <c r="F83" s="143" t="s">
        <v>252</v>
      </c>
      <c r="G83" s="144" t="s">
        <v>253</v>
      </c>
      <c r="H83" s="145">
        <v>1997</v>
      </c>
      <c r="I83" s="172" t="s">
        <v>670</v>
      </c>
      <c r="J83" s="146" t="s">
        <v>44</v>
      </c>
      <c r="K83" s="147">
        <v>59.6</v>
      </c>
      <c r="L83" s="118">
        <v>60</v>
      </c>
      <c r="M83" s="118">
        <v>-70</v>
      </c>
      <c r="N83" s="118">
        <v>70</v>
      </c>
      <c r="O83" s="202">
        <f t="shared" si="15"/>
        <v>70</v>
      </c>
      <c r="P83" s="118">
        <v>80</v>
      </c>
      <c r="Q83" s="118">
        <v>90</v>
      </c>
      <c r="R83" s="118">
        <v>-95</v>
      </c>
      <c r="S83" s="202">
        <f t="shared" si="16"/>
        <v>90</v>
      </c>
      <c r="T83" s="203">
        <f>IF(E83="","",O83+S83)</f>
        <v>160</v>
      </c>
      <c r="U83" s="204" t="str">
        <f t="shared" si="24"/>
        <v>REG + 10</v>
      </c>
      <c r="V83" s="204" t="str">
        <f>IF(E83=0," ",IF(E83="H",IF(H83&lt;1999,VLOOKUP(K83,[26]Minimas!$A$15:$F$29,6),IF(AND(H83&gt;1998,H83&lt;2002),VLOOKUP(K83,[26]Minimas!$A$15:$F$29,5),IF(AND(H83&gt;2001,H83&lt;2004),VLOOKUP(K83,[26]Minimas!$A$15:$F$29,4),IF(AND(H83&gt;2003,H83&lt;2006),VLOOKUP(K83,[26]Minimas!$A$15:$F$29,3),VLOOKUP(K83,[26]Minimas!$A$15:$F$29,2))))),IF(H83&lt;1999,VLOOKUP(K83,[26]Minimas!$G$15:$L$29,6),IF(AND(H83&gt;1998,H83&lt;2002),VLOOKUP(K83,[26]Minimas!$G$15:$L$29,5),IF(AND(H83&gt;2001,H83&lt;2004),VLOOKUP(K83,[26]Minimas!$G$15:$L$29,4),IF(AND(H83&gt;2003,H83&lt;2006),VLOOKUP(K83,[26]Minimas!$G$15:$L$29,3),VLOOKUP(K83,[26]Minimas!$G$15:$L$29,2)))))))</f>
        <v>SE M61</v>
      </c>
      <c r="W83" s="205">
        <f t="shared" si="19"/>
        <v>234.18242307254968</v>
      </c>
      <c r="X83" s="817">
        <v>43506</v>
      </c>
      <c r="Y83" s="261" t="s">
        <v>660</v>
      </c>
      <c r="Z83" s="261" t="s">
        <v>661</v>
      </c>
      <c r="AA83" s="232"/>
      <c r="AB83" s="230">
        <f>T83-HLOOKUP(V83,Minimas!$C$3:$CD$12,2,FALSE)</f>
        <v>50</v>
      </c>
      <c r="AC83" s="230">
        <f>T83-HLOOKUP(V83,Minimas!$C$3:$CD$12,3,FALSE)</f>
        <v>30</v>
      </c>
      <c r="AD83" s="230">
        <f>T83-HLOOKUP(V83,Minimas!$C$3:$CD$12,4,FALSE)</f>
        <v>10</v>
      </c>
      <c r="AE83" s="230">
        <f>T83-HLOOKUP(V83,Minimas!$C$3:$CD$12,5,FALSE)</f>
        <v>-10</v>
      </c>
      <c r="AF83" s="230">
        <f>T83-HLOOKUP(V83,Minimas!$C$3:$CD$12,6,FALSE)</f>
        <v>-35</v>
      </c>
      <c r="AG83" s="230">
        <f>T83-HLOOKUP(V83,Minimas!$C$3:$CD$12,7,FALSE)</f>
        <v>-55</v>
      </c>
      <c r="AH83" s="230">
        <f>T83-HLOOKUP(V83,Minimas!$C$3:$CD$12,8,FALSE)</f>
        <v>-75</v>
      </c>
      <c r="AI83" s="230">
        <f>T83-HLOOKUP(V83,Minimas!$C$3:$CD$12,9,FALSE)</f>
        <v>-100</v>
      </c>
      <c r="AJ83" s="230">
        <f>T83-HLOOKUP(V83,Minimas!$C$3:$CD$12,10,FALSE)</f>
        <v>-115</v>
      </c>
      <c r="AK83" s="231" t="str">
        <f t="shared" si="25"/>
        <v>REG +</v>
      </c>
      <c r="AL83" s="232"/>
      <c r="AM83" s="232" t="str">
        <f t="shared" si="26"/>
        <v>REG +</v>
      </c>
      <c r="AN83" s="232">
        <f t="shared" si="27"/>
        <v>10</v>
      </c>
      <c r="AO83" s="232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  <c r="BL83" s="38"/>
      <c r="BM83" s="38"/>
      <c r="BN83" s="38"/>
      <c r="BO83" s="38"/>
      <c r="BP83" s="38"/>
      <c r="BQ83" s="38"/>
      <c r="BR83" s="38"/>
      <c r="BS83" s="38"/>
      <c r="BT83" s="38"/>
      <c r="BU83" s="38"/>
      <c r="BV83" s="38"/>
      <c r="BW83" s="38"/>
      <c r="BX83" s="38"/>
      <c r="BY83" s="38"/>
      <c r="BZ83" s="38"/>
      <c r="CA83" s="38"/>
      <c r="CB83" s="38"/>
      <c r="CC83" s="38"/>
      <c r="CD83" s="38"/>
      <c r="CE83" s="38"/>
      <c r="CF83" s="38"/>
      <c r="CG83" s="38"/>
      <c r="CH83" s="38"/>
      <c r="CI83" s="38"/>
      <c r="CJ83" s="38"/>
      <c r="CK83" s="38"/>
      <c r="CL83" s="38"/>
      <c r="CM83" s="38"/>
      <c r="CN83" s="38"/>
      <c r="CO83" s="38"/>
      <c r="CP83" s="38"/>
      <c r="CQ83" s="38"/>
      <c r="CR83" s="38"/>
      <c r="CS83" s="38"/>
      <c r="CT83" s="38"/>
      <c r="CU83" s="38"/>
      <c r="CV83" s="38"/>
      <c r="CW83" s="38"/>
      <c r="CX83" s="38"/>
      <c r="CY83" s="38"/>
      <c r="CZ83" s="38"/>
      <c r="DA83" s="38"/>
      <c r="DB83" s="38"/>
      <c r="DC83" s="38"/>
      <c r="DD83" s="38"/>
      <c r="DE83" s="38"/>
      <c r="DF83" s="38"/>
      <c r="DG83" s="38"/>
      <c r="DH83" s="38"/>
      <c r="DI83" s="38"/>
      <c r="DJ83" s="38"/>
      <c r="DK83" s="38"/>
      <c r="DL83" s="38"/>
      <c r="DM83" s="38"/>
      <c r="DN83" s="38"/>
      <c r="DO83" s="38"/>
      <c r="DP83" s="38"/>
      <c r="DQ83" s="38"/>
      <c r="DR83" s="38"/>
      <c r="DS83" s="38"/>
      <c r="DT83" s="38"/>
    </row>
    <row r="84" spans="1:124" s="5" customFormat="1" ht="30" customHeight="1" x14ac:dyDescent="0.25">
      <c r="B84" s="136" t="s">
        <v>543</v>
      </c>
      <c r="C84" s="475">
        <v>37253</v>
      </c>
      <c r="D84" s="99"/>
      <c r="E84" s="140" t="s">
        <v>40</v>
      </c>
      <c r="F84" s="445" t="s">
        <v>332</v>
      </c>
      <c r="G84" s="445" t="s">
        <v>865</v>
      </c>
      <c r="H84" s="140">
        <v>1962</v>
      </c>
      <c r="I84" s="140" t="s">
        <v>314</v>
      </c>
      <c r="J84" s="141" t="s">
        <v>44</v>
      </c>
      <c r="K84" s="142">
        <v>60.6</v>
      </c>
      <c r="L84" s="434">
        <v>45</v>
      </c>
      <c r="M84" s="434">
        <v>50</v>
      </c>
      <c r="N84" s="435">
        <v>-52</v>
      </c>
      <c r="O84" s="202">
        <f t="shared" si="15"/>
        <v>50</v>
      </c>
      <c r="P84" s="436">
        <v>60</v>
      </c>
      <c r="Q84" s="436">
        <v>-65</v>
      </c>
      <c r="R84" s="436">
        <v>65</v>
      </c>
      <c r="S84" s="202">
        <f t="shared" si="16"/>
        <v>65</v>
      </c>
      <c r="T84" s="203">
        <f t="shared" ref="T84:T90" si="28">IF(E84="","",IF(OR(O84=0,S84=0),0,O84+S84))</f>
        <v>115</v>
      </c>
      <c r="U84" s="204" t="str">
        <f t="shared" si="24"/>
        <v>DEB 5</v>
      </c>
      <c r="V84" s="204" t="str">
        <f>IF(E84=0," ",IF(E84="H",IF(H84&lt;1999,VLOOKUP(K84,Minimas!$A$15:$F$29,6),IF(AND(H84&gt;1998,H84&lt;2002),VLOOKUP(K84,Minimas!$A$15:$F$29,5),IF(AND(H84&gt;2001,H84&lt;2004),VLOOKUP(K84,Minimas!$A$15:$F$29,4),IF(AND(H84&gt;2003,H84&lt;2006),VLOOKUP(K84,Minimas!$A$15:$F$29,3),VLOOKUP(K84,Minimas!$A$15:$F$29,2))))),IF(H84&lt;1999,VLOOKUP(K84,Minimas!$G$15:$L$29,6),IF(AND(H84&gt;1998,H84&lt;2002),VLOOKUP(K84,Minimas!$G$15:$L$29,5),IF(AND(H84&gt;2001,H84&lt;2004),VLOOKUP(K84,Minimas!$G$15:$L$29,4),IF(AND(H84&gt;2003,H84&lt;2006),VLOOKUP(K84,Minimas!$G$15:$L$29,3),VLOOKUP(K84,Minimas!$G$15:$L$29,2)))))))</f>
        <v>SE M61</v>
      </c>
      <c r="W84" s="205">
        <f t="shared" si="19"/>
        <v>166.36958675762276</v>
      </c>
      <c r="X84" s="817">
        <v>43576</v>
      </c>
      <c r="Y84" s="261" t="s">
        <v>860</v>
      </c>
      <c r="Z84" s="261" t="s">
        <v>861</v>
      </c>
      <c r="AA84" s="232"/>
      <c r="AB84" s="230">
        <f>T84-HLOOKUP(V84,Minimas!$C$3:$CD$12,2,FALSE)</f>
        <v>5</v>
      </c>
      <c r="AC84" s="230">
        <f>T84-HLOOKUP(V84,Minimas!$C$3:$CD$12,3,FALSE)</f>
        <v>-15</v>
      </c>
      <c r="AD84" s="230">
        <f>T84-HLOOKUP(V84,Minimas!$C$3:$CD$12,4,FALSE)</f>
        <v>-35</v>
      </c>
      <c r="AE84" s="230">
        <f>T84-HLOOKUP(V84,Minimas!$C$3:$CD$12,5,FALSE)</f>
        <v>-55</v>
      </c>
      <c r="AF84" s="230">
        <f>T84-HLOOKUP(V84,Minimas!$C$3:$CD$12,6,FALSE)</f>
        <v>-80</v>
      </c>
      <c r="AG84" s="230">
        <f>T84-HLOOKUP(V84,Minimas!$C$3:$CD$12,7,FALSE)</f>
        <v>-100</v>
      </c>
      <c r="AH84" s="230">
        <f>T84-HLOOKUP(V84,Minimas!$C$3:$CD$12,8,FALSE)</f>
        <v>-120</v>
      </c>
      <c r="AI84" s="230">
        <f>T84-HLOOKUP(V84,Minimas!$C$3:$CD$12,9,FALSE)</f>
        <v>-145</v>
      </c>
      <c r="AJ84" s="230">
        <f>T84-HLOOKUP(V84,Minimas!$C$3:$CD$12,10,FALSE)</f>
        <v>-160</v>
      </c>
      <c r="AK84" s="231" t="str">
        <f t="shared" si="25"/>
        <v>DEB</v>
      </c>
      <c r="AL84" s="232"/>
      <c r="AM84" s="232" t="str">
        <f t="shared" si="26"/>
        <v>DEB</v>
      </c>
      <c r="AN84" s="232">
        <f t="shared" si="27"/>
        <v>5</v>
      </c>
      <c r="AO84" s="232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  <c r="BH84" s="38"/>
      <c r="BI84" s="38"/>
      <c r="BJ84" s="38"/>
      <c r="BK84" s="38"/>
      <c r="BL84" s="38"/>
      <c r="BM84" s="38"/>
      <c r="BN84" s="38"/>
      <c r="BO84" s="38"/>
      <c r="BP84" s="38"/>
      <c r="BQ84" s="38"/>
      <c r="BR84" s="38"/>
      <c r="BS84" s="38"/>
      <c r="BT84" s="38"/>
      <c r="BU84" s="38"/>
      <c r="BV84" s="38"/>
      <c r="BW84" s="38"/>
      <c r="BX84" s="38"/>
      <c r="BY84" s="38"/>
      <c r="BZ84" s="38"/>
      <c r="CA84" s="38"/>
      <c r="CB84" s="38"/>
      <c r="CC84" s="38"/>
      <c r="CD84" s="38"/>
      <c r="CE84" s="38"/>
      <c r="CF84" s="38"/>
      <c r="CG84" s="38"/>
      <c r="CH84" s="38"/>
      <c r="CI84" s="38"/>
      <c r="CJ84" s="38"/>
      <c r="CK84" s="38"/>
      <c r="CL84" s="38"/>
      <c r="CM84" s="38"/>
      <c r="CN84" s="38"/>
      <c r="CO84" s="38"/>
      <c r="CP84" s="38"/>
      <c r="CQ84" s="38"/>
      <c r="CR84" s="38"/>
      <c r="CS84" s="38"/>
      <c r="CT84" s="38"/>
      <c r="CU84" s="38"/>
      <c r="CV84" s="38"/>
      <c r="CW84" s="38"/>
      <c r="CX84" s="38"/>
      <c r="CY84" s="38"/>
      <c r="CZ84" s="38"/>
      <c r="DA84" s="38"/>
      <c r="DB84" s="38"/>
      <c r="DC84" s="38"/>
      <c r="DD84" s="38"/>
      <c r="DE84" s="38"/>
      <c r="DF84" s="38"/>
      <c r="DG84" s="38"/>
      <c r="DH84" s="38"/>
      <c r="DI84" s="38"/>
      <c r="DJ84" s="38"/>
      <c r="DK84" s="38"/>
      <c r="DL84" s="38"/>
      <c r="DM84" s="38"/>
      <c r="DN84" s="38"/>
      <c r="DO84" s="38"/>
      <c r="DP84" s="38"/>
      <c r="DQ84" s="38"/>
      <c r="DR84" s="38"/>
      <c r="DS84" s="38"/>
      <c r="DT84" s="38"/>
    </row>
    <row r="85" spans="1:124" s="5" customFormat="1" ht="30" customHeight="1" x14ac:dyDescent="0.3">
      <c r="A85" s="484"/>
      <c r="B85" s="136" t="s">
        <v>543</v>
      </c>
      <c r="C85" s="116">
        <v>8027</v>
      </c>
      <c r="D85" s="122"/>
      <c r="E85" s="175" t="s">
        <v>40</v>
      </c>
      <c r="F85" s="124" t="s">
        <v>330</v>
      </c>
      <c r="G85" s="125" t="s">
        <v>331</v>
      </c>
      <c r="H85" s="156">
        <v>1951</v>
      </c>
      <c r="I85" s="198" t="s">
        <v>329</v>
      </c>
      <c r="J85" s="104" t="s">
        <v>44</v>
      </c>
      <c r="K85" s="126">
        <v>56</v>
      </c>
      <c r="L85" s="109">
        <v>45</v>
      </c>
      <c r="M85" s="109">
        <v>47</v>
      </c>
      <c r="N85" s="109">
        <v>49</v>
      </c>
      <c r="O85" s="202">
        <f t="shared" si="15"/>
        <v>49</v>
      </c>
      <c r="P85" s="133">
        <v>58</v>
      </c>
      <c r="Q85" s="133">
        <v>62</v>
      </c>
      <c r="R85" s="130">
        <v>-66</v>
      </c>
      <c r="S85" s="202">
        <f t="shared" si="16"/>
        <v>62</v>
      </c>
      <c r="T85" s="203">
        <f t="shared" si="28"/>
        <v>111</v>
      </c>
      <c r="U85" s="204" t="str">
        <f t="shared" si="24"/>
        <v>DEB 1</v>
      </c>
      <c r="V85" s="204" t="str">
        <f>IF(E85=0," ",IF(E85="H",IF(H85&lt;1999,VLOOKUP(K85,Minimas!$A$15:$F$29,6),IF(AND(H85&gt;1998,H85&lt;2002),VLOOKUP(K85,Minimas!$A$15:$F$29,5),IF(AND(H85&gt;2001,H85&lt;2004),VLOOKUP(K85,Minimas!$A$15:$F$29,4),IF(AND(H85&gt;2003,H85&lt;2006),VLOOKUP(K85,Minimas!$A$15:$F$29,3),VLOOKUP(K85,Minimas!$A$15:$F$29,2))))),IF(H85&lt;1999,VLOOKUP(K85,Minimas!$G$15:$L$29,6),IF(AND(H85&gt;1998,H85&lt;2002),VLOOKUP(K85,Minimas!$G$15:$L$29,5),IF(AND(H85&gt;2001,H85&lt;2004),VLOOKUP(K85,Minimas!$G$15:$L$29,4),IF(AND(H85&gt;2003,H85&lt;2006),VLOOKUP(K85,Minimas!$G$15:$L$29,3),VLOOKUP(K85,Minimas!$G$15:$L$29,2)))))))</f>
        <v>SE M61</v>
      </c>
      <c r="W85" s="205">
        <f t="shared" si="19"/>
        <v>169.97878501774778</v>
      </c>
      <c r="X85" s="285">
        <v>43401</v>
      </c>
      <c r="Y85" s="284" t="s">
        <v>507</v>
      </c>
      <c r="Z85" s="284" t="s">
        <v>506</v>
      </c>
      <c r="AA85" s="232"/>
      <c r="AB85" s="230">
        <f>T85-HLOOKUP(V85,Minimas!$C$3:$CD$12,2,FALSE)</f>
        <v>1</v>
      </c>
      <c r="AC85" s="230">
        <f>T85-HLOOKUP(V85,Minimas!$C$3:$CD$12,3,FALSE)</f>
        <v>-19</v>
      </c>
      <c r="AD85" s="230">
        <f>T85-HLOOKUP(V85,Minimas!$C$3:$CD$12,4,FALSE)</f>
        <v>-39</v>
      </c>
      <c r="AE85" s="230">
        <f>T85-HLOOKUP(V85,Minimas!$C$3:$CD$12,5,FALSE)</f>
        <v>-59</v>
      </c>
      <c r="AF85" s="230">
        <f>T85-HLOOKUP(V85,Minimas!$C$3:$CD$12,6,FALSE)</f>
        <v>-84</v>
      </c>
      <c r="AG85" s="230">
        <f>T85-HLOOKUP(V85,Minimas!$C$3:$CD$12,7,FALSE)</f>
        <v>-104</v>
      </c>
      <c r="AH85" s="230">
        <f>T85-HLOOKUP(V85,Minimas!$C$3:$CD$12,8,FALSE)</f>
        <v>-124</v>
      </c>
      <c r="AI85" s="230">
        <f>T85-HLOOKUP(V85,Minimas!$C$3:$CD$12,9,FALSE)</f>
        <v>-149</v>
      </c>
      <c r="AJ85" s="230">
        <f>T85-HLOOKUP(V85,Minimas!$C$3:$CD$12,10,FALSE)</f>
        <v>-164</v>
      </c>
      <c r="AK85" s="231" t="str">
        <f t="shared" si="25"/>
        <v>DEB</v>
      </c>
      <c r="AL85" s="232"/>
      <c r="AM85" s="232" t="str">
        <f t="shared" si="26"/>
        <v>DEB</v>
      </c>
      <c r="AN85" s="232">
        <f t="shared" si="27"/>
        <v>1</v>
      </c>
      <c r="AO85" s="232"/>
      <c r="AP85" s="485"/>
      <c r="AQ85" s="485"/>
      <c r="AR85" s="485"/>
      <c r="AS85" s="485"/>
      <c r="AT85" s="485"/>
      <c r="AU85" s="485"/>
      <c r="AV85" s="485"/>
      <c r="AW85" s="485"/>
      <c r="AX85" s="485"/>
      <c r="AY85" s="485"/>
      <c r="AZ85" s="485"/>
      <c r="BA85" s="485"/>
      <c r="BB85" s="485"/>
      <c r="BC85" s="485"/>
      <c r="BD85" s="485"/>
      <c r="BE85" s="485"/>
      <c r="BF85" s="485"/>
      <c r="BG85" s="485"/>
      <c r="BH85" s="485"/>
      <c r="BI85" s="485"/>
      <c r="BJ85" s="485"/>
      <c r="BK85" s="485"/>
      <c r="BL85" s="485"/>
      <c r="BM85" s="485"/>
      <c r="BN85" s="485"/>
      <c r="BO85" s="485"/>
      <c r="BP85" s="485"/>
      <c r="BQ85" s="485"/>
      <c r="BR85" s="485"/>
      <c r="BS85" s="485"/>
      <c r="BT85" s="485"/>
      <c r="BU85" s="485"/>
      <c r="BV85" s="485"/>
      <c r="BW85" s="485"/>
      <c r="BX85" s="485"/>
      <c r="BY85" s="485"/>
      <c r="BZ85" s="485"/>
      <c r="CA85" s="485"/>
      <c r="CB85" s="485"/>
      <c r="CC85" s="485"/>
      <c r="CD85" s="485"/>
      <c r="CE85" s="485"/>
      <c r="CF85" s="485"/>
      <c r="CG85" s="485"/>
      <c r="CH85" s="485"/>
      <c r="CI85" s="485"/>
      <c r="CJ85" s="485"/>
      <c r="CK85" s="485"/>
      <c r="CL85" s="485"/>
      <c r="CM85" s="485"/>
      <c r="CN85" s="485"/>
      <c r="CO85" s="485"/>
      <c r="CP85" s="485"/>
      <c r="CQ85" s="485"/>
      <c r="CR85" s="485"/>
      <c r="CS85" s="485"/>
      <c r="CT85" s="485"/>
      <c r="CU85" s="485"/>
      <c r="CV85" s="485"/>
      <c r="CW85" s="485"/>
      <c r="CX85" s="485"/>
      <c r="CY85" s="485"/>
      <c r="CZ85" s="485"/>
      <c r="DA85" s="485"/>
      <c r="DB85" s="485"/>
      <c r="DC85" s="485"/>
      <c r="DD85" s="485"/>
      <c r="DE85" s="485"/>
      <c r="DF85" s="485"/>
      <c r="DG85" s="485"/>
      <c r="DH85" s="485"/>
      <c r="DI85" s="485"/>
      <c r="DJ85" s="485"/>
      <c r="DK85" s="485"/>
      <c r="DL85" s="485"/>
      <c r="DM85" s="485"/>
      <c r="DN85" s="485"/>
      <c r="DO85" s="485"/>
      <c r="DP85" s="485"/>
      <c r="DQ85" s="485"/>
      <c r="DR85" s="485"/>
      <c r="DS85" s="485"/>
      <c r="DT85" s="485"/>
    </row>
    <row r="86" spans="1:124" s="5" customFormat="1" ht="30" customHeight="1" x14ac:dyDescent="0.25">
      <c r="B86" s="136" t="s">
        <v>543</v>
      </c>
      <c r="C86" s="116">
        <v>130685</v>
      </c>
      <c r="D86" s="265"/>
      <c r="E86" s="175" t="s">
        <v>40</v>
      </c>
      <c r="F86" s="266" t="s">
        <v>350</v>
      </c>
      <c r="G86" s="125" t="s">
        <v>351</v>
      </c>
      <c r="H86" s="267">
        <v>1991</v>
      </c>
      <c r="I86" s="127" t="s">
        <v>170</v>
      </c>
      <c r="J86" s="146" t="s">
        <v>44</v>
      </c>
      <c r="K86" s="126">
        <v>66.2</v>
      </c>
      <c r="L86" s="109">
        <v>105</v>
      </c>
      <c r="M86" s="109">
        <v>108</v>
      </c>
      <c r="N86" s="109">
        <v>110</v>
      </c>
      <c r="O86" s="202">
        <f t="shared" si="15"/>
        <v>110</v>
      </c>
      <c r="P86" s="109">
        <v>125</v>
      </c>
      <c r="Q86" s="109">
        <v>130</v>
      </c>
      <c r="R86" s="109">
        <v>133</v>
      </c>
      <c r="S86" s="202">
        <f t="shared" si="16"/>
        <v>133</v>
      </c>
      <c r="T86" s="203">
        <f t="shared" si="28"/>
        <v>243</v>
      </c>
      <c r="U86" s="204" t="str">
        <f t="shared" si="24"/>
        <v>NAT + 3</v>
      </c>
      <c r="V86" s="204" t="str">
        <f>IF(E86=0," ",IF(E86="H",IF(H86&lt;1999,VLOOKUP(K86,Minimas!$A$15:$F$29,6),IF(AND(H86&gt;1998,H86&lt;2002),VLOOKUP(K86,Minimas!$A$15:$F$29,5),IF(AND(H86&gt;2001,H86&lt;2004),VLOOKUP(K86,Minimas!$A$15:$F$29,4),IF(AND(H86&gt;2003,H86&lt;2006),VLOOKUP(K86,Minimas!$A$15:$F$29,3),VLOOKUP(K86,Minimas!$A$15:$F$29,2))))),IF(H86&lt;1999,VLOOKUP(K86,Minimas!$G$15:$L$29,6),IF(AND(H86&gt;1998,H86&lt;2002),VLOOKUP(K86,Minimas!$G$15:$L$29,5),IF(AND(H86&gt;2001,H86&lt;2004),VLOOKUP(K86,Minimas!$G$15:$L$29,4),IF(AND(H86&gt;2003,H86&lt;2006),VLOOKUP(K86,Minimas!$G$15:$L$29,3),VLOOKUP(K86,Minimas!$G$15:$L$29,2)))))))</f>
        <v>SE M67</v>
      </c>
      <c r="W86" s="205">
        <f t="shared" si="19"/>
        <v>331.45945557408146</v>
      </c>
      <c r="X86" s="817">
        <v>43484</v>
      </c>
      <c r="Y86" s="261" t="s">
        <v>630</v>
      </c>
      <c r="Z86" s="261" t="s">
        <v>581</v>
      </c>
      <c r="AA86" s="232"/>
      <c r="AB86" s="230">
        <f>T86-HLOOKUP(V86,Minimas!$C$3:$CD$12,2,FALSE)</f>
        <v>118</v>
      </c>
      <c r="AC86" s="230">
        <f>T86-HLOOKUP(V86,Minimas!$C$3:$CD$12,3,FALSE)</f>
        <v>98</v>
      </c>
      <c r="AD86" s="230">
        <f>T86-HLOOKUP(V86,Minimas!$C$3:$CD$12,4,FALSE)</f>
        <v>73</v>
      </c>
      <c r="AE86" s="230">
        <f>T86-HLOOKUP(V86,Minimas!$C$3:$CD$12,5,FALSE)</f>
        <v>48</v>
      </c>
      <c r="AF86" s="230">
        <f>T86-HLOOKUP(V86,Minimas!$C$3:$CD$12,6,FALSE)</f>
        <v>18</v>
      </c>
      <c r="AG86" s="230">
        <f>T86-HLOOKUP(V86,Minimas!$C$3:$CD$12,7,FALSE)</f>
        <v>3</v>
      </c>
      <c r="AH86" s="230">
        <f>T86-HLOOKUP(V86,Minimas!$C$3:$CD$12,8,FALSE)</f>
        <v>-17</v>
      </c>
      <c r="AI86" s="230">
        <f>T86-HLOOKUP(V86,Minimas!$C$3:$CD$12,9,FALSE)</f>
        <v>-37</v>
      </c>
      <c r="AJ86" s="230">
        <f>T86-HLOOKUP(V86,Minimas!$C$3:$CD$12,10,FALSE)</f>
        <v>-52</v>
      </c>
      <c r="AK86" s="231" t="str">
        <f t="shared" si="25"/>
        <v>NAT +</v>
      </c>
      <c r="AL86" s="232"/>
      <c r="AM86" s="232" t="str">
        <f t="shared" si="26"/>
        <v>NAT +</v>
      </c>
      <c r="AN86" s="232">
        <f t="shared" si="27"/>
        <v>3</v>
      </c>
      <c r="AO86" s="232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  <c r="BH86" s="38"/>
      <c r="BI86" s="38"/>
      <c r="BJ86" s="38"/>
      <c r="BK86" s="38"/>
      <c r="BL86" s="38"/>
      <c r="BM86" s="38"/>
      <c r="BN86" s="38"/>
      <c r="BO86" s="38"/>
      <c r="BP86" s="38"/>
      <c r="BQ86" s="38"/>
      <c r="BR86" s="38"/>
      <c r="BS86" s="38"/>
      <c r="BT86" s="38"/>
      <c r="BU86" s="38"/>
      <c r="BV86" s="38"/>
      <c r="BW86" s="38"/>
      <c r="BX86" s="38"/>
      <c r="BY86" s="38"/>
      <c r="BZ86" s="38"/>
      <c r="CA86" s="38"/>
      <c r="CB86" s="38"/>
      <c r="CC86" s="38"/>
      <c r="CD86" s="38"/>
      <c r="CE86" s="38"/>
      <c r="CF86" s="38"/>
      <c r="CG86" s="38"/>
      <c r="CH86" s="38"/>
      <c r="CI86" s="38"/>
      <c r="CJ86" s="38"/>
      <c r="CK86" s="38"/>
      <c r="CL86" s="38"/>
      <c r="CM86" s="38"/>
      <c r="CN86" s="38"/>
      <c r="CO86" s="38"/>
      <c r="CP86" s="38"/>
      <c r="CQ86" s="38"/>
      <c r="CR86" s="38"/>
      <c r="CS86" s="38"/>
      <c r="CT86" s="38"/>
      <c r="CU86" s="38"/>
      <c r="CV86" s="38"/>
      <c r="CW86" s="38"/>
      <c r="CX86" s="38"/>
      <c r="CY86" s="38"/>
      <c r="CZ86" s="38"/>
      <c r="DA86" s="38"/>
      <c r="DB86" s="38"/>
      <c r="DC86" s="38"/>
      <c r="DD86" s="38"/>
      <c r="DE86" s="38"/>
      <c r="DF86" s="38"/>
      <c r="DG86" s="38"/>
      <c r="DH86" s="38"/>
      <c r="DI86" s="38"/>
      <c r="DJ86" s="38"/>
      <c r="DK86" s="38"/>
      <c r="DL86" s="38"/>
      <c r="DM86" s="38"/>
      <c r="DN86" s="38"/>
      <c r="DO86" s="38"/>
      <c r="DP86" s="38"/>
      <c r="DQ86" s="38"/>
      <c r="DR86" s="38"/>
      <c r="DS86" s="38"/>
      <c r="DT86" s="38"/>
    </row>
    <row r="87" spans="1:124" s="5" customFormat="1" ht="30" customHeight="1" x14ac:dyDescent="0.25">
      <c r="A87" s="484"/>
      <c r="B87" s="136" t="s">
        <v>543</v>
      </c>
      <c r="C87" s="166">
        <v>310069</v>
      </c>
      <c r="D87" s="167"/>
      <c r="E87" s="476" t="s">
        <v>40</v>
      </c>
      <c r="F87" s="217" t="s">
        <v>269</v>
      </c>
      <c r="G87" s="144" t="s">
        <v>270</v>
      </c>
      <c r="H87" s="218">
        <v>1995</v>
      </c>
      <c r="I87" s="169" t="s">
        <v>139</v>
      </c>
      <c r="J87" s="168" t="s">
        <v>44</v>
      </c>
      <c r="K87" s="147">
        <v>65.7</v>
      </c>
      <c r="L87" s="118">
        <v>100</v>
      </c>
      <c r="M87" s="118">
        <v>105</v>
      </c>
      <c r="N87" s="148">
        <v>-108</v>
      </c>
      <c r="O87" s="202">
        <f t="shared" si="15"/>
        <v>105</v>
      </c>
      <c r="P87" s="118">
        <v>125</v>
      </c>
      <c r="Q87" s="148">
        <v>-130</v>
      </c>
      <c r="R87" s="148">
        <v>-135</v>
      </c>
      <c r="S87" s="202">
        <f t="shared" si="16"/>
        <v>125</v>
      </c>
      <c r="T87" s="203">
        <f t="shared" si="28"/>
        <v>230</v>
      </c>
      <c r="U87" s="204" t="str">
        <f t="shared" si="24"/>
        <v>FED + 5</v>
      </c>
      <c r="V87" s="204" t="str">
        <f>IF(E87=0," ",IF(E87="H",IF(H87&lt;1999,VLOOKUP(K87,Minimas!$A$15:$F$29,6),IF(AND(H87&gt;1998,H87&lt;2002),VLOOKUP(K87,Minimas!$A$15:$F$29,5),IF(AND(H87&gt;2001,H87&lt;2004),VLOOKUP(K87,Minimas!$A$15:$F$29,4),IF(AND(H87&gt;2003,H87&lt;2006),VLOOKUP(K87,Minimas!$A$15:$F$29,3),VLOOKUP(K87,Minimas!$A$15:$F$29,2))))),IF(H87&lt;1999,VLOOKUP(K87,Minimas!$G$15:$L$29,6),IF(AND(H87&gt;1998,H87&lt;2002),VLOOKUP(K87,Minimas!$G$15:$L$29,5),IF(AND(H87&gt;2001,H87&lt;2004),VLOOKUP(K87,Minimas!$G$15:$L$29,4),IF(AND(H87&gt;2003,H87&lt;2006),VLOOKUP(K87,Minimas!$G$15:$L$29,3),VLOOKUP(K87,Minimas!$G$15:$L$29,2)))))))</f>
        <v>SE M67</v>
      </c>
      <c r="W87" s="205">
        <f t="shared" si="19"/>
        <v>315.25129986755729</v>
      </c>
      <c r="X87" s="817">
        <v>43485</v>
      </c>
      <c r="Y87" s="261" t="s">
        <v>640</v>
      </c>
      <c r="Z87" s="261" t="s">
        <v>514</v>
      </c>
      <c r="AA87" s="232"/>
      <c r="AB87" s="230">
        <f>T87-HLOOKUP(V87,Minimas!$C$3:$CD$12,2,FALSE)</f>
        <v>105</v>
      </c>
      <c r="AC87" s="230">
        <f>T87-HLOOKUP(V87,Minimas!$C$3:$CD$12,3,FALSE)</f>
        <v>85</v>
      </c>
      <c r="AD87" s="230">
        <f>T87-HLOOKUP(V87,Minimas!$C$3:$CD$12,4,FALSE)</f>
        <v>60</v>
      </c>
      <c r="AE87" s="230">
        <f>T87-HLOOKUP(V87,Minimas!$C$3:$CD$12,5,FALSE)</f>
        <v>35</v>
      </c>
      <c r="AF87" s="230">
        <f>T87-HLOOKUP(V87,Minimas!$C$3:$CD$12,6,FALSE)</f>
        <v>5</v>
      </c>
      <c r="AG87" s="230">
        <f>T87-HLOOKUP(V87,Minimas!$C$3:$CD$12,7,FALSE)</f>
        <v>-10</v>
      </c>
      <c r="AH87" s="230">
        <f>T87-HLOOKUP(V87,Minimas!$C$3:$CD$12,8,FALSE)</f>
        <v>-30</v>
      </c>
      <c r="AI87" s="230">
        <f>T87-HLOOKUP(V87,Minimas!$C$3:$CD$12,9,FALSE)</f>
        <v>-50</v>
      </c>
      <c r="AJ87" s="230">
        <f>T87-HLOOKUP(V87,Minimas!$C$3:$CD$12,10,FALSE)</f>
        <v>-65</v>
      </c>
      <c r="AK87" s="231" t="str">
        <f t="shared" si="25"/>
        <v>FED +</v>
      </c>
      <c r="AL87" s="232"/>
      <c r="AM87" s="232" t="str">
        <f t="shared" si="26"/>
        <v>FED +</v>
      </c>
      <c r="AN87" s="232">
        <f t="shared" si="27"/>
        <v>5</v>
      </c>
      <c r="AO87" s="232"/>
      <c r="AP87" s="485"/>
      <c r="AQ87" s="485"/>
      <c r="AR87" s="485"/>
      <c r="AS87" s="485"/>
      <c r="AT87" s="485"/>
      <c r="AU87" s="485"/>
      <c r="AV87" s="485"/>
      <c r="AW87" s="485"/>
      <c r="AX87" s="485"/>
      <c r="AY87" s="485"/>
      <c r="AZ87" s="485"/>
      <c r="BA87" s="485"/>
      <c r="BB87" s="485"/>
      <c r="BC87" s="485"/>
      <c r="BD87" s="485"/>
      <c r="BE87" s="485"/>
      <c r="BF87" s="485"/>
      <c r="BG87" s="485"/>
      <c r="BH87" s="485"/>
      <c r="BI87" s="485"/>
      <c r="BJ87" s="485"/>
      <c r="BK87" s="485"/>
      <c r="BL87" s="485"/>
      <c r="BM87" s="485"/>
      <c r="BN87" s="485"/>
      <c r="BO87" s="485"/>
      <c r="BP87" s="485"/>
      <c r="BQ87" s="485"/>
      <c r="BR87" s="485"/>
      <c r="BS87" s="485"/>
      <c r="BT87" s="485"/>
      <c r="BU87" s="485"/>
      <c r="BV87" s="485"/>
      <c r="BW87" s="485"/>
      <c r="BX87" s="485"/>
      <c r="BY87" s="485"/>
      <c r="BZ87" s="485"/>
      <c r="CA87" s="485"/>
      <c r="CB87" s="485"/>
      <c r="CC87" s="485"/>
      <c r="CD87" s="485"/>
      <c r="CE87" s="485"/>
      <c r="CF87" s="485"/>
      <c r="CG87" s="485"/>
      <c r="CH87" s="485"/>
      <c r="CI87" s="485"/>
      <c r="CJ87" s="485"/>
      <c r="CK87" s="485"/>
      <c r="CL87" s="485"/>
      <c r="CM87" s="485"/>
      <c r="CN87" s="485"/>
      <c r="CO87" s="485"/>
      <c r="CP87" s="485"/>
      <c r="CQ87" s="485"/>
      <c r="CR87" s="485"/>
      <c r="CS87" s="485"/>
      <c r="CT87" s="485"/>
      <c r="CU87" s="485"/>
      <c r="CV87" s="485"/>
      <c r="CW87" s="485"/>
      <c r="CX87" s="485"/>
      <c r="CY87" s="485"/>
      <c r="CZ87" s="485"/>
      <c r="DA87" s="485"/>
      <c r="DB87" s="485"/>
      <c r="DC87" s="485"/>
      <c r="DD87" s="485"/>
      <c r="DE87" s="485"/>
      <c r="DF87" s="485"/>
      <c r="DG87" s="485"/>
      <c r="DH87" s="485"/>
      <c r="DI87" s="485"/>
      <c r="DJ87" s="485"/>
      <c r="DK87" s="485"/>
      <c r="DL87" s="485"/>
      <c r="DM87" s="485"/>
      <c r="DN87" s="485"/>
      <c r="DO87" s="485"/>
      <c r="DP87" s="485"/>
      <c r="DQ87" s="485"/>
      <c r="DR87" s="485"/>
      <c r="DS87" s="485"/>
      <c r="DT87" s="485"/>
    </row>
    <row r="88" spans="1:124" s="5" customFormat="1" ht="30" customHeight="1" x14ac:dyDescent="0.5">
      <c r="B88" s="136" t="s">
        <v>543</v>
      </c>
      <c r="C88" s="447">
        <v>431</v>
      </c>
      <c r="D88" s="99"/>
      <c r="E88" s="98" t="s">
        <v>40</v>
      </c>
      <c r="F88" s="137" t="s">
        <v>237</v>
      </c>
      <c r="G88" s="137" t="s">
        <v>238</v>
      </c>
      <c r="H88" s="98">
        <v>1977</v>
      </c>
      <c r="I88" s="140" t="s">
        <v>214</v>
      </c>
      <c r="J88" s="100" t="s">
        <v>44</v>
      </c>
      <c r="K88" s="139">
        <v>67</v>
      </c>
      <c r="L88" s="103">
        <v>95</v>
      </c>
      <c r="M88" s="128">
        <v>-100</v>
      </c>
      <c r="N88" s="128">
        <v>-100</v>
      </c>
      <c r="O88" s="202">
        <f t="shared" si="15"/>
        <v>95</v>
      </c>
      <c r="P88" s="128">
        <v>-120</v>
      </c>
      <c r="Q88" s="134">
        <v>120</v>
      </c>
      <c r="R88" s="128">
        <v>-125</v>
      </c>
      <c r="S88" s="202">
        <f t="shared" si="16"/>
        <v>120</v>
      </c>
      <c r="T88" s="203">
        <f t="shared" si="28"/>
        <v>215</v>
      </c>
      <c r="U88" s="204" t="str">
        <f t="shared" si="24"/>
        <v>IRG + 20</v>
      </c>
      <c r="V88" s="204" t="str">
        <f>IF(E88=0," ",IF(E88="H",IF(H88&lt;1999,VLOOKUP(K88,Minimas!$A$15:$F$29,6),IF(AND(H88&gt;1998,H88&lt;2002),VLOOKUP(K88,Minimas!$A$15:$F$29,5),IF(AND(H88&gt;2001,H88&lt;2004),VLOOKUP(K88,Minimas!$A$15:$F$29,4),IF(AND(H88&gt;2003,H88&lt;2006),VLOOKUP(K88,Minimas!$A$15:$F$29,3),VLOOKUP(K88,Minimas!$A$15:$F$29,2))))),IF(H88&lt;1999,VLOOKUP(K88,Minimas!$G$15:$L$29,6),IF(AND(H88&gt;1998,H88&lt;2002),VLOOKUP(K88,Minimas!$G$15:$L$29,5),IF(AND(H88&gt;2001,H88&lt;2004),VLOOKUP(K88,Minimas!$G$15:$L$29,4),IF(AND(H88&gt;2003,H88&lt;2006),VLOOKUP(K88,Minimas!$G$15:$L$29,3),VLOOKUP(K88,Minimas!$G$15:$L$29,2)))))))</f>
        <v>SE M67</v>
      </c>
      <c r="W88" s="205">
        <f t="shared" si="19"/>
        <v>291.04555267195531</v>
      </c>
      <c r="X88" s="285">
        <v>43386</v>
      </c>
      <c r="Y88" s="186" t="s">
        <v>503</v>
      </c>
      <c r="Z88" s="286" t="s">
        <v>517</v>
      </c>
      <c r="AA88" s="232"/>
      <c r="AB88" s="230">
        <f>T88-HLOOKUP(V88,Minimas!$C$3:$CD$12,2,FALSE)</f>
        <v>90</v>
      </c>
      <c r="AC88" s="230">
        <f>T88-HLOOKUP(V88,Minimas!$C$3:$CD$12,3,FALSE)</f>
        <v>70</v>
      </c>
      <c r="AD88" s="230">
        <f>T88-HLOOKUP(V88,Minimas!$C$3:$CD$12,4,FALSE)</f>
        <v>45</v>
      </c>
      <c r="AE88" s="230">
        <f>T88-HLOOKUP(V88,Minimas!$C$3:$CD$12,5,FALSE)</f>
        <v>20</v>
      </c>
      <c r="AF88" s="230">
        <f>T88-HLOOKUP(V88,Minimas!$C$3:$CD$12,6,FALSE)</f>
        <v>-10</v>
      </c>
      <c r="AG88" s="230">
        <f>T88-HLOOKUP(V88,Minimas!$C$3:$CD$12,7,FALSE)</f>
        <v>-25</v>
      </c>
      <c r="AH88" s="230">
        <f>T88-HLOOKUP(V88,Minimas!$C$3:$CD$12,8,FALSE)</f>
        <v>-45</v>
      </c>
      <c r="AI88" s="230">
        <f>T88-HLOOKUP(V88,Minimas!$C$3:$CD$12,9,FALSE)</f>
        <v>-65</v>
      </c>
      <c r="AJ88" s="230">
        <f>T88-HLOOKUP(V88,Minimas!$C$3:$CD$12,10,FALSE)</f>
        <v>-80</v>
      </c>
      <c r="AK88" s="231" t="str">
        <f t="shared" si="25"/>
        <v>IRG +</v>
      </c>
      <c r="AL88" s="232"/>
      <c r="AM88" s="232" t="str">
        <f t="shared" si="26"/>
        <v>IRG +</v>
      </c>
      <c r="AN88" s="232">
        <f t="shared" si="27"/>
        <v>20</v>
      </c>
      <c r="AO88" s="232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38"/>
      <c r="BH88" s="38"/>
      <c r="BI88" s="38"/>
      <c r="BJ88" s="38"/>
      <c r="BK88" s="38"/>
      <c r="BL88" s="38"/>
      <c r="BM88" s="38"/>
      <c r="BN88" s="38"/>
      <c r="BO88" s="38"/>
      <c r="BP88" s="38"/>
      <c r="BQ88" s="38"/>
      <c r="BR88" s="38"/>
      <c r="BS88" s="38"/>
      <c r="BT88" s="38"/>
      <c r="BU88" s="38"/>
      <c r="BV88" s="38"/>
      <c r="BW88" s="38"/>
      <c r="BX88" s="38"/>
      <c r="BY88" s="38"/>
      <c r="BZ88" s="38"/>
      <c r="CA88" s="38"/>
      <c r="CB88" s="38"/>
      <c r="CC88" s="38"/>
      <c r="CD88" s="38"/>
      <c r="CE88" s="38"/>
      <c r="CF88" s="38"/>
      <c r="CG88" s="38"/>
      <c r="CH88" s="38"/>
      <c r="CI88" s="38"/>
      <c r="CJ88" s="38"/>
      <c r="CK88" s="38"/>
      <c r="CL88" s="38"/>
      <c r="CM88" s="38"/>
      <c r="CN88" s="38"/>
      <c r="CO88" s="38"/>
      <c r="CP88" s="38"/>
      <c r="CQ88" s="38"/>
      <c r="CR88" s="38"/>
      <c r="CS88" s="38"/>
      <c r="CT88" s="38"/>
      <c r="CU88" s="38"/>
      <c r="CV88" s="38"/>
      <c r="CW88" s="38"/>
      <c r="CX88" s="38"/>
      <c r="CY88" s="38"/>
      <c r="CZ88" s="38"/>
      <c r="DA88" s="38"/>
      <c r="DB88" s="38"/>
      <c r="DC88" s="38"/>
      <c r="DD88" s="38"/>
      <c r="DE88" s="38"/>
      <c r="DF88" s="38"/>
      <c r="DG88" s="38"/>
      <c r="DH88" s="38"/>
      <c r="DI88" s="38"/>
      <c r="DJ88" s="38"/>
      <c r="DK88" s="38"/>
      <c r="DL88" s="38"/>
      <c r="DM88" s="38"/>
      <c r="DN88" s="38"/>
      <c r="DO88" s="38"/>
      <c r="DP88" s="38"/>
      <c r="DQ88" s="38"/>
      <c r="DR88" s="38"/>
      <c r="DS88" s="38"/>
      <c r="DT88" s="38"/>
    </row>
    <row r="89" spans="1:124" s="5" customFormat="1" ht="30" customHeight="1" x14ac:dyDescent="0.25">
      <c r="B89" s="136" t="s">
        <v>543</v>
      </c>
      <c r="C89" s="116">
        <v>425032</v>
      </c>
      <c r="D89" s="265"/>
      <c r="E89" s="175" t="s">
        <v>40</v>
      </c>
      <c r="F89" s="266" t="s">
        <v>599</v>
      </c>
      <c r="G89" s="125" t="s">
        <v>411</v>
      </c>
      <c r="H89" s="267">
        <v>1990</v>
      </c>
      <c r="I89" s="127" t="s">
        <v>600</v>
      </c>
      <c r="J89" s="146" t="s">
        <v>44</v>
      </c>
      <c r="K89" s="126">
        <v>63.4</v>
      </c>
      <c r="L89" s="109">
        <v>85</v>
      </c>
      <c r="M89" s="109">
        <v>90</v>
      </c>
      <c r="N89" s="160">
        <v>-100</v>
      </c>
      <c r="O89" s="202">
        <f t="shared" si="15"/>
        <v>90</v>
      </c>
      <c r="P89" s="109">
        <v>105</v>
      </c>
      <c r="Q89" s="109">
        <v>110</v>
      </c>
      <c r="R89" s="161">
        <v>-115</v>
      </c>
      <c r="S89" s="202">
        <f t="shared" si="16"/>
        <v>110</v>
      </c>
      <c r="T89" s="203">
        <f t="shared" si="28"/>
        <v>200</v>
      </c>
      <c r="U89" s="204" t="str">
        <f t="shared" si="24"/>
        <v>IRG + 5</v>
      </c>
      <c r="V89" s="204" t="str">
        <f>IF(E89=0," ",IF(E89="H",IF(H89&lt;1999,VLOOKUP(K89,Minimas!$A$15:$F$29,6),IF(AND(H89&gt;1998,H89&lt;2002),VLOOKUP(K89,Minimas!$A$15:$F$29,5),IF(AND(H89&gt;2001,H89&lt;2004),VLOOKUP(K89,Minimas!$A$15:$F$29,4),IF(AND(H89&gt;2003,H89&lt;2006),VLOOKUP(K89,Minimas!$A$15:$F$29,3),VLOOKUP(K89,Minimas!$A$15:$F$29,2))))),IF(H89&lt;1999,VLOOKUP(K89,Minimas!$G$15:$L$29,6),IF(AND(H89&gt;1998,H89&lt;2002),VLOOKUP(K89,Minimas!$G$15:$L$29,5),IF(AND(H89&gt;2001,H89&lt;2004),VLOOKUP(K89,Minimas!$G$15:$L$29,4),IF(AND(H89&gt;2003,H89&lt;2006),VLOOKUP(K89,Minimas!$G$15:$L$29,3),VLOOKUP(K89,Minimas!$G$15:$L$29,2)))))))</f>
        <v>SE M67</v>
      </c>
      <c r="W89" s="205">
        <f t="shared" si="19"/>
        <v>280.58926545546529</v>
      </c>
      <c r="X89" s="817">
        <v>43484</v>
      </c>
      <c r="Y89" s="261" t="s">
        <v>630</v>
      </c>
      <c r="Z89" s="261" t="s">
        <v>581</v>
      </c>
      <c r="AA89" s="232"/>
      <c r="AB89" s="230">
        <f>T89-HLOOKUP(V89,Minimas!$C$3:$CD$12,2,FALSE)</f>
        <v>75</v>
      </c>
      <c r="AC89" s="230">
        <f>T89-HLOOKUP(V89,Minimas!$C$3:$CD$12,3,FALSE)</f>
        <v>55</v>
      </c>
      <c r="AD89" s="230">
        <f>T89-HLOOKUP(V89,Minimas!$C$3:$CD$12,4,FALSE)</f>
        <v>30</v>
      </c>
      <c r="AE89" s="230">
        <f>T89-HLOOKUP(V89,Minimas!$C$3:$CD$12,5,FALSE)</f>
        <v>5</v>
      </c>
      <c r="AF89" s="230">
        <f>T89-HLOOKUP(V89,Minimas!$C$3:$CD$12,6,FALSE)</f>
        <v>-25</v>
      </c>
      <c r="AG89" s="230">
        <f>T89-HLOOKUP(V89,Minimas!$C$3:$CD$12,7,FALSE)</f>
        <v>-40</v>
      </c>
      <c r="AH89" s="230">
        <f>T89-HLOOKUP(V89,Minimas!$C$3:$CD$12,8,FALSE)</f>
        <v>-60</v>
      </c>
      <c r="AI89" s="230">
        <f>T89-HLOOKUP(V89,Minimas!$C$3:$CD$12,9,FALSE)</f>
        <v>-80</v>
      </c>
      <c r="AJ89" s="230">
        <f>T89-HLOOKUP(V89,Minimas!$C$3:$CD$12,10,FALSE)</f>
        <v>-95</v>
      </c>
      <c r="AK89" s="231" t="str">
        <f t="shared" si="25"/>
        <v>IRG +</v>
      </c>
      <c r="AL89" s="232"/>
      <c r="AM89" s="232" t="str">
        <f t="shared" si="26"/>
        <v>IRG +</v>
      </c>
      <c r="AN89" s="232">
        <f t="shared" si="27"/>
        <v>5</v>
      </c>
      <c r="AO89" s="232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8"/>
      <c r="BG89" s="38"/>
      <c r="BH89" s="38"/>
      <c r="BI89" s="38"/>
      <c r="BJ89" s="38"/>
      <c r="BK89" s="38"/>
      <c r="BL89" s="38"/>
      <c r="BM89" s="38"/>
      <c r="BN89" s="38"/>
      <c r="BO89" s="38"/>
      <c r="BP89" s="38"/>
      <c r="BQ89" s="38"/>
      <c r="BR89" s="38"/>
      <c r="BS89" s="38"/>
      <c r="BT89" s="38"/>
      <c r="BU89" s="38"/>
      <c r="BV89" s="38"/>
      <c r="BW89" s="38"/>
      <c r="BX89" s="38"/>
      <c r="BY89" s="38"/>
      <c r="BZ89" s="38"/>
      <c r="CA89" s="38"/>
      <c r="CB89" s="38"/>
      <c r="CC89" s="38"/>
      <c r="CD89" s="38"/>
      <c r="CE89" s="38"/>
      <c r="CF89" s="38"/>
      <c r="CG89" s="38"/>
      <c r="CH89" s="38"/>
      <c r="CI89" s="38"/>
      <c r="CJ89" s="38"/>
      <c r="CK89" s="38"/>
      <c r="CL89" s="38"/>
      <c r="CM89" s="38"/>
      <c r="CN89" s="38"/>
      <c r="CO89" s="38"/>
      <c r="CP89" s="38"/>
      <c r="CQ89" s="38"/>
      <c r="CR89" s="38"/>
      <c r="CS89" s="38"/>
      <c r="CT89" s="38"/>
      <c r="CU89" s="38"/>
      <c r="CV89" s="38"/>
      <c r="CW89" s="38"/>
      <c r="CX89" s="38"/>
      <c r="CY89" s="38"/>
      <c r="CZ89" s="38"/>
      <c r="DA89" s="38"/>
      <c r="DB89" s="38"/>
      <c r="DC89" s="38"/>
      <c r="DD89" s="38"/>
      <c r="DE89" s="38"/>
      <c r="DF89" s="38"/>
      <c r="DG89" s="38"/>
      <c r="DH89" s="38"/>
      <c r="DI89" s="38"/>
      <c r="DJ89" s="38"/>
      <c r="DK89" s="38"/>
      <c r="DL89" s="38"/>
      <c r="DM89" s="38"/>
      <c r="DN89" s="38"/>
      <c r="DO89" s="38"/>
      <c r="DP89" s="38"/>
      <c r="DQ89" s="38"/>
      <c r="DR89" s="38"/>
      <c r="DS89" s="38"/>
      <c r="DT89" s="38"/>
    </row>
    <row r="90" spans="1:124" s="5" customFormat="1" ht="30" customHeight="1" x14ac:dyDescent="0.3">
      <c r="A90" s="484"/>
      <c r="B90" s="136" t="s">
        <v>543</v>
      </c>
      <c r="C90" s="447"/>
      <c r="D90" s="137"/>
      <c r="E90" s="98" t="s">
        <v>40</v>
      </c>
      <c r="F90" s="143" t="s">
        <v>276</v>
      </c>
      <c r="G90" s="144" t="s">
        <v>277</v>
      </c>
      <c r="H90" s="145">
        <v>1998</v>
      </c>
      <c r="I90" s="172" t="s">
        <v>271</v>
      </c>
      <c r="J90" s="146" t="s">
        <v>41</v>
      </c>
      <c r="K90" s="147">
        <v>66.489999999999995</v>
      </c>
      <c r="L90" s="148">
        <v>-85</v>
      </c>
      <c r="M90" s="118">
        <v>85</v>
      </c>
      <c r="N90" s="118">
        <v>90</v>
      </c>
      <c r="O90" s="202">
        <f t="shared" si="15"/>
        <v>90</v>
      </c>
      <c r="P90" s="135">
        <v>100</v>
      </c>
      <c r="Q90" s="135">
        <v>105</v>
      </c>
      <c r="R90" s="135">
        <v>110</v>
      </c>
      <c r="S90" s="202">
        <f t="shared" si="16"/>
        <v>110</v>
      </c>
      <c r="T90" s="203">
        <f t="shared" si="28"/>
        <v>200</v>
      </c>
      <c r="U90" s="204" t="str">
        <f t="shared" si="24"/>
        <v>IRG + 5</v>
      </c>
      <c r="V90" s="204" t="str">
        <f>IF(E90=0," ",IF(E90="H",IF(H90&lt;1999,VLOOKUP(K90,Minimas!$A$15:$F$29,6),IF(AND(H90&gt;1998,H90&lt;2002),VLOOKUP(K90,Minimas!$A$15:$F$29,5),IF(AND(H90&gt;2001,H90&lt;2004),VLOOKUP(K90,Minimas!$A$15:$F$29,4),IF(AND(H90&gt;2003,H90&lt;2006),VLOOKUP(K90,Minimas!$A$15:$F$29,3),VLOOKUP(K90,Minimas!$A$15:$F$29,2))))),IF(H90&lt;1999,VLOOKUP(K90,Minimas!$G$15:$L$29,6),IF(AND(H90&gt;1998,H90&lt;2002),VLOOKUP(K90,Minimas!$G$15:$L$29,5),IF(AND(H90&gt;2001,H90&lt;2004),VLOOKUP(K90,Minimas!$G$15:$L$29,4),IF(AND(H90&gt;2003,H90&lt;2006),VLOOKUP(K90,Minimas!$G$15:$L$29,3),VLOOKUP(K90,Minimas!$G$15:$L$29,2)))))))</f>
        <v>SE M67</v>
      </c>
      <c r="W90" s="205">
        <f t="shared" si="19"/>
        <v>272.04952300421172</v>
      </c>
      <c r="X90" s="285">
        <v>43401</v>
      </c>
      <c r="Y90" s="284" t="s">
        <v>505</v>
      </c>
      <c r="Z90" s="284" t="s">
        <v>506</v>
      </c>
      <c r="AA90" s="232"/>
      <c r="AB90" s="230">
        <f>T90-HLOOKUP(V90,Minimas!$C$3:$CD$12,2,FALSE)</f>
        <v>75</v>
      </c>
      <c r="AC90" s="230">
        <f>T90-HLOOKUP(V90,Minimas!$C$3:$CD$12,3,FALSE)</f>
        <v>55</v>
      </c>
      <c r="AD90" s="230">
        <f>T90-HLOOKUP(V90,Minimas!$C$3:$CD$12,4,FALSE)</f>
        <v>30</v>
      </c>
      <c r="AE90" s="230">
        <f>T90-HLOOKUP(V90,Minimas!$C$3:$CD$12,5,FALSE)</f>
        <v>5</v>
      </c>
      <c r="AF90" s="230">
        <f>T90-HLOOKUP(V90,Minimas!$C$3:$CD$12,6,FALSE)</f>
        <v>-25</v>
      </c>
      <c r="AG90" s="230">
        <f>T90-HLOOKUP(V90,Minimas!$C$3:$CD$12,7,FALSE)</f>
        <v>-40</v>
      </c>
      <c r="AH90" s="230">
        <f>T90-HLOOKUP(V90,Minimas!$C$3:$CD$12,8,FALSE)</f>
        <v>-60</v>
      </c>
      <c r="AI90" s="230">
        <f>T90-HLOOKUP(V90,Minimas!$C$3:$CD$12,9,FALSE)</f>
        <v>-80</v>
      </c>
      <c r="AJ90" s="230">
        <f>T90-HLOOKUP(V90,Minimas!$C$3:$CD$12,10,FALSE)</f>
        <v>-95</v>
      </c>
      <c r="AK90" s="231" t="str">
        <f t="shared" si="25"/>
        <v>IRG +</v>
      </c>
      <c r="AL90" s="232"/>
      <c r="AM90" s="232" t="str">
        <f t="shared" si="26"/>
        <v>IRG +</v>
      </c>
      <c r="AN90" s="232">
        <f t="shared" si="27"/>
        <v>5</v>
      </c>
      <c r="AO90" s="232"/>
      <c r="AP90" s="485"/>
      <c r="AQ90" s="485"/>
      <c r="AR90" s="485"/>
      <c r="AS90" s="485"/>
      <c r="AT90" s="485"/>
      <c r="AU90" s="485"/>
      <c r="AV90" s="485"/>
      <c r="AW90" s="485"/>
      <c r="AX90" s="485"/>
      <c r="AY90" s="485"/>
      <c r="AZ90" s="485"/>
      <c r="BA90" s="485"/>
      <c r="BB90" s="485"/>
      <c r="BC90" s="485"/>
      <c r="BD90" s="485"/>
      <c r="BE90" s="485"/>
      <c r="BF90" s="485"/>
      <c r="BG90" s="485"/>
      <c r="BH90" s="485"/>
      <c r="BI90" s="485"/>
      <c r="BJ90" s="485"/>
      <c r="BK90" s="485"/>
      <c r="BL90" s="485"/>
      <c r="BM90" s="485"/>
      <c r="BN90" s="485"/>
      <c r="BO90" s="485"/>
      <c r="BP90" s="485"/>
      <c r="BQ90" s="485"/>
      <c r="BR90" s="485"/>
      <c r="BS90" s="485"/>
      <c r="BT90" s="485"/>
      <c r="BU90" s="485"/>
      <c r="BV90" s="485"/>
      <c r="BW90" s="485"/>
      <c r="BX90" s="485"/>
      <c r="BY90" s="485"/>
      <c r="BZ90" s="485"/>
      <c r="CA90" s="485"/>
      <c r="CB90" s="485"/>
      <c r="CC90" s="485"/>
      <c r="CD90" s="485"/>
      <c r="CE90" s="485"/>
      <c r="CF90" s="485"/>
      <c r="CG90" s="485"/>
      <c r="CH90" s="485"/>
      <c r="CI90" s="485"/>
      <c r="CJ90" s="485"/>
      <c r="CK90" s="485"/>
      <c r="CL90" s="485"/>
      <c r="CM90" s="485"/>
      <c r="CN90" s="485"/>
      <c r="CO90" s="485"/>
      <c r="CP90" s="485"/>
      <c r="CQ90" s="485"/>
      <c r="CR90" s="485"/>
      <c r="CS90" s="485"/>
      <c r="CT90" s="485"/>
      <c r="CU90" s="485"/>
      <c r="CV90" s="485"/>
      <c r="CW90" s="485"/>
      <c r="CX90" s="485"/>
      <c r="CY90" s="485"/>
      <c r="CZ90" s="485"/>
      <c r="DA90" s="485"/>
      <c r="DB90" s="485"/>
      <c r="DC90" s="485"/>
      <c r="DD90" s="485"/>
      <c r="DE90" s="485"/>
      <c r="DF90" s="485"/>
      <c r="DG90" s="485"/>
      <c r="DH90" s="485"/>
      <c r="DI90" s="485"/>
      <c r="DJ90" s="485"/>
      <c r="DK90" s="485"/>
      <c r="DL90" s="485"/>
      <c r="DM90" s="485"/>
      <c r="DN90" s="485"/>
      <c r="DO90" s="485"/>
      <c r="DP90" s="485"/>
      <c r="DQ90" s="485"/>
      <c r="DR90" s="485"/>
      <c r="DS90" s="485"/>
      <c r="DT90" s="485"/>
    </row>
    <row r="91" spans="1:124" s="5" customFormat="1" ht="30" customHeight="1" x14ac:dyDescent="0.25">
      <c r="A91" s="1"/>
      <c r="B91" s="516"/>
      <c r="C91" s="700" t="s">
        <v>851</v>
      </c>
      <c r="D91" s="713"/>
      <c r="E91" s="476" t="s">
        <v>40</v>
      </c>
      <c r="F91" s="546" t="s">
        <v>334</v>
      </c>
      <c r="G91" s="553" t="s">
        <v>335</v>
      </c>
      <c r="H91" s="145">
        <v>1998</v>
      </c>
      <c r="I91" s="172" t="s">
        <v>852</v>
      </c>
      <c r="J91" s="146" t="s">
        <v>848</v>
      </c>
      <c r="K91" s="200">
        <v>65.7</v>
      </c>
      <c r="L91" s="785">
        <v>80</v>
      </c>
      <c r="M91" s="785">
        <v>84</v>
      </c>
      <c r="N91" s="785">
        <v>86</v>
      </c>
      <c r="O91" s="606">
        <v>86</v>
      </c>
      <c r="P91" s="785">
        <v>105</v>
      </c>
      <c r="Q91" s="785">
        <v>110</v>
      </c>
      <c r="R91" s="785">
        <v>-115</v>
      </c>
      <c r="S91" s="606">
        <v>110</v>
      </c>
      <c r="T91" s="610">
        <v>196</v>
      </c>
      <c r="U91" s="204" t="str">
        <f t="shared" si="24"/>
        <v>IRG + 1</v>
      </c>
      <c r="V91" s="204" t="str">
        <f>IF(E91=0," ",IF(E91="H",IF(H91&lt;1999,VLOOKUP(K91,[10]Minimas!$A$15:$F$29,6),IF(AND(H91&gt;1998,H91&lt;2002),VLOOKUP(K91,[10]Minimas!$A$15:$F$29,5),IF(AND(H91&gt;2001,H91&lt;2004),VLOOKUP(K91,[10]Minimas!$A$15:$F$29,4),IF(AND(H91&gt;2003,H91&lt;2006),VLOOKUP(K91,[10]Minimas!$A$15:$F$29,3),VLOOKUP(K91,[10]Minimas!$A$15:$F$29,2))))),IF(H91&lt;1999,VLOOKUP(K91,[10]Minimas!$G$15:$L$29,6),IF(AND(H91&gt;1998,H91&lt;2002),VLOOKUP(K91,[10]Minimas!$G$15:$L$29,5),IF(AND(H91&gt;2001,H91&lt;2004),VLOOKUP(K91,[10]Minimas!$G$15:$L$29,4),IF(AND(H91&gt;2003,H91&lt;2006),VLOOKUP(K91,[10]Minimas!$G$15:$L$29,3),VLOOKUP(K91,[10]Minimas!$G$15:$L$29,2)))))))</f>
        <v>SE M67</v>
      </c>
      <c r="W91" s="614">
        <v>268.64893380017924</v>
      </c>
      <c r="X91" s="817">
        <v>43560</v>
      </c>
      <c r="Y91" s="261" t="s">
        <v>849</v>
      </c>
      <c r="Z91" s="261" t="s">
        <v>850</v>
      </c>
      <c r="AA91" s="232"/>
      <c r="AB91" s="230">
        <f>T91-HLOOKUP(V91,[10]Minimas!$C$3:$CD$12,2,FALSE)</f>
        <v>71</v>
      </c>
      <c r="AC91" s="230">
        <f>T91-HLOOKUP(V91,[10]Minimas!$C$3:$CD$12,3,FALSE)</f>
        <v>51</v>
      </c>
      <c r="AD91" s="230">
        <f>T91-HLOOKUP(V91,[10]Minimas!$C$3:$CD$12,4,FALSE)</f>
        <v>26</v>
      </c>
      <c r="AE91" s="230">
        <f>T91-HLOOKUP(V91,[10]Minimas!$C$3:$CD$12,5,FALSE)</f>
        <v>1</v>
      </c>
      <c r="AF91" s="230">
        <f>T91-HLOOKUP(V91,[10]Minimas!$C$3:$CD$12,6,FALSE)</f>
        <v>-29</v>
      </c>
      <c r="AG91" s="230">
        <f>T91-HLOOKUP(V91,[10]Minimas!$C$3:$CD$12,7,FALSE)</f>
        <v>-44</v>
      </c>
      <c r="AH91" s="230">
        <f>T91-HLOOKUP(V91,[10]Minimas!$C$3:$CD$12,8,FALSE)</f>
        <v>-64</v>
      </c>
      <c r="AI91" s="230">
        <f>T91-HLOOKUP(V91,[10]Minimas!$C$3:$CD$12,9,FALSE)</f>
        <v>-84</v>
      </c>
      <c r="AJ91" s="230">
        <f>T91-HLOOKUP(V91,[10]Minimas!$C$3:$CD$12,10,FALSE)</f>
        <v>-99</v>
      </c>
      <c r="AK91" s="231" t="str">
        <f t="shared" si="25"/>
        <v>IRG +</v>
      </c>
      <c r="AL91" s="232"/>
      <c r="AM91" s="232" t="str">
        <f t="shared" si="26"/>
        <v>IRG +</v>
      </c>
      <c r="AN91" s="232">
        <f t="shared" si="27"/>
        <v>1</v>
      </c>
      <c r="AO91" s="462"/>
      <c r="AP91" s="484"/>
      <c r="AQ91" s="484"/>
      <c r="AR91" s="484"/>
      <c r="AS91" s="484"/>
      <c r="AT91" s="484"/>
      <c r="AU91" s="484"/>
      <c r="AV91" s="484"/>
      <c r="AW91" s="484"/>
      <c r="AX91" s="484"/>
      <c r="AY91" s="484"/>
      <c r="AZ91" s="484"/>
      <c r="BA91" s="484"/>
      <c r="BB91" s="484"/>
      <c r="BC91" s="484"/>
      <c r="BD91" s="484"/>
      <c r="BE91" s="484"/>
      <c r="BF91" s="484"/>
      <c r="BG91" s="484"/>
      <c r="BH91" s="484"/>
      <c r="BI91" s="484"/>
      <c r="BJ91" s="484"/>
      <c r="BK91" s="484"/>
      <c r="BL91" s="484"/>
      <c r="BM91" s="484"/>
      <c r="BN91" s="484"/>
      <c r="BO91" s="484"/>
      <c r="BP91" s="484"/>
      <c r="BQ91" s="484"/>
      <c r="BR91" s="484"/>
      <c r="BS91" s="484"/>
      <c r="BT91" s="484"/>
      <c r="BU91" s="484"/>
      <c r="BV91" s="484"/>
      <c r="BW91" s="484"/>
      <c r="BX91" s="484"/>
      <c r="BY91" s="484"/>
      <c r="BZ91" s="484"/>
      <c r="CA91" s="484"/>
      <c r="CB91" s="484"/>
      <c r="CC91" s="484"/>
      <c r="CD91" s="484"/>
      <c r="CE91" s="484"/>
      <c r="CF91" s="484"/>
      <c r="CG91" s="484"/>
      <c r="CH91" s="484"/>
      <c r="CI91" s="484"/>
      <c r="CJ91" s="484"/>
      <c r="CK91" s="484"/>
      <c r="CL91" s="484"/>
      <c r="CM91" s="484"/>
      <c r="CN91" s="484"/>
      <c r="CO91" s="484"/>
      <c r="CP91" s="484"/>
      <c r="CQ91" s="484"/>
      <c r="CR91" s="484"/>
      <c r="CS91" s="484"/>
      <c r="CT91" s="484"/>
      <c r="CU91" s="484"/>
      <c r="CV91" s="484"/>
      <c r="CW91" s="484"/>
      <c r="CX91" s="484"/>
      <c r="CY91" s="484"/>
      <c r="CZ91" s="484"/>
      <c r="DA91" s="484"/>
      <c r="DB91" s="484"/>
      <c r="DC91" s="484"/>
      <c r="DD91" s="484"/>
      <c r="DE91" s="484"/>
      <c r="DF91" s="484"/>
      <c r="DG91" s="484"/>
      <c r="DH91" s="484"/>
      <c r="DI91" s="484"/>
      <c r="DJ91" s="484"/>
      <c r="DK91" s="484"/>
      <c r="DL91" s="484"/>
      <c r="DM91" s="484"/>
      <c r="DN91" s="484"/>
      <c r="DO91" s="484"/>
      <c r="DP91" s="484"/>
      <c r="DQ91" s="484"/>
      <c r="DR91" s="1"/>
      <c r="DS91" s="1"/>
      <c r="DT91" s="1"/>
    </row>
    <row r="92" spans="1:124" s="5" customFormat="1" ht="30" customHeight="1" x14ac:dyDescent="0.25">
      <c r="A92" s="484"/>
      <c r="B92" s="136" t="s">
        <v>543</v>
      </c>
      <c r="C92" s="475">
        <v>181856</v>
      </c>
      <c r="D92" s="99"/>
      <c r="E92" s="140" t="s">
        <v>40</v>
      </c>
      <c r="F92" s="445" t="s">
        <v>257</v>
      </c>
      <c r="G92" s="445" t="s">
        <v>352</v>
      </c>
      <c r="H92" s="140">
        <v>1983</v>
      </c>
      <c r="I92" s="140" t="s">
        <v>254</v>
      </c>
      <c r="J92" s="141" t="s">
        <v>44</v>
      </c>
      <c r="K92" s="142">
        <v>66.62</v>
      </c>
      <c r="L92" s="434">
        <v>86</v>
      </c>
      <c r="M92" s="434">
        <v>92</v>
      </c>
      <c r="N92" s="435">
        <v>-94</v>
      </c>
      <c r="O92" s="202">
        <f>IF(E92="","",IF(MAXA(L92:N92)&lt;=0,0,MAXA(L92:N92)))</f>
        <v>92</v>
      </c>
      <c r="P92" s="436">
        <v>103</v>
      </c>
      <c r="Q92" s="436">
        <v>-123</v>
      </c>
      <c r="R92" s="435" t="s">
        <v>498</v>
      </c>
      <c r="S92" s="202">
        <f>IF(E92="","",IF(MAXA(P92:R92)&lt;=0,0,MAXA(P92:R92)))</f>
        <v>103</v>
      </c>
      <c r="T92" s="203">
        <f>IF(E92="","",IF(OR(O92=0,S92=0),0,O92+S92))</f>
        <v>195</v>
      </c>
      <c r="U92" s="204" t="str">
        <f t="shared" si="24"/>
        <v>IRG + 0</v>
      </c>
      <c r="V92" s="204" t="str">
        <f>IF(E92=0," ",IF(E92="H",IF(H92&lt;1999,VLOOKUP(K92,Minimas!$A$15:$F$29,6),IF(AND(H92&gt;1998,H92&lt;2002),VLOOKUP(K92,Minimas!$A$15:$F$29,5),IF(AND(H92&gt;2001,H92&lt;2004),VLOOKUP(K92,Minimas!$A$15:$F$29,4),IF(AND(H92&gt;2003,H92&lt;2006),VLOOKUP(K92,Minimas!$A$15:$F$29,3),VLOOKUP(K92,Minimas!$A$15:$F$29,2))))),IF(H92&lt;1999,VLOOKUP(K92,Minimas!$G$15:$L$29,6),IF(AND(H92&gt;1998,H92&lt;2002),VLOOKUP(K92,Minimas!$G$15:$L$29,5),IF(AND(H92&gt;2001,H92&lt;2004),VLOOKUP(K92,Minimas!$G$15:$L$29,4),IF(AND(H92&gt;2003,H92&lt;2006),VLOOKUP(K92,Minimas!$G$15:$L$29,3),VLOOKUP(K92,Minimas!$G$15:$L$29,2)))))))</f>
        <v>SE M67</v>
      </c>
      <c r="W92" s="205">
        <f>IF(E92=" "," ",IF(E92="H",10^(0.75194503*LOG(K92/175.508)^2)*T92,IF(E92="F",10^(0.783497476* LOG(K92/153.655)^2)*T92,"")))</f>
        <v>264.92036706377473</v>
      </c>
      <c r="X92" s="817">
        <v>43576</v>
      </c>
      <c r="Y92" s="261" t="s">
        <v>860</v>
      </c>
      <c r="Z92" s="261" t="s">
        <v>861</v>
      </c>
      <c r="AA92" s="232"/>
      <c r="AB92" s="230">
        <f>T92-HLOOKUP(V92,Minimas!$C$3:$CD$12,2,FALSE)</f>
        <v>70</v>
      </c>
      <c r="AC92" s="230">
        <f>T92-HLOOKUP(V92,Minimas!$C$3:$CD$12,3,FALSE)</f>
        <v>50</v>
      </c>
      <c r="AD92" s="230">
        <f>T92-HLOOKUP(V92,Minimas!$C$3:$CD$12,4,FALSE)</f>
        <v>25</v>
      </c>
      <c r="AE92" s="230">
        <f>T92-HLOOKUP(V92,Minimas!$C$3:$CD$12,5,FALSE)</f>
        <v>0</v>
      </c>
      <c r="AF92" s="230">
        <f>T92-HLOOKUP(V92,Minimas!$C$3:$CD$12,6,FALSE)</f>
        <v>-30</v>
      </c>
      <c r="AG92" s="230">
        <f>T92-HLOOKUP(V92,Minimas!$C$3:$CD$12,7,FALSE)</f>
        <v>-45</v>
      </c>
      <c r="AH92" s="230">
        <f>T92-HLOOKUP(V92,Minimas!$C$3:$CD$12,8,FALSE)</f>
        <v>-65</v>
      </c>
      <c r="AI92" s="230">
        <f>T92-HLOOKUP(V92,Minimas!$C$3:$CD$12,9,FALSE)</f>
        <v>-85</v>
      </c>
      <c r="AJ92" s="230">
        <f>T92-HLOOKUP(V92,Minimas!$C$3:$CD$12,10,FALSE)</f>
        <v>-100</v>
      </c>
      <c r="AK92" s="231" t="str">
        <f t="shared" si="25"/>
        <v>IRG +</v>
      </c>
      <c r="AL92" s="232"/>
      <c r="AM92" s="232" t="str">
        <f t="shared" si="26"/>
        <v>IRG +</v>
      </c>
      <c r="AN92" s="232">
        <f t="shared" si="27"/>
        <v>0</v>
      </c>
      <c r="AO92" s="232"/>
      <c r="AP92" s="485"/>
      <c r="AQ92" s="485"/>
      <c r="AR92" s="485"/>
      <c r="AS92" s="485"/>
      <c r="AT92" s="485"/>
      <c r="AU92" s="485"/>
      <c r="AV92" s="485"/>
      <c r="AW92" s="485"/>
      <c r="AX92" s="485"/>
      <c r="AY92" s="485"/>
      <c r="AZ92" s="485"/>
      <c r="BA92" s="485"/>
      <c r="BB92" s="485"/>
      <c r="BC92" s="485"/>
      <c r="BD92" s="485"/>
      <c r="BE92" s="485"/>
      <c r="BF92" s="485"/>
      <c r="BG92" s="485"/>
      <c r="BH92" s="485"/>
      <c r="BI92" s="485"/>
      <c r="BJ92" s="485"/>
      <c r="BK92" s="485"/>
      <c r="BL92" s="485"/>
      <c r="BM92" s="485"/>
      <c r="BN92" s="485"/>
      <c r="BO92" s="485"/>
      <c r="BP92" s="485"/>
      <c r="BQ92" s="485"/>
      <c r="BR92" s="485"/>
      <c r="BS92" s="485"/>
      <c r="BT92" s="485"/>
      <c r="BU92" s="485"/>
      <c r="BV92" s="485"/>
      <c r="BW92" s="485"/>
      <c r="BX92" s="485"/>
      <c r="BY92" s="485"/>
      <c r="BZ92" s="485"/>
      <c r="CA92" s="485"/>
      <c r="CB92" s="485"/>
      <c r="CC92" s="485"/>
      <c r="CD92" s="485"/>
      <c r="CE92" s="485"/>
      <c r="CF92" s="485"/>
      <c r="CG92" s="485"/>
      <c r="CH92" s="485"/>
      <c r="CI92" s="485"/>
      <c r="CJ92" s="485"/>
      <c r="CK92" s="485"/>
      <c r="CL92" s="485"/>
      <c r="CM92" s="485"/>
      <c r="CN92" s="485"/>
      <c r="CO92" s="485"/>
      <c r="CP92" s="485"/>
      <c r="CQ92" s="485"/>
      <c r="CR92" s="485"/>
      <c r="CS92" s="485"/>
      <c r="CT92" s="485"/>
      <c r="CU92" s="485"/>
      <c r="CV92" s="485"/>
      <c r="CW92" s="485"/>
      <c r="CX92" s="485"/>
      <c r="CY92" s="485"/>
      <c r="CZ92" s="485"/>
      <c r="DA92" s="485"/>
      <c r="DB92" s="485"/>
      <c r="DC92" s="485"/>
      <c r="DD92" s="485"/>
      <c r="DE92" s="485"/>
      <c r="DF92" s="485"/>
      <c r="DG92" s="485"/>
      <c r="DH92" s="485"/>
      <c r="DI92" s="485"/>
      <c r="DJ92" s="485"/>
      <c r="DK92" s="485"/>
      <c r="DL92" s="485"/>
      <c r="DM92" s="485"/>
      <c r="DN92" s="485"/>
      <c r="DO92" s="485"/>
      <c r="DP92" s="485"/>
      <c r="DQ92" s="485"/>
      <c r="DR92" s="485"/>
      <c r="DS92" s="485"/>
      <c r="DT92" s="485"/>
    </row>
    <row r="93" spans="1:124" s="5" customFormat="1" ht="30" customHeight="1" x14ac:dyDescent="0.25">
      <c r="B93" s="136" t="s">
        <v>543</v>
      </c>
      <c r="C93" s="166">
        <v>338586</v>
      </c>
      <c r="D93" s="171"/>
      <c r="E93" s="476" t="s">
        <v>40</v>
      </c>
      <c r="F93" s="143" t="s">
        <v>343</v>
      </c>
      <c r="G93" s="144" t="s">
        <v>344</v>
      </c>
      <c r="H93" s="145">
        <v>1985</v>
      </c>
      <c r="I93" s="172" t="s">
        <v>474</v>
      </c>
      <c r="J93" s="146" t="s">
        <v>44</v>
      </c>
      <c r="K93" s="147">
        <v>66.3</v>
      </c>
      <c r="L93" s="118">
        <v>72</v>
      </c>
      <c r="M93" s="118">
        <v>-77</v>
      </c>
      <c r="N93" s="118">
        <v>77</v>
      </c>
      <c r="O93" s="202">
        <f>IF(E93="","",IF(MAXA(L93:N93)&lt;=0,0,MAXA(L93:N93)))</f>
        <v>77</v>
      </c>
      <c r="P93" s="118">
        <v>93</v>
      </c>
      <c r="Q93" s="118">
        <v>-100</v>
      </c>
      <c r="R93" s="118">
        <v>100</v>
      </c>
      <c r="S93" s="202">
        <f>IF(E93="","",IF(MAXA(P93:R93)&lt;=0,0,MAXA(P93:R93)))</f>
        <v>100</v>
      </c>
      <c r="T93" s="203">
        <f>IF(E93="","",O93+S93)</f>
        <v>177</v>
      </c>
      <c r="U93" s="204" t="str">
        <f t="shared" si="24"/>
        <v>REG + 7</v>
      </c>
      <c r="V93" s="204" t="str">
        <f>IF(E93=0," ",IF(E93="H",IF(H93&lt;1999,VLOOKUP(K93,[27]Minimas!$A$15:$F$29,6),IF(AND(H93&gt;1998,H93&lt;2002),VLOOKUP(K93,[27]Minimas!$A$15:$F$29,5),IF(AND(H93&gt;2001,H93&lt;2004),VLOOKUP(K93,[27]Minimas!$A$15:$F$29,4),IF(AND(H93&gt;2003,H93&lt;2006),VLOOKUP(K93,[27]Minimas!$A$15:$F$29,3),VLOOKUP(K93,[27]Minimas!$A$15:$F$29,2))))),IF(H93&lt;1999,VLOOKUP(K93,[27]Minimas!$G$15:$L$29,6),IF(AND(H93&gt;1998,H93&lt;2002),VLOOKUP(K93,[27]Minimas!$G$15:$L$29,5),IF(AND(H93&gt;2001,H93&lt;2004),VLOOKUP(K93,[27]Minimas!$G$15:$L$29,4),IF(AND(H93&gt;2003,H93&lt;2006),VLOOKUP(K93,[27]Minimas!$G$15:$L$29,3),VLOOKUP(K93,[27]Minimas!$G$15:$L$29,2)))))))</f>
        <v>SE M67</v>
      </c>
      <c r="W93" s="205">
        <f>IF(E93=" "," ",IF(E93="H",10^(0.75194503*LOG(K93/175.508)^2)*T93,IF(E93="F",10^(0.783497476* LOG(K93/153.655)^2)*T93,"")))</f>
        <v>241.20165184834354</v>
      </c>
      <c r="X93" s="817">
        <v>43506</v>
      </c>
      <c r="Y93" s="261" t="s">
        <v>660</v>
      </c>
      <c r="Z93" s="261" t="s">
        <v>661</v>
      </c>
      <c r="AA93" s="232"/>
      <c r="AB93" s="230">
        <f>T93-HLOOKUP(V93,Minimas!$C$3:$CD$12,2,FALSE)</f>
        <v>52</v>
      </c>
      <c r="AC93" s="230">
        <f>T93-HLOOKUP(V93,Minimas!$C$3:$CD$12,3,FALSE)</f>
        <v>32</v>
      </c>
      <c r="AD93" s="230">
        <f>T93-HLOOKUP(V93,Minimas!$C$3:$CD$12,4,FALSE)</f>
        <v>7</v>
      </c>
      <c r="AE93" s="230">
        <f>T93-HLOOKUP(V93,Minimas!$C$3:$CD$12,5,FALSE)</f>
        <v>-18</v>
      </c>
      <c r="AF93" s="230">
        <f>T93-HLOOKUP(V93,Minimas!$C$3:$CD$12,6,FALSE)</f>
        <v>-48</v>
      </c>
      <c r="AG93" s="230">
        <f>T93-HLOOKUP(V93,Minimas!$C$3:$CD$12,7,FALSE)</f>
        <v>-63</v>
      </c>
      <c r="AH93" s="230">
        <f>T93-HLOOKUP(V93,Minimas!$C$3:$CD$12,8,FALSE)</f>
        <v>-83</v>
      </c>
      <c r="AI93" s="230">
        <f>T93-HLOOKUP(V93,Minimas!$C$3:$CD$12,9,FALSE)</f>
        <v>-103</v>
      </c>
      <c r="AJ93" s="230">
        <f>T93-HLOOKUP(V93,Minimas!$C$3:$CD$12,10,FALSE)</f>
        <v>-118</v>
      </c>
      <c r="AK93" s="231" t="str">
        <f t="shared" si="25"/>
        <v>REG +</v>
      </c>
      <c r="AL93" s="232"/>
      <c r="AM93" s="232" t="str">
        <f t="shared" si="26"/>
        <v>REG +</v>
      </c>
      <c r="AN93" s="232">
        <f t="shared" si="27"/>
        <v>7</v>
      </c>
      <c r="AO93" s="232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  <c r="BH93" s="38"/>
      <c r="BI93" s="38"/>
      <c r="BJ93" s="38"/>
      <c r="BK93" s="38"/>
      <c r="BL93" s="38"/>
      <c r="BM93" s="38"/>
      <c r="BN93" s="38"/>
      <c r="BO93" s="38"/>
      <c r="BP93" s="38"/>
      <c r="BQ93" s="38"/>
      <c r="BR93" s="38"/>
      <c r="BS93" s="38"/>
      <c r="BT93" s="38"/>
      <c r="BU93" s="38"/>
      <c r="BV93" s="38"/>
      <c r="BW93" s="38"/>
      <c r="BX93" s="38"/>
      <c r="BY93" s="38"/>
      <c r="BZ93" s="38"/>
      <c r="CA93" s="38"/>
      <c r="CB93" s="38"/>
      <c r="CC93" s="38"/>
      <c r="CD93" s="38"/>
      <c r="CE93" s="38"/>
      <c r="CF93" s="38"/>
      <c r="CG93" s="38"/>
      <c r="CH93" s="38"/>
      <c r="CI93" s="38"/>
      <c r="CJ93" s="38"/>
      <c r="CK93" s="38"/>
      <c r="CL93" s="38"/>
      <c r="CM93" s="38"/>
      <c r="CN93" s="38"/>
      <c r="CO93" s="38"/>
      <c r="CP93" s="38"/>
      <c r="CQ93" s="38"/>
      <c r="CR93" s="38"/>
      <c r="CS93" s="38"/>
      <c r="CT93" s="38"/>
      <c r="CU93" s="38"/>
      <c r="CV93" s="38"/>
      <c r="CW93" s="38"/>
      <c r="CX93" s="38"/>
      <c r="CY93" s="38"/>
      <c r="CZ93" s="38"/>
      <c r="DA93" s="38"/>
      <c r="DB93" s="38"/>
      <c r="DC93" s="38"/>
      <c r="DD93" s="38"/>
      <c r="DE93" s="38"/>
      <c r="DF93" s="38"/>
      <c r="DG93" s="38"/>
      <c r="DH93" s="38"/>
      <c r="DI93" s="38"/>
      <c r="DJ93" s="38"/>
      <c r="DK93" s="38"/>
      <c r="DL93" s="38"/>
      <c r="DM93" s="38"/>
      <c r="DN93" s="38"/>
      <c r="DO93" s="38"/>
      <c r="DP93" s="38"/>
      <c r="DQ93" s="38"/>
      <c r="DR93" s="38"/>
      <c r="DS93" s="38"/>
      <c r="DT93" s="38"/>
    </row>
    <row r="94" spans="1:124" s="5" customFormat="1" ht="30" customHeight="1" x14ac:dyDescent="0.3">
      <c r="B94" s="136" t="s">
        <v>543</v>
      </c>
      <c r="C94" s="116">
        <v>392290</v>
      </c>
      <c r="D94" s="119"/>
      <c r="E94" s="175" t="s">
        <v>40</v>
      </c>
      <c r="F94" s="124" t="s">
        <v>337</v>
      </c>
      <c r="G94" s="125" t="s">
        <v>338</v>
      </c>
      <c r="H94" s="156">
        <v>1986</v>
      </c>
      <c r="I94" s="127" t="s">
        <v>339</v>
      </c>
      <c r="J94" s="104" t="s">
        <v>44</v>
      </c>
      <c r="K94" s="126">
        <v>66.7</v>
      </c>
      <c r="L94" s="161">
        <v>-75</v>
      </c>
      <c r="M94" s="109">
        <v>80</v>
      </c>
      <c r="N94" s="161">
        <v>-85</v>
      </c>
      <c r="O94" s="202">
        <f>IF(E94="","",IF(MAXA(L94:N94)&lt;=0,0,MAXA(L94:N94)))</f>
        <v>80</v>
      </c>
      <c r="P94" s="133">
        <v>90</v>
      </c>
      <c r="Q94" s="133">
        <v>95</v>
      </c>
      <c r="R94" s="130">
        <v>-100</v>
      </c>
      <c r="S94" s="202">
        <f>IF(E94="","",IF(MAXA(P94:R94)&lt;=0,0,MAXA(P94:R94)))</f>
        <v>95</v>
      </c>
      <c r="T94" s="203">
        <f>IF(E94="","",IF(OR(O94=0,S94=0),0,O94+S94))</f>
        <v>175</v>
      </c>
      <c r="U94" s="204" t="str">
        <f t="shared" si="24"/>
        <v>REG + 5</v>
      </c>
      <c r="V94" s="204" t="str">
        <f>IF(E94=0," ",IF(E94="H",IF(H94&lt;1999,VLOOKUP(K94,Minimas!$A$15:$F$29,6),IF(AND(H94&gt;1998,H94&lt;2002),VLOOKUP(K94,Minimas!$A$15:$F$29,5),IF(AND(H94&gt;2001,H94&lt;2004),VLOOKUP(K94,Minimas!$A$15:$F$29,4),IF(AND(H94&gt;2003,H94&lt;2006),VLOOKUP(K94,Minimas!$A$15:$F$29,3),VLOOKUP(K94,Minimas!$A$15:$F$29,2))))),IF(H94&lt;1999,VLOOKUP(K94,Minimas!$G$15:$L$29,6),IF(AND(H94&gt;1998,H94&lt;2002),VLOOKUP(K94,Minimas!$G$15:$L$29,5),IF(AND(H94&gt;2001,H94&lt;2004),VLOOKUP(K94,Minimas!$G$15:$L$29,4),IF(AND(H94&gt;2003,H94&lt;2006),VLOOKUP(K94,Minimas!$G$15:$L$29,3),VLOOKUP(K94,Minimas!$G$15:$L$29,2)))))))</f>
        <v>SE M67</v>
      </c>
      <c r="W94" s="205">
        <f>IF(E94=" "," ",IF(E94="H",10^(0.75194503*LOG(K94/175.508)^2)*T94,IF(E94="F",10^(0.783497476* LOG(K94/153.655)^2)*T94,"")))</f>
        <v>237.56870810658162</v>
      </c>
      <c r="X94" s="285">
        <v>43401</v>
      </c>
      <c r="Y94" s="284" t="s">
        <v>507</v>
      </c>
      <c r="Z94" s="284" t="s">
        <v>506</v>
      </c>
      <c r="AA94" s="232"/>
      <c r="AB94" s="230">
        <f>T94-HLOOKUP(V94,Minimas!$C$3:$CD$12,2,FALSE)</f>
        <v>50</v>
      </c>
      <c r="AC94" s="230">
        <f>T94-HLOOKUP(V94,Minimas!$C$3:$CD$12,3,FALSE)</f>
        <v>30</v>
      </c>
      <c r="AD94" s="230">
        <f>T94-HLOOKUP(V94,Minimas!$C$3:$CD$12,4,FALSE)</f>
        <v>5</v>
      </c>
      <c r="AE94" s="230">
        <f>T94-HLOOKUP(V94,Minimas!$C$3:$CD$12,5,FALSE)</f>
        <v>-20</v>
      </c>
      <c r="AF94" s="230">
        <f>T94-HLOOKUP(V94,Minimas!$C$3:$CD$12,6,FALSE)</f>
        <v>-50</v>
      </c>
      <c r="AG94" s="230">
        <f>T94-HLOOKUP(V94,Minimas!$C$3:$CD$12,7,FALSE)</f>
        <v>-65</v>
      </c>
      <c r="AH94" s="230">
        <f>T94-HLOOKUP(V94,Minimas!$C$3:$CD$12,8,FALSE)</f>
        <v>-85</v>
      </c>
      <c r="AI94" s="230">
        <f>T94-HLOOKUP(V94,Minimas!$C$3:$CD$12,9,FALSE)</f>
        <v>-105</v>
      </c>
      <c r="AJ94" s="230">
        <f>T94-HLOOKUP(V94,Minimas!$C$3:$CD$12,10,FALSE)</f>
        <v>-120</v>
      </c>
      <c r="AK94" s="231" t="str">
        <f t="shared" si="25"/>
        <v>REG +</v>
      </c>
      <c r="AL94" s="232"/>
      <c r="AM94" s="232" t="str">
        <f t="shared" si="26"/>
        <v>REG +</v>
      </c>
      <c r="AN94" s="232">
        <f t="shared" si="27"/>
        <v>5</v>
      </c>
      <c r="AO94" s="232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8"/>
      <c r="BG94" s="38"/>
      <c r="BH94" s="38"/>
      <c r="BI94" s="38"/>
      <c r="BJ94" s="38"/>
      <c r="BK94" s="38"/>
      <c r="BL94" s="38"/>
      <c r="BM94" s="38"/>
      <c r="BN94" s="38"/>
      <c r="BO94" s="38"/>
      <c r="BP94" s="38"/>
      <c r="BQ94" s="38"/>
      <c r="BR94" s="38"/>
      <c r="BS94" s="38"/>
      <c r="BT94" s="38"/>
      <c r="BU94" s="38"/>
      <c r="BV94" s="38"/>
      <c r="BW94" s="38"/>
      <c r="BX94" s="38"/>
      <c r="BY94" s="38"/>
      <c r="BZ94" s="38"/>
      <c r="CA94" s="38"/>
      <c r="CB94" s="38"/>
      <c r="CC94" s="38"/>
      <c r="CD94" s="38"/>
      <c r="CE94" s="38"/>
      <c r="CF94" s="38"/>
      <c r="CG94" s="38"/>
      <c r="CH94" s="38"/>
      <c r="CI94" s="38"/>
      <c r="CJ94" s="38"/>
      <c r="CK94" s="38"/>
      <c r="CL94" s="38"/>
      <c r="CM94" s="38"/>
      <c r="CN94" s="38"/>
      <c r="CO94" s="38"/>
      <c r="CP94" s="38"/>
      <c r="CQ94" s="38"/>
      <c r="CR94" s="38"/>
      <c r="CS94" s="38"/>
      <c r="CT94" s="38"/>
      <c r="CU94" s="38"/>
      <c r="CV94" s="38"/>
      <c r="CW94" s="38"/>
      <c r="CX94" s="38"/>
      <c r="CY94" s="38"/>
      <c r="CZ94" s="38"/>
      <c r="DA94" s="38"/>
      <c r="DB94" s="38"/>
      <c r="DC94" s="38"/>
      <c r="DD94" s="38"/>
      <c r="DE94" s="38"/>
      <c r="DF94" s="38"/>
      <c r="DG94" s="38"/>
      <c r="DH94" s="38"/>
      <c r="DI94" s="38"/>
      <c r="DJ94" s="38"/>
      <c r="DK94" s="38"/>
      <c r="DL94" s="38"/>
      <c r="DM94" s="38"/>
      <c r="DN94" s="38"/>
      <c r="DO94" s="38"/>
      <c r="DP94" s="38"/>
      <c r="DQ94" s="38"/>
      <c r="DR94" s="38"/>
      <c r="DS94" s="38"/>
      <c r="DT94" s="38"/>
    </row>
    <row r="95" spans="1:124" s="5" customFormat="1" ht="30" customHeight="1" x14ac:dyDescent="0.3">
      <c r="B95" s="136" t="s">
        <v>543</v>
      </c>
      <c r="C95" s="116">
        <v>635</v>
      </c>
      <c r="D95" s="122"/>
      <c r="E95" s="175" t="s">
        <v>40</v>
      </c>
      <c r="F95" s="124" t="s">
        <v>340</v>
      </c>
      <c r="G95" s="125" t="s">
        <v>341</v>
      </c>
      <c r="H95" s="156">
        <v>1978</v>
      </c>
      <c r="I95" s="159" t="s">
        <v>214</v>
      </c>
      <c r="J95" s="104" t="s">
        <v>44</v>
      </c>
      <c r="K95" s="126">
        <v>66.7</v>
      </c>
      <c r="L95" s="109">
        <v>77</v>
      </c>
      <c r="M95" s="109">
        <v>81</v>
      </c>
      <c r="N95" s="109">
        <v>85</v>
      </c>
      <c r="O95" s="202">
        <f>IF(E95="","",IF(MAXA(L95:N95)&lt;=0,0,MAXA(L95:N95)))</f>
        <v>85</v>
      </c>
      <c r="P95" s="133">
        <v>90</v>
      </c>
      <c r="Q95" s="130" t="s">
        <v>497</v>
      </c>
      <c r="R95" s="130" t="s">
        <v>497</v>
      </c>
      <c r="S95" s="202">
        <f>IF(E95="","",IF(MAXA(P95:R95)&lt;=0,0,MAXA(P95:R95)))</f>
        <v>90</v>
      </c>
      <c r="T95" s="203">
        <f>IF(E95="","",IF(OR(O95=0,S95=0),0,O95+S95))</f>
        <v>175</v>
      </c>
      <c r="U95" s="204" t="str">
        <f t="shared" si="24"/>
        <v>REG + 5</v>
      </c>
      <c r="V95" s="204" t="str">
        <f>IF(E95=0," ",IF(E95="H",IF(H95&lt;1999,VLOOKUP(K95,Minimas!$A$15:$F$29,6),IF(AND(H95&gt;1998,H95&lt;2002),VLOOKUP(K95,Minimas!$A$15:$F$29,5),IF(AND(H95&gt;2001,H95&lt;2004),VLOOKUP(K95,Minimas!$A$15:$F$29,4),IF(AND(H95&gt;2003,H95&lt;2006),VLOOKUP(K95,Minimas!$A$15:$F$29,3),VLOOKUP(K95,Minimas!$A$15:$F$29,2))))),IF(H95&lt;1999,VLOOKUP(K95,Minimas!$G$15:$L$29,6),IF(AND(H95&gt;1998,H95&lt;2002),VLOOKUP(K95,Minimas!$G$15:$L$29,5),IF(AND(H95&gt;2001,H95&lt;2004),VLOOKUP(K95,Minimas!$G$15:$L$29,4),IF(AND(H95&gt;2003,H95&lt;2006),VLOOKUP(K95,Minimas!$G$15:$L$29,3),VLOOKUP(K95,Minimas!$G$15:$L$29,2)))))))</f>
        <v>SE M67</v>
      </c>
      <c r="W95" s="205">
        <f>IF(E95=" "," ",IF(E95="H",10^(0.75194503*LOG(K95/175.508)^2)*T95,IF(E95="F",10^(0.783497476* LOG(K95/153.655)^2)*T95,"")))</f>
        <v>237.56870810658162</v>
      </c>
      <c r="X95" s="285">
        <v>43401</v>
      </c>
      <c r="Y95" s="284" t="s">
        <v>507</v>
      </c>
      <c r="Z95" s="284" t="s">
        <v>506</v>
      </c>
      <c r="AA95" s="232"/>
      <c r="AB95" s="230">
        <f>T95-HLOOKUP(V95,Minimas!$C$3:$CD$12,2,FALSE)</f>
        <v>50</v>
      </c>
      <c r="AC95" s="230">
        <f>T95-HLOOKUP(V95,Minimas!$C$3:$CD$12,3,FALSE)</f>
        <v>30</v>
      </c>
      <c r="AD95" s="230">
        <f>T95-HLOOKUP(V95,Minimas!$C$3:$CD$12,4,FALSE)</f>
        <v>5</v>
      </c>
      <c r="AE95" s="230">
        <f>T95-HLOOKUP(V95,Minimas!$C$3:$CD$12,5,FALSE)</f>
        <v>-20</v>
      </c>
      <c r="AF95" s="230">
        <f>T95-HLOOKUP(V95,Minimas!$C$3:$CD$12,6,FALSE)</f>
        <v>-50</v>
      </c>
      <c r="AG95" s="230">
        <f>T95-HLOOKUP(V95,Minimas!$C$3:$CD$12,7,FALSE)</f>
        <v>-65</v>
      </c>
      <c r="AH95" s="230">
        <f>T95-HLOOKUP(V95,Minimas!$C$3:$CD$12,8,FALSE)</f>
        <v>-85</v>
      </c>
      <c r="AI95" s="230">
        <f>T95-HLOOKUP(V95,Minimas!$C$3:$CD$12,9,FALSE)</f>
        <v>-105</v>
      </c>
      <c r="AJ95" s="230">
        <f>T95-HLOOKUP(V95,Minimas!$C$3:$CD$12,10,FALSE)</f>
        <v>-120</v>
      </c>
      <c r="AK95" s="231" t="str">
        <f t="shared" si="25"/>
        <v>REG +</v>
      </c>
      <c r="AL95" s="232"/>
      <c r="AM95" s="232" t="str">
        <f t="shared" si="26"/>
        <v>REG +</v>
      </c>
      <c r="AN95" s="232">
        <f t="shared" si="27"/>
        <v>5</v>
      </c>
      <c r="AO95" s="232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  <c r="BF95" s="38"/>
      <c r="BG95" s="38"/>
      <c r="BH95" s="38"/>
      <c r="BI95" s="38"/>
      <c r="BJ95" s="38"/>
      <c r="BK95" s="38"/>
      <c r="BL95" s="38"/>
      <c r="BM95" s="38"/>
      <c r="BN95" s="38"/>
      <c r="BO95" s="38"/>
      <c r="BP95" s="38"/>
      <c r="BQ95" s="38"/>
      <c r="BR95" s="38"/>
      <c r="BS95" s="38"/>
      <c r="BT95" s="38"/>
      <c r="BU95" s="38"/>
      <c r="BV95" s="38"/>
      <c r="BW95" s="38"/>
      <c r="BX95" s="38"/>
      <c r="BY95" s="38"/>
      <c r="BZ95" s="38"/>
      <c r="CA95" s="38"/>
      <c r="CB95" s="38"/>
      <c r="CC95" s="38"/>
      <c r="CD95" s="38"/>
      <c r="CE95" s="38"/>
      <c r="CF95" s="38"/>
      <c r="CG95" s="38"/>
      <c r="CH95" s="38"/>
      <c r="CI95" s="38"/>
      <c r="CJ95" s="38"/>
      <c r="CK95" s="38"/>
      <c r="CL95" s="38"/>
      <c r="CM95" s="38"/>
      <c r="CN95" s="38"/>
      <c r="CO95" s="38"/>
      <c r="CP95" s="38"/>
      <c r="CQ95" s="38"/>
      <c r="CR95" s="38"/>
      <c r="CS95" s="38"/>
      <c r="CT95" s="38"/>
      <c r="CU95" s="38"/>
      <c r="CV95" s="38"/>
      <c r="CW95" s="38"/>
      <c r="CX95" s="38"/>
      <c r="CY95" s="38"/>
      <c r="CZ95" s="38"/>
      <c r="DA95" s="38"/>
      <c r="DB95" s="38"/>
      <c r="DC95" s="38"/>
      <c r="DD95" s="38"/>
      <c r="DE95" s="38"/>
      <c r="DF95" s="38"/>
      <c r="DG95" s="38"/>
      <c r="DH95" s="38"/>
      <c r="DI95" s="38"/>
      <c r="DJ95" s="38"/>
      <c r="DK95" s="38"/>
      <c r="DL95" s="38"/>
      <c r="DM95" s="38"/>
      <c r="DN95" s="38"/>
      <c r="DO95" s="38"/>
      <c r="DP95" s="38"/>
      <c r="DQ95" s="38"/>
      <c r="DR95" s="38"/>
      <c r="DS95" s="38"/>
      <c r="DT95" s="38"/>
    </row>
    <row r="96" spans="1:124" s="5" customFormat="1" ht="30" customHeight="1" x14ac:dyDescent="0.3">
      <c r="B96" s="136" t="s">
        <v>543</v>
      </c>
      <c r="C96" s="116">
        <v>443731</v>
      </c>
      <c r="D96" s="119"/>
      <c r="E96" s="175" t="s">
        <v>40</v>
      </c>
      <c r="F96" s="124" t="s">
        <v>347</v>
      </c>
      <c r="G96" s="125" t="s">
        <v>348</v>
      </c>
      <c r="H96" s="156">
        <v>1996</v>
      </c>
      <c r="I96" s="158" t="s">
        <v>184</v>
      </c>
      <c r="J96" s="104" t="s">
        <v>44</v>
      </c>
      <c r="K96" s="126">
        <v>66.47</v>
      </c>
      <c r="L96" s="130">
        <v>-66</v>
      </c>
      <c r="M96" s="109">
        <v>66</v>
      </c>
      <c r="N96" s="130">
        <v>-70</v>
      </c>
      <c r="O96" s="202">
        <f>IF(E96="","",IF(MAXA(L96:N96)&lt;=0,0,MAXA(L96:N96)))</f>
        <v>66</v>
      </c>
      <c r="P96" s="133">
        <v>85</v>
      </c>
      <c r="Q96" s="133">
        <v>90</v>
      </c>
      <c r="R96" s="130">
        <v>-95</v>
      </c>
      <c r="S96" s="202">
        <f>IF(E96="","",IF(MAXA(P96:R96)&lt;=0,0,MAXA(P96:R96)))</f>
        <v>90</v>
      </c>
      <c r="T96" s="203">
        <f>IF(E96="","",IF(OR(O96=0,S96=0),0,O96+S96))</f>
        <v>156</v>
      </c>
      <c r="U96" s="204" t="str">
        <f t="shared" si="24"/>
        <v>DPT + 11</v>
      </c>
      <c r="V96" s="204" t="str">
        <f>IF(E96=0," ",IF(E96="H",IF(H96&lt;1999,VLOOKUP(K96,Minimas!$A$15:$F$29,6),IF(AND(H96&gt;1998,H96&lt;2002),VLOOKUP(K96,Minimas!$A$15:$F$29,5),IF(AND(H96&gt;2001,H96&lt;2004),VLOOKUP(K96,Minimas!$A$15:$F$29,4),IF(AND(H96&gt;2003,H96&lt;2006),VLOOKUP(K96,Minimas!$A$15:$F$29,3),VLOOKUP(K96,Minimas!$A$15:$F$29,2))))),IF(H96&lt;1999,VLOOKUP(K96,Minimas!$G$15:$L$29,6),IF(AND(H96&gt;1998,H96&lt;2002),VLOOKUP(K96,Minimas!$G$15:$L$29,5),IF(AND(H96&gt;2001,H96&lt;2004),VLOOKUP(K96,Minimas!$G$15:$L$29,4),IF(AND(H96&gt;2003,H96&lt;2006),VLOOKUP(K96,Minimas!$G$15:$L$29,3),VLOOKUP(K96,Minimas!$G$15:$L$29,2)))))))</f>
        <v>SE M67</v>
      </c>
      <c r="W96" s="205">
        <f>IF(E96=" "," ",IF(E96="H",10^(0.75194503*LOG(K96/175.508)^2)*T96,IF(E96="F",10^(0.783497476* LOG(K96/153.655)^2)*T96,"")))</f>
        <v>212.23910843332621</v>
      </c>
      <c r="X96" s="285">
        <v>43401</v>
      </c>
      <c r="Y96" s="284" t="s">
        <v>507</v>
      </c>
      <c r="Z96" s="284" t="s">
        <v>506</v>
      </c>
      <c r="AA96" s="232"/>
      <c r="AB96" s="230">
        <f>T96-HLOOKUP(V96,Minimas!$C$3:$CD$12,2,FALSE)</f>
        <v>31</v>
      </c>
      <c r="AC96" s="230">
        <f>T96-HLOOKUP(V96,Minimas!$C$3:$CD$12,3,FALSE)</f>
        <v>11</v>
      </c>
      <c r="AD96" s="230">
        <f>T96-HLOOKUP(V96,Minimas!$C$3:$CD$12,4,FALSE)</f>
        <v>-14</v>
      </c>
      <c r="AE96" s="230">
        <f>T96-HLOOKUP(V96,Minimas!$C$3:$CD$12,5,FALSE)</f>
        <v>-39</v>
      </c>
      <c r="AF96" s="230">
        <f>T96-HLOOKUP(V96,Minimas!$C$3:$CD$12,6,FALSE)</f>
        <v>-69</v>
      </c>
      <c r="AG96" s="230">
        <f>T96-HLOOKUP(V96,Minimas!$C$3:$CD$12,7,FALSE)</f>
        <v>-84</v>
      </c>
      <c r="AH96" s="230">
        <f>T96-HLOOKUP(V96,Minimas!$C$3:$CD$12,8,FALSE)</f>
        <v>-104</v>
      </c>
      <c r="AI96" s="230">
        <f>T96-HLOOKUP(V96,Minimas!$C$3:$CD$12,9,FALSE)</f>
        <v>-124</v>
      </c>
      <c r="AJ96" s="230">
        <f>T96-HLOOKUP(V96,Minimas!$C$3:$CD$12,10,FALSE)</f>
        <v>-139</v>
      </c>
      <c r="AK96" s="231" t="str">
        <f t="shared" si="25"/>
        <v>DPT +</v>
      </c>
      <c r="AL96" s="232"/>
      <c r="AM96" s="232" t="str">
        <f t="shared" si="26"/>
        <v>DPT +</v>
      </c>
      <c r="AN96" s="232">
        <f t="shared" si="27"/>
        <v>11</v>
      </c>
      <c r="AO96" s="232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  <c r="BF96" s="38"/>
      <c r="BG96" s="38"/>
      <c r="BH96" s="38"/>
      <c r="BI96" s="38"/>
      <c r="BJ96" s="38"/>
      <c r="BK96" s="38"/>
      <c r="BL96" s="38"/>
      <c r="BM96" s="38"/>
      <c r="BN96" s="38"/>
      <c r="BO96" s="38"/>
      <c r="BP96" s="38"/>
      <c r="BQ96" s="38"/>
      <c r="BR96" s="38"/>
      <c r="BS96" s="38"/>
      <c r="BT96" s="38"/>
      <c r="BU96" s="38"/>
      <c r="BV96" s="38"/>
      <c r="BW96" s="38"/>
      <c r="BX96" s="38"/>
      <c r="BY96" s="38"/>
      <c r="BZ96" s="38"/>
      <c r="CA96" s="38"/>
      <c r="CB96" s="38"/>
      <c r="CC96" s="38"/>
      <c r="CD96" s="38"/>
      <c r="CE96" s="38"/>
      <c r="CF96" s="38"/>
      <c r="CG96" s="38"/>
      <c r="CH96" s="38"/>
      <c r="CI96" s="38"/>
      <c r="CJ96" s="38"/>
      <c r="CK96" s="38"/>
      <c r="CL96" s="38"/>
      <c r="CM96" s="38"/>
      <c r="CN96" s="38"/>
      <c r="CO96" s="38"/>
      <c r="CP96" s="38"/>
      <c r="CQ96" s="38"/>
      <c r="CR96" s="38"/>
      <c r="CS96" s="38"/>
      <c r="CT96" s="38"/>
      <c r="CU96" s="38"/>
      <c r="CV96" s="38"/>
      <c r="CW96" s="38"/>
      <c r="CX96" s="38"/>
      <c r="CY96" s="38"/>
      <c r="CZ96" s="38"/>
      <c r="DA96" s="38"/>
      <c r="DB96" s="38"/>
      <c r="DC96" s="38"/>
      <c r="DD96" s="38"/>
      <c r="DE96" s="38"/>
      <c r="DF96" s="38"/>
      <c r="DG96" s="38"/>
      <c r="DH96" s="38"/>
      <c r="DI96" s="38"/>
      <c r="DJ96" s="38"/>
      <c r="DK96" s="38"/>
      <c r="DL96" s="38"/>
      <c r="DM96" s="38"/>
      <c r="DN96" s="38"/>
      <c r="DO96" s="38"/>
      <c r="DP96" s="38"/>
      <c r="DQ96" s="38"/>
      <c r="DR96" s="38"/>
      <c r="DS96" s="38"/>
      <c r="DT96" s="38"/>
    </row>
    <row r="97" spans="1:124" s="5" customFormat="1" ht="30" customHeight="1" x14ac:dyDescent="0.25">
      <c r="A97" s="387"/>
      <c r="B97" s="690" t="s">
        <v>543</v>
      </c>
      <c r="C97" s="690">
        <v>196545</v>
      </c>
      <c r="D97" s="711"/>
      <c r="E97" s="175" t="s">
        <v>40</v>
      </c>
      <c r="F97" s="176" t="s">
        <v>475</v>
      </c>
      <c r="G97" s="177" t="s">
        <v>476</v>
      </c>
      <c r="H97" s="178">
        <v>1996</v>
      </c>
      <c r="I97" s="179" t="s">
        <v>477</v>
      </c>
      <c r="J97" s="175" t="s">
        <v>44</v>
      </c>
      <c r="K97" s="773">
        <v>62.8</v>
      </c>
      <c r="L97" s="109">
        <v>55</v>
      </c>
      <c r="M97" s="109">
        <v>60</v>
      </c>
      <c r="N97" s="109">
        <v>65</v>
      </c>
      <c r="O97" s="656">
        <v>65</v>
      </c>
      <c r="P97" s="109">
        <v>75</v>
      </c>
      <c r="Q97" s="109">
        <v>80</v>
      </c>
      <c r="R97" s="109">
        <v>85</v>
      </c>
      <c r="S97" s="656">
        <v>85</v>
      </c>
      <c r="T97" s="657">
        <v>150</v>
      </c>
      <c r="U97" s="658" t="s">
        <v>838</v>
      </c>
      <c r="V97" s="658" t="s">
        <v>77</v>
      </c>
      <c r="W97" s="815">
        <v>211.78317912877483</v>
      </c>
      <c r="X97" s="257">
        <v>43554</v>
      </c>
      <c r="Y97" s="261" t="s">
        <v>805</v>
      </c>
      <c r="Z97" s="261" t="s">
        <v>829</v>
      </c>
      <c r="AA97" s="464"/>
      <c r="AB97" s="465">
        <v>25</v>
      </c>
      <c r="AC97" s="465">
        <v>5</v>
      </c>
      <c r="AD97" s="465">
        <v>-20</v>
      </c>
      <c r="AE97" s="465">
        <v>-45</v>
      </c>
      <c r="AF97" s="465">
        <v>-75</v>
      </c>
      <c r="AG97" s="465">
        <v>-90</v>
      </c>
      <c r="AH97" s="465">
        <v>-110</v>
      </c>
      <c r="AI97" s="465">
        <v>-130</v>
      </c>
      <c r="AJ97" s="465">
        <v>-145</v>
      </c>
      <c r="AK97" s="466" t="s">
        <v>42</v>
      </c>
      <c r="AL97" s="464"/>
      <c r="AM97" s="464" t="s">
        <v>42</v>
      </c>
      <c r="AN97" s="464">
        <v>5</v>
      </c>
      <c r="AO97" s="464"/>
      <c r="AP97" s="388"/>
      <c r="AQ97" s="388"/>
      <c r="AR97" s="388"/>
      <c r="AS97" s="388"/>
      <c r="AT97" s="388"/>
      <c r="AU97" s="388"/>
      <c r="AV97" s="388"/>
      <c r="AW97" s="388"/>
      <c r="AX97" s="388"/>
      <c r="AY97" s="388"/>
      <c r="AZ97" s="388"/>
      <c r="BA97" s="388"/>
      <c r="BB97" s="388"/>
      <c r="BC97" s="388"/>
      <c r="BD97" s="388"/>
      <c r="BE97" s="388"/>
      <c r="BF97" s="388"/>
      <c r="BG97" s="388"/>
      <c r="BH97" s="388"/>
      <c r="BI97" s="388"/>
      <c r="BJ97" s="388"/>
      <c r="BK97" s="388"/>
      <c r="BL97" s="388"/>
      <c r="BM97" s="388"/>
      <c r="BN97" s="388"/>
      <c r="BO97" s="388"/>
      <c r="BP97" s="388"/>
      <c r="BQ97" s="388"/>
      <c r="BR97" s="388"/>
      <c r="BS97" s="388"/>
      <c r="BT97" s="388"/>
      <c r="BU97" s="388"/>
      <c r="BV97" s="388"/>
      <c r="BW97" s="388"/>
      <c r="BX97" s="388"/>
      <c r="BY97" s="388"/>
      <c r="BZ97" s="388"/>
      <c r="CA97" s="388"/>
      <c r="CB97" s="388"/>
      <c r="CC97" s="388"/>
      <c r="CD97" s="388"/>
      <c r="CE97" s="388"/>
      <c r="CF97" s="388"/>
      <c r="CG97" s="388"/>
      <c r="CH97" s="388"/>
      <c r="CI97" s="388"/>
      <c r="CJ97" s="388"/>
      <c r="CK97" s="388"/>
      <c r="CL97" s="388"/>
      <c r="CM97" s="388"/>
      <c r="CN97" s="388"/>
      <c r="CO97" s="388"/>
      <c r="CP97" s="388"/>
      <c r="CQ97" s="388"/>
      <c r="CR97" s="388"/>
      <c r="CS97" s="388"/>
      <c r="CT97" s="388"/>
      <c r="CU97" s="388"/>
      <c r="CV97" s="388"/>
      <c r="CW97" s="388"/>
      <c r="CX97" s="388"/>
      <c r="CY97" s="388"/>
      <c r="CZ97" s="388"/>
      <c r="DA97" s="388"/>
      <c r="DB97" s="388"/>
      <c r="DC97" s="388"/>
      <c r="DD97" s="388"/>
      <c r="DE97" s="388"/>
      <c r="DF97" s="388"/>
      <c r="DG97" s="388"/>
      <c r="DH97" s="388"/>
      <c r="DI97" s="388"/>
      <c r="DJ97" s="388"/>
      <c r="DK97" s="388"/>
      <c r="DL97" s="388"/>
      <c r="DM97" s="388"/>
      <c r="DN97" s="388"/>
      <c r="DO97" s="388"/>
      <c r="DP97" s="388"/>
      <c r="DQ97" s="388"/>
      <c r="DR97" s="388"/>
      <c r="DS97" s="388"/>
      <c r="DT97" s="388"/>
    </row>
    <row r="98" spans="1:124" s="5" customFormat="1" ht="30" customHeight="1" x14ac:dyDescent="0.3">
      <c r="B98" s="136" t="s">
        <v>543</v>
      </c>
      <c r="C98" s="116">
        <v>37253</v>
      </c>
      <c r="D98" s="122"/>
      <c r="E98" s="175" t="s">
        <v>40</v>
      </c>
      <c r="F98" s="124" t="s">
        <v>332</v>
      </c>
      <c r="G98" s="125" t="s">
        <v>349</v>
      </c>
      <c r="H98" s="156">
        <v>1956</v>
      </c>
      <c r="I98" s="162" t="s">
        <v>329</v>
      </c>
      <c r="J98" s="104" t="s">
        <v>44</v>
      </c>
      <c r="K98" s="126">
        <v>61.17</v>
      </c>
      <c r="L98" s="109">
        <v>50</v>
      </c>
      <c r="M98" s="109">
        <v>55</v>
      </c>
      <c r="N98" s="130">
        <v>-57</v>
      </c>
      <c r="O98" s="202">
        <f>IF(E98="","",IF(MAXA(L98:N98)&lt;=0,0,MAXA(L98:N98)))</f>
        <v>55</v>
      </c>
      <c r="P98" s="133">
        <v>65</v>
      </c>
      <c r="Q98" s="133">
        <v>70</v>
      </c>
      <c r="R98" s="130">
        <v>-72</v>
      </c>
      <c r="S98" s="202">
        <f>IF(E98="","",IF(MAXA(P98:R98)&lt;=0,0,MAXA(P98:R98)))</f>
        <v>70</v>
      </c>
      <c r="T98" s="203">
        <f>IF(E98="","",IF(OR(O98=0,S98=0),0,O98+S98))</f>
        <v>125</v>
      </c>
      <c r="U98" s="204" t="str">
        <f t="shared" ref="U98:U111" si="29">+CONCATENATE(AM98," ",AN98)</f>
        <v>DEB 0</v>
      </c>
      <c r="V98" s="204" t="str">
        <f>IF(E98=0," ",IF(E98="H",IF(H98&lt;1999,VLOOKUP(K98,Minimas!$A$15:$F$29,6),IF(AND(H98&gt;1998,H98&lt;2002),VLOOKUP(K98,Minimas!$A$15:$F$29,5),IF(AND(H98&gt;2001,H98&lt;2004),VLOOKUP(K98,Minimas!$A$15:$F$29,4),IF(AND(H98&gt;2003,H98&lt;2006),VLOOKUP(K98,Minimas!$A$15:$F$29,3),VLOOKUP(K98,Minimas!$A$15:$F$29,2))))),IF(H98&lt;1999,VLOOKUP(K98,Minimas!$G$15:$L$29,6),IF(AND(H98&gt;1998,H98&lt;2002),VLOOKUP(K98,Minimas!$G$15:$L$29,5),IF(AND(H98&gt;2001,H98&lt;2004),VLOOKUP(K98,Minimas!$G$15:$L$29,4),IF(AND(H98&gt;2003,H98&lt;2006),VLOOKUP(K98,Minimas!$G$15:$L$29,3),VLOOKUP(K98,Minimas!$G$15:$L$29,2)))))))</f>
        <v>SE M67</v>
      </c>
      <c r="W98" s="205">
        <f>IF(E98=" "," ",IF(E98="H",10^(0.75194503*LOG(K98/175.508)^2)*T98,IF(E98="F",10^(0.783497476* LOG(K98/153.655)^2)*T98,"")))</f>
        <v>179.66962850259384</v>
      </c>
      <c r="X98" s="184">
        <v>43401</v>
      </c>
      <c r="Y98" s="284" t="s">
        <v>507</v>
      </c>
      <c r="Z98" s="284" t="s">
        <v>506</v>
      </c>
      <c r="AA98" s="232"/>
      <c r="AB98" s="230">
        <f>T98-HLOOKUP(V98,Minimas!$C$3:$CD$12,2,FALSE)</f>
        <v>0</v>
      </c>
      <c r="AC98" s="230">
        <f>T98-HLOOKUP(V98,Minimas!$C$3:$CD$12,3,FALSE)</f>
        <v>-20</v>
      </c>
      <c r="AD98" s="230">
        <f>T98-HLOOKUP(V98,Minimas!$C$3:$CD$12,4,FALSE)</f>
        <v>-45</v>
      </c>
      <c r="AE98" s="230">
        <f>T98-HLOOKUP(V98,Minimas!$C$3:$CD$12,5,FALSE)</f>
        <v>-70</v>
      </c>
      <c r="AF98" s="230">
        <f>T98-HLOOKUP(V98,Minimas!$C$3:$CD$12,6,FALSE)</f>
        <v>-100</v>
      </c>
      <c r="AG98" s="230">
        <f>T98-HLOOKUP(V98,Minimas!$C$3:$CD$12,7,FALSE)</f>
        <v>-115</v>
      </c>
      <c r="AH98" s="230">
        <f>T98-HLOOKUP(V98,Minimas!$C$3:$CD$12,8,FALSE)</f>
        <v>-135</v>
      </c>
      <c r="AI98" s="230">
        <f>T98-HLOOKUP(V98,Minimas!$C$3:$CD$12,9,FALSE)</f>
        <v>-155</v>
      </c>
      <c r="AJ98" s="230">
        <f>T98-HLOOKUP(V98,Minimas!$C$3:$CD$12,10,FALSE)</f>
        <v>-170</v>
      </c>
      <c r="AK98" s="231" t="str">
        <f t="shared" ref="AK98:AK110" si="30">IF(E98=0," ",IF(AJ98&gt;=0,$AJ$5,IF(AI98&gt;=0,$AI$5,IF(AH98&gt;=0,$AH$5,IF(AG98&gt;=0,$AG$5,IF(AF98&gt;=0,$AF$5,IF(AE98&gt;=0,$AE$5,IF(AD98&gt;=0,$AD$5,IF(AC98&gt;=0,$AC$5,$AB$5)))))))))</f>
        <v>DEB</v>
      </c>
      <c r="AL98" s="232"/>
      <c r="AM98" s="232" t="str">
        <f t="shared" ref="AM98:AM129" si="31">IF(AK98="","",AK98)</f>
        <v>DEB</v>
      </c>
      <c r="AN98" s="232">
        <f t="shared" ref="AN98:AN110" si="32">IF(E98=0," ",IF(AJ98&gt;=0,AJ98,IF(AI98&gt;=0,AI98,IF(AH98&gt;=0,AH98,IF(AG98&gt;=0,AG98,IF(AF98&gt;=0,AF98,IF(AE98&gt;=0,AE98,IF(AD98&gt;=0,AD98,IF(AC98&gt;=0,AC98,AB98)))))))))</f>
        <v>0</v>
      </c>
      <c r="AO98" s="232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  <c r="BF98" s="38"/>
      <c r="BG98" s="38"/>
      <c r="BH98" s="38"/>
      <c r="BI98" s="38"/>
      <c r="BJ98" s="38"/>
      <c r="BK98" s="38"/>
      <c r="BL98" s="38"/>
      <c r="BM98" s="38"/>
      <c r="BN98" s="38"/>
      <c r="BO98" s="38"/>
      <c r="BP98" s="38"/>
      <c r="BQ98" s="38"/>
      <c r="BR98" s="38"/>
      <c r="BS98" s="38"/>
      <c r="BT98" s="38"/>
      <c r="BU98" s="38"/>
      <c r="BV98" s="38"/>
      <c r="BW98" s="38"/>
      <c r="BX98" s="38"/>
      <c r="BY98" s="38"/>
      <c r="BZ98" s="38"/>
      <c r="CA98" s="38"/>
      <c r="CB98" s="38"/>
      <c r="CC98" s="38"/>
      <c r="CD98" s="38"/>
      <c r="CE98" s="38"/>
      <c r="CF98" s="38"/>
      <c r="CG98" s="38"/>
      <c r="CH98" s="38"/>
      <c r="CI98" s="38"/>
      <c r="CJ98" s="38"/>
      <c r="CK98" s="38"/>
      <c r="CL98" s="38"/>
      <c r="CM98" s="38"/>
      <c r="CN98" s="38"/>
      <c r="CO98" s="38"/>
      <c r="CP98" s="38"/>
      <c r="CQ98" s="38"/>
      <c r="CR98" s="38"/>
      <c r="CS98" s="38"/>
      <c r="CT98" s="38"/>
      <c r="CU98" s="38"/>
      <c r="CV98" s="38"/>
      <c r="CW98" s="38"/>
      <c r="CX98" s="38"/>
      <c r="CY98" s="38"/>
      <c r="CZ98" s="38"/>
      <c r="DA98" s="38"/>
      <c r="DB98" s="38"/>
      <c r="DC98" s="38"/>
      <c r="DD98" s="38"/>
      <c r="DE98" s="38"/>
      <c r="DF98" s="38"/>
      <c r="DG98" s="38"/>
      <c r="DH98" s="38"/>
      <c r="DI98" s="38"/>
      <c r="DJ98" s="38"/>
      <c r="DK98" s="38"/>
      <c r="DL98" s="38"/>
      <c r="DM98" s="38"/>
      <c r="DN98" s="38"/>
      <c r="DO98" s="38"/>
      <c r="DP98" s="38"/>
      <c r="DQ98" s="38"/>
      <c r="DR98" s="38"/>
      <c r="DS98" s="38"/>
      <c r="DT98" s="38"/>
    </row>
    <row r="99" spans="1:124" s="5" customFormat="1" ht="30" customHeight="1" x14ac:dyDescent="0.3">
      <c r="B99" s="136" t="s">
        <v>543</v>
      </c>
      <c r="C99" s="116">
        <v>441355</v>
      </c>
      <c r="D99" s="119"/>
      <c r="E99" s="175" t="s">
        <v>40</v>
      </c>
      <c r="F99" s="124" t="s">
        <v>282</v>
      </c>
      <c r="G99" s="125" t="s">
        <v>283</v>
      </c>
      <c r="H99" s="156">
        <v>1998</v>
      </c>
      <c r="I99" s="127" t="s">
        <v>139</v>
      </c>
      <c r="J99" s="104" t="s">
        <v>44</v>
      </c>
      <c r="K99" s="126">
        <v>63.05</v>
      </c>
      <c r="L99" s="109">
        <v>30</v>
      </c>
      <c r="M99" s="109">
        <v>35</v>
      </c>
      <c r="N99" s="131">
        <v>-40</v>
      </c>
      <c r="O99" s="202">
        <f>IF(E99="","",IF(MAXA(L99:N99)&lt;=0,0,MAXA(L99:N99)))</f>
        <v>35</v>
      </c>
      <c r="P99" s="133">
        <v>40</v>
      </c>
      <c r="Q99" s="133">
        <v>45</v>
      </c>
      <c r="R99" s="130">
        <v>-50</v>
      </c>
      <c r="S99" s="202">
        <f>IF(E99="","",IF(MAXA(P99:R99)&lt;=0,0,MAXA(P99:R99)))</f>
        <v>45</v>
      </c>
      <c r="T99" s="203">
        <f>IF(E99="","",IF(OR(O99=0,S99=0),0,O99+S99))</f>
        <v>80</v>
      </c>
      <c r="U99" s="204" t="str">
        <f t="shared" si="29"/>
        <v>DEB -45</v>
      </c>
      <c r="V99" s="204" t="str">
        <f>IF(E99=0," ",IF(E99="H",IF(H99&lt;1999,VLOOKUP(K99,Minimas!$A$15:$F$29,6),IF(AND(H99&gt;1998,H99&lt;2002),VLOOKUP(K99,Minimas!$A$15:$F$29,5),IF(AND(H99&gt;2001,H99&lt;2004),VLOOKUP(K99,Minimas!$A$15:$F$29,4),IF(AND(H99&gt;2003,H99&lt;2006),VLOOKUP(K99,Minimas!$A$15:$F$29,3),VLOOKUP(K99,Minimas!$A$15:$F$29,2))))),IF(H99&lt;1999,VLOOKUP(K99,Minimas!$G$15:$L$29,6),IF(AND(H99&gt;1998,H99&lt;2002),VLOOKUP(K99,Minimas!$G$15:$L$29,5),IF(AND(H99&gt;2001,H99&lt;2004),VLOOKUP(K99,Minimas!$G$15:$L$29,4),IF(AND(H99&gt;2003,H99&lt;2006),VLOOKUP(K99,Minimas!$G$15:$L$29,3),VLOOKUP(K99,Minimas!$G$15:$L$29,2)))))))</f>
        <v>SE M67</v>
      </c>
      <c r="W99" s="205">
        <f>IF(E99=" "," ",IF(E99="H",10^(0.75194503*LOG(K99/175.508)^2)*T99,IF(E99="F",10^(0.783497476* LOG(K99/153.655)^2)*T99,"")))</f>
        <v>112.65078877658109</v>
      </c>
      <c r="X99" s="184">
        <v>43401</v>
      </c>
      <c r="Y99" s="284" t="s">
        <v>507</v>
      </c>
      <c r="Z99" s="284" t="s">
        <v>506</v>
      </c>
      <c r="AA99" s="232"/>
      <c r="AB99" s="230">
        <f>T99-HLOOKUP(V99,Minimas!$C$3:$CD$12,2,FALSE)</f>
        <v>-45</v>
      </c>
      <c r="AC99" s="230">
        <f>T99-HLOOKUP(V99,Minimas!$C$3:$CD$12,3,FALSE)</f>
        <v>-65</v>
      </c>
      <c r="AD99" s="230">
        <f>T99-HLOOKUP(V99,Minimas!$C$3:$CD$12,4,FALSE)</f>
        <v>-90</v>
      </c>
      <c r="AE99" s="230">
        <f>T99-HLOOKUP(V99,Minimas!$C$3:$CD$12,5,FALSE)</f>
        <v>-115</v>
      </c>
      <c r="AF99" s="230">
        <f>T99-HLOOKUP(V99,Minimas!$C$3:$CD$12,6,FALSE)</f>
        <v>-145</v>
      </c>
      <c r="AG99" s="230">
        <f>T99-HLOOKUP(V99,Minimas!$C$3:$CD$12,7,FALSE)</f>
        <v>-160</v>
      </c>
      <c r="AH99" s="230">
        <f>T99-HLOOKUP(V99,Minimas!$C$3:$CD$12,8,FALSE)</f>
        <v>-180</v>
      </c>
      <c r="AI99" s="230">
        <f>T99-HLOOKUP(V99,Minimas!$C$3:$CD$12,9,FALSE)</f>
        <v>-200</v>
      </c>
      <c r="AJ99" s="230">
        <f>T99-HLOOKUP(V99,Minimas!$C$3:$CD$12,10,FALSE)</f>
        <v>-215</v>
      </c>
      <c r="AK99" s="231" t="str">
        <f t="shared" si="30"/>
        <v>DEB</v>
      </c>
      <c r="AL99" s="232"/>
      <c r="AM99" s="232" t="str">
        <f t="shared" si="31"/>
        <v>DEB</v>
      </c>
      <c r="AN99" s="232">
        <f t="shared" si="32"/>
        <v>-45</v>
      </c>
      <c r="AO99" s="232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  <c r="BF99" s="38"/>
      <c r="BG99" s="38"/>
      <c r="BH99" s="38"/>
      <c r="BI99" s="38"/>
      <c r="BJ99" s="38"/>
      <c r="BK99" s="38"/>
      <c r="BL99" s="38"/>
      <c r="BM99" s="38"/>
      <c r="BN99" s="38"/>
      <c r="BO99" s="38"/>
      <c r="BP99" s="38"/>
      <c r="BQ99" s="38"/>
      <c r="BR99" s="38"/>
      <c r="BS99" s="38"/>
      <c r="BT99" s="38"/>
      <c r="BU99" s="38"/>
      <c r="BV99" s="38"/>
      <c r="BW99" s="38"/>
      <c r="BX99" s="38"/>
      <c r="BY99" s="38"/>
      <c r="BZ99" s="38"/>
      <c r="CA99" s="38"/>
      <c r="CB99" s="38"/>
      <c r="CC99" s="38"/>
      <c r="CD99" s="38"/>
      <c r="CE99" s="38"/>
      <c r="CF99" s="38"/>
      <c r="CG99" s="38"/>
      <c r="CH99" s="38"/>
      <c r="CI99" s="38"/>
      <c r="CJ99" s="38"/>
      <c r="CK99" s="38"/>
      <c r="CL99" s="38"/>
      <c r="CM99" s="38"/>
      <c r="CN99" s="38"/>
      <c r="CO99" s="38"/>
      <c r="CP99" s="38"/>
      <c r="CQ99" s="38"/>
      <c r="CR99" s="38"/>
      <c r="CS99" s="38"/>
      <c r="CT99" s="38"/>
      <c r="CU99" s="38"/>
      <c r="CV99" s="38"/>
      <c r="CW99" s="38"/>
      <c r="CX99" s="38"/>
      <c r="CY99" s="38"/>
      <c r="CZ99" s="38"/>
      <c r="DA99" s="38"/>
      <c r="DB99" s="38"/>
      <c r="DC99" s="38"/>
      <c r="DD99" s="38"/>
      <c r="DE99" s="38"/>
      <c r="DF99" s="38"/>
      <c r="DG99" s="38"/>
      <c r="DH99" s="38"/>
      <c r="DI99" s="38"/>
      <c r="DJ99" s="38"/>
      <c r="DK99" s="38"/>
      <c r="DL99" s="38"/>
      <c r="DM99" s="38"/>
      <c r="DN99" s="38"/>
      <c r="DO99" s="38"/>
      <c r="DP99" s="38"/>
      <c r="DQ99" s="38"/>
      <c r="DR99" s="38"/>
      <c r="DS99" s="38"/>
      <c r="DT99" s="38"/>
    </row>
    <row r="100" spans="1:124" s="5" customFormat="1" ht="30" customHeight="1" x14ac:dyDescent="0.25">
      <c r="A100" s="484"/>
      <c r="B100" s="516" t="s">
        <v>543</v>
      </c>
      <c r="C100" s="516">
        <v>405397</v>
      </c>
      <c r="D100" s="531"/>
      <c r="E100" s="476" t="s">
        <v>40</v>
      </c>
      <c r="F100" s="217" t="s">
        <v>601</v>
      </c>
      <c r="G100" s="144" t="s">
        <v>602</v>
      </c>
      <c r="H100" s="218">
        <v>1992</v>
      </c>
      <c r="I100" s="169" t="s">
        <v>587</v>
      </c>
      <c r="J100" s="168" t="s">
        <v>44</v>
      </c>
      <c r="K100" s="147">
        <v>71.3</v>
      </c>
      <c r="L100" s="118">
        <v>107</v>
      </c>
      <c r="M100" s="118">
        <v>112</v>
      </c>
      <c r="N100" s="118">
        <v>115</v>
      </c>
      <c r="O100" s="604">
        <f>IF(E100="","",IF(MAXA(L100:N100)&lt;=0,0,MAXA(L100:N100)))</f>
        <v>115</v>
      </c>
      <c r="P100" s="118">
        <v>125</v>
      </c>
      <c r="Q100" s="118">
        <v>130</v>
      </c>
      <c r="R100" s="118">
        <v>-135</v>
      </c>
      <c r="S100" s="601">
        <f>IF(E100="","",IF(MAXA(P100:R100)&lt;=0,0,MAXA(P100:R100)))</f>
        <v>130</v>
      </c>
      <c r="T100" s="608">
        <f>IF(E100="","",IF(OR(O100=0,S100=0),0,O100+S100))</f>
        <v>245</v>
      </c>
      <c r="U100" s="612" t="str">
        <f t="shared" si="29"/>
        <v>FED + 5</v>
      </c>
      <c r="V100" s="612" t="str">
        <f>IF(E100=0," ",IF(E100="H",IF(H100&lt;1999,VLOOKUP(K100,[28]Minimas!$A$15:$F$29,6),IF(AND(H100&gt;1998,H100&lt;2002),VLOOKUP(K100,[28]Minimas!$A$15:$F$29,5),IF(AND(H100&gt;2001,H100&lt;2004),VLOOKUP(K100,[28]Minimas!$A$15:$F$29,4),IF(AND(H100&gt;2003,H100&lt;2006),VLOOKUP(K100,[28]Minimas!$A$15:$F$29,3),VLOOKUP(K100,[28]Minimas!$A$15:$F$29,2))))),IF(H100&lt;1999,VLOOKUP(K100,[28]Minimas!$G$15:$L$29,6),IF(AND(H100&gt;1998,H100&lt;2002),VLOOKUP(K100,[28]Minimas!$G$15:$L$29,5),IF(AND(H100&gt;2001,H100&lt;2004),VLOOKUP(K100,[28]Minimas!$G$15:$L$29,4),IF(AND(H100&gt;2003,H100&lt;2006),VLOOKUP(K100,[28]Minimas!$G$15:$L$29,3),VLOOKUP(K100,[28]Minimas!$G$15:$L$29,2)))))))</f>
        <v>SE M73</v>
      </c>
      <c r="W100" s="614">
        <f>IF(E100=" "," ",IF(E100="H",10^(0.75194503*LOG(K100/175.508)^2)*T100,IF(E100="F",10^(0.783497476* LOG(K100/153.655)^2)*T100,"")))</f>
        <v>319.33474408711328</v>
      </c>
      <c r="X100" s="257">
        <v>43526</v>
      </c>
      <c r="Y100" s="261" t="s">
        <v>705</v>
      </c>
      <c r="Z100" s="261" t="s">
        <v>711</v>
      </c>
      <c r="AA100" s="232"/>
      <c r="AB100" s="230">
        <f>T100-HLOOKUP(V100,[28]Minimas!$C$3:$CD$12,2,FALSE)</f>
        <v>110</v>
      </c>
      <c r="AC100" s="230">
        <f>T100-HLOOKUP(V100,[28]Minimas!$C$3:$CD$12,3,FALSE)</f>
        <v>85</v>
      </c>
      <c r="AD100" s="230">
        <f>T100-HLOOKUP(V100,[28]Minimas!$C$3:$CD$12,4,FALSE)</f>
        <v>60</v>
      </c>
      <c r="AE100" s="230">
        <f>T100-HLOOKUP(V100,[28]Minimas!$C$3:$CD$12,5,FALSE)</f>
        <v>35</v>
      </c>
      <c r="AF100" s="230">
        <f>T100-HLOOKUP(V100,[28]Minimas!$C$3:$CD$12,6,FALSE)</f>
        <v>5</v>
      </c>
      <c r="AG100" s="230">
        <f>T100-HLOOKUP(V100,[28]Minimas!$C$3:$CD$12,7,FALSE)</f>
        <v>-15</v>
      </c>
      <c r="AH100" s="230">
        <f>T100-HLOOKUP(V100,[28]Minimas!$C$3:$CD$12,8,FALSE)</f>
        <v>-35</v>
      </c>
      <c r="AI100" s="230">
        <f>T100-HLOOKUP(V100,[28]Minimas!$C$3:$CD$12,9,FALSE)</f>
        <v>-55</v>
      </c>
      <c r="AJ100" s="230">
        <f>T100-HLOOKUP(V100,[28]Minimas!$C$3:$CD$12,10,FALSE)</f>
        <v>-70</v>
      </c>
      <c r="AK100" s="231" t="str">
        <f t="shared" si="30"/>
        <v>FED +</v>
      </c>
      <c r="AL100" s="232"/>
      <c r="AM100" s="232" t="str">
        <f t="shared" si="31"/>
        <v>FED +</v>
      </c>
      <c r="AN100" s="232">
        <f t="shared" si="32"/>
        <v>5</v>
      </c>
      <c r="AO100" s="232"/>
      <c r="AP100" s="485"/>
      <c r="AQ100" s="485"/>
      <c r="AR100" s="485"/>
      <c r="AS100" s="485"/>
      <c r="AT100" s="485"/>
      <c r="AU100" s="485"/>
      <c r="AV100" s="485"/>
      <c r="AW100" s="485"/>
      <c r="AX100" s="485"/>
      <c r="AY100" s="485"/>
      <c r="AZ100" s="485"/>
      <c r="BA100" s="485"/>
      <c r="BB100" s="485"/>
      <c r="BC100" s="485"/>
      <c r="BD100" s="485"/>
      <c r="BE100" s="485"/>
      <c r="BF100" s="485"/>
      <c r="BG100" s="485"/>
      <c r="BH100" s="485"/>
      <c r="BI100" s="485"/>
      <c r="BJ100" s="485"/>
      <c r="BK100" s="485"/>
      <c r="BL100" s="485"/>
      <c r="BM100" s="485"/>
      <c r="BN100" s="485"/>
      <c r="BO100" s="485"/>
      <c r="BP100" s="485"/>
      <c r="BQ100" s="485"/>
      <c r="BR100" s="485"/>
      <c r="BS100" s="485"/>
      <c r="BT100" s="485"/>
      <c r="BU100" s="485"/>
      <c r="BV100" s="485"/>
      <c r="BW100" s="485"/>
      <c r="BX100" s="485"/>
      <c r="BY100" s="485"/>
      <c r="BZ100" s="485"/>
      <c r="CA100" s="485"/>
      <c r="CB100" s="485"/>
      <c r="CC100" s="485"/>
      <c r="CD100" s="485"/>
      <c r="CE100" s="485"/>
      <c r="CF100" s="485"/>
      <c r="CG100" s="485"/>
      <c r="CH100" s="485"/>
      <c r="CI100" s="485"/>
      <c r="CJ100" s="485"/>
      <c r="CK100" s="485"/>
      <c r="CL100" s="485"/>
      <c r="CM100" s="485"/>
      <c r="CN100" s="485"/>
      <c r="CO100" s="485"/>
      <c r="CP100" s="485"/>
      <c r="CQ100" s="485"/>
      <c r="CR100" s="485"/>
      <c r="CS100" s="485"/>
      <c r="CT100" s="485"/>
      <c r="CU100" s="485"/>
      <c r="CV100" s="485"/>
      <c r="CW100" s="485"/>
      <c r="CX100" s="485"/>
      <c r="CY100" s="485"/>
      <c r="CZ100" s="485"/>
      <c r="DA100" s="485"/>
      <c r="DB100" s="485"/>
      <c r="DC100" s="485"/>
      <c r="DD100" s="485"/>
      <c r="DE100" s="485"/>
      <c r="DF100" s="485"/>
      <c r="DG100" s="485"/>
      <c r="DH100" s="485"/>
      <c r="DI100" s="485"/>
      <c r="DJ100" s="485"/>
      <c r="DK100" s="485"/>
      <c r="DL100" s="485"/>
      <c r="DM100" s="485"/>
      <c r="DN100" s="485"/>
      <c r="DO100" s="485"/>
      <c r="DP100" s="485"/>
      <c r="DQ100" s="485"/>
      <c r="DR100" s="485"/>
      <c r="DS100" s="485"/>
      <c r="DT100" s="485"/>
    </row>
    <row r="101" spans="1:124" s="5" customFormat="1" ht="30" customHeight="1" x14ac:dyDescent="0.25">
      <c r="A101" s="484"/>
      <c r="B101" s="136" t="s">
        <v>543</v>
      </c>
      <c r="C101" s="116">
        <v>305874</v>
      </c>
      <c r="D101" s="119"/>
      <c r="E101" s="175" t="s">
        <v>40</v>
      </c>
      <c r="F101" s="266" t="s">
        <v>244</v>
      </c>
      <c r="G101" s="125" t="s">
        <v>654</v>
      </c>
      <c r="H101" s="267">
        <v>1998</v>
      </c>
      <c r="I101" s="127" t="s">
        <v>324</v>
      </c>
      <c r="J101" s="120" t="s">
        <v>44</v>
      </c>
      <c r="K101" s="126">
        <v>73</v>
      </c>
      <c r="L101" s="109">
        <v>97</v>
      </c>
      <c r="M101" s="109">
        <v>101</v>
      </c>
      <c r="N101" s="109">
        <v>105</v>
      </c>
      <c r="O101" s="242">
        <f>IF(E101="","",IF(MAXA(L101:N101)&lt;=0,0,MAXA(L101:N101)))</f>
        <v>105</v>
      </c>
      <c r="P101" s="133">
        <v>120</v>
      </c>
      <c r="Q101" s="133">
        <v>125</v>
      </c>
      <c r="R101" s="133">
        <v>130</v>
      </c>
      <c r="S101" s="202">
        <f>IF(E101="","",IF(MAXA(P101:R101)&lt;=0,0,MAXA(P101:R101)))</f>
        <v>130</v>
      </c>
      <c r="T101" s="203">
        <f>IF(E101="","",IF(OR(O101=0,S101=0),0,O101+S101))</f>
        <v>235</v>
      </c>
      <c r="U101" s="204" t="str">
        <f t="shared" si="29"/>
        <v>IRG + 25</v>
      </c>
      <c r="V101" s="204" t="str">
        <f>IF(E101=0," ",IF(E101="H",IF(H101&lt;1999,VLOOKUP(K101,Minimas!$A$15:$F$29,6),IF(AND(H101&gt;1998,H101&lt;2002),VLOOKUP(K101,Minimas!$A$15:$F$29,5),IF(AND(H101&gt;2001,H101&lt;2004),VLOOKUP(K101,Minimas!$A$15:$F$29,4),IF(AND(H101&gt;2003,H101&lt;2006),VLOOKUP(K101,Minimas!$A$15:$F$29,3),VLOOKUP(K101,Minimas!$A$15:$F$29,2))))),IF(H101&lt;1999,VLOOKUP(K101,Minimas!$G$15:$L$29,6),IF(AND(H101&gt;1998,H101&lt;2002),VLOOKUP(K101,Minimas!$G$15:$L$29,5),IF(AND(H101&gt;2001,H101&lt;2004),VLOOKUP(K101,Minimas!$G$15:$L$29,4),IF(AND(H101&gt;2003,H101&lt;2006),VLOOKUP(K101,Minimas!$G$15:$L$29,3),VLOOKUP(K101,Minimas!$G$15:$L$29,2)))))))</f>
        <v>SE M73</v>
      </c>
      <c r="W101" s="205">
        <f>IF(E101=" "," ",IF(E101="H",10^(0.75194503*LOG(K101/175.508)^2)*T101,IF(E101="F",10^(0.783497476* LOG(K101/153.655)^2)*T101,"")))</f>
        <v>302.13851509726896</v>
      </c>
      <c r="X101" s="257">
        <v>43485</v>
      </c>
      <c r="Y101" s="261" t="s">
        <v>630</v>
      </c>
      <c r="Z101" s="261" t="s">
        <v>556</v>
      </c>
      <c r="AA101" s="232"/>
      <c r="AB101" s="230">
        <f>T101-HLOOKUP(V101,Minimas!$C$3:$CD$12,2,FALSE)</f>
        <v>100</v>
      </c>
      <c r="AC101" s="230">
        <f>T101-HLOOKUP(V101,Minimas!$C$3:$CD$12,3,FALSE)</f>
        <v>75</v>
      </c>
      <c r="AD101" s="230">
        <f>T101-HLOOKUP(V101,Minimas!$C$3:$CD$12,4,FALSE)</f>
        <v>50</v>
      </c>
      <c r="AE101" s="230">
        <f>T101-HLOOKUP(V101,Minimas!$C$3:$CD$12,5,FALSE)</f>
        <v>25</v>
      </c>
      <c r="AF101" s="230">
        <f>T101-HLOOKUP(V101,Minimas!$C$3:$CD$12,6,FALSE)</f>
        <v>-5</v>
      </c>
      <c r="AG101" s="230">
        <f>T101-HLOOKUP(V101,Minimas!$C$3:$CD$12,7,FALSE)</f>
        <v>-25</v>
      </c>
      <c r="AH101" s="230">
        <f>T101-HLOOKUP(V101,Minimas!$C$3:$CD$12,8,FALSE)</f>
        <v>-45</v>
      </c>
      <c r="AI101" s="230">
        <f>T101-HLOOKUP(V101,Minimas!$C$3:$CD$12,9,FALSE)</f>
        <v>-65</v>
      </c>
      <c r="AJ101" s="230">
        <f>T101-HLOOKUP(V101,Minimas!$C$3:$CD$12,10,FALSE)</f>
        <v>-80</v>
      </c>
      <c r="AK101" s="231" t="str">
        <f t="shared" si="30"/>
        <v>IRG +</v>
      </c>
      <c r="AL101" s="232"/>
      <c r="AM101" s="232" t="str">
        <f t="shared" si="31"/>
        <v>IRG +</v>
      </c>
      <c r="AN101" s="232">
        <f t="shared" si="32"/>
        <v>25</v>
      </c>
      <c r="AO101" s="232"/>
      <c r="AP101" s="485"/>
      <c r="AQ101" s="485"/>
      <c r="AR101" s="485"/>
      <c r="AS101" s="485"/>
      <c r="AT101" s="485"/>
      <c r="AU101" s="485"/>
      <c r="AV101" s="485"/>
      <c r="AW101" s="485"/>
      <c r="AX101" s="485"/>
      <c r="AY101" s="485"/>
      <c r="AZ101" s="485"/>
      <c r="BA101" s="485"/>
      <c r="BB101" s="485"/>
      <c r="BC101" s="485"/>
      <c r="BD101" s="485"/>
      <c r="BE101" s="485"/>
      <c r="BF101" s="485"/>
      <c r="BG101" s="485"/>
      <c r="BH101" s="485"/>
      <c r="BI101" s="485"/>
      <c r="BJ101" s="485"/>
      <c r="BK101" s="485"/>
      <c r="BL101" s="485"/>
      <c r="BM101" s="485"/>
      <c r="BN101" s="485"/>
      <c r="BO101" s="485"/>
      <c r="BP101" s="485"/>
      <c r="BQ101" s="485"/>
      <c r="BR101" s="485"/>
      <c r="BS101" s="485"/>
      <c r="BT101" s="485"/>
      <c r="BU101" s="485"/>
      <c r="BV101" s="485"/>
      <c r="BW101" s="485"/>
      <c r="BX101" s="485"/>
      <c r="BY101" s="485"/>
      <c r="BZ101" s="485"/>
      <c r="CA101" s="485"/>
      <c r="CB101" s="485"/>
      <c r="CC101" s="485"/>
      <c r="CD101" s="485"/>
      <c r="CE101" s="485"/>
      <c r="CF101" s="485"/>
      <c r="CG101" s="485"/>
      <c r="CH101" s="485"/>
      <c r="CI101" s="485"/>
      <c r="CJ101" s="485"/>
      <c r="CK101" s="485"/>
      <c r="CL101" s="485"/>
      <c r="CM101" s="485"/>
      <c r="CN101" s="485"/>
      <c r="CO101" s="485"/>
      <c r="CP101" s="485"/>
      <c r="CQ101" s="485"/>
      <c r="CR101" s="485"/>
      <c r="CS101" s="485"/>
      <c r="CT101" s="485"/>
      <c r="CU101" s="485"/>
      <c r="CV101" s="485"/>
      <c r="CW101" s="485"/>
      <c r="CX101" s="485"/>
      <c r="CY101" s="485"/>
      <c r="CZ101" s="485"/>
      <c r="DA101" s="485"/>
      <c r="DB101" s="485"/>
      <c r="DC101" s="485"/>
      <c r="DD101" s="485"/>
      <c r="DE101" s="485"/>
      <c r="DF101" s="485"/>
      <c r="DG101" s="485"/>
      <c r="DH101" s="485"/>
      <c r="DI101" s="485"/>
      <c r="DJ101" s="485"/>
      <c r="DK101" s="485"/>
      <c r="DL101" s="485"/>
      <c r="DM101" s="485"/>
      <c r="DN101" s="485"/>
      <c r="DO101" s="485"/>
      <c r="DP101" s="485"/>
      <c r="DQ101" s="485"/>
      <c r="DR101" s="485"/>
      <c r="DS101" s="485"/>
      <c r="DT101" s="485"/>
    </row>
    <row r="102" spans="1:124" s="5" customFormat="1" ht="30" customHeight="1" x14ac:dyDescent="0.4">
      <c r="B102" s="136" t="s">
        <v>543</v>
      </c>
      <c r="C102" s="447">
        <v>442609</v>
      </c>
      <c r="D102" s="137"/>
      <c r="E102" s="98" t="s">
        <v>40</v>
      </c>
      <c r="F102" s="137" t="s">
        <v>434</v>
      </c>
      <c r="G102" s="137" t="s">
        <v>494</v>
      </c>
      <c r="H102" s="98">
        <v>1989</v>
      </c>
      <c r="I102" s="140" t="s">
        <v>214</v>
      </c>
      <c r="J102" s="98" t="s">
        <v>44</v>
      </c>
      <c r="K102" s="139">
        <v>70.099999999999994</v>
      </c>
      <c r="L102" s="224">
        <v>95</v>
      </c>
      <c r="M102" s="225">
        <v>-100</v>
      </c>
      <c r="N102" s="224">
        <v>100</v>
      </c>
      <c r="O102" s="250">
        <f>IF(E102="","",IF(MAXA(L102:N102)&lt;=0,0,MAXA(L102:N102)))</f>
        <v>100</v>
      </c>
      <c r="P102" s="224">
        <v>115</v>
      </c>
      <c r="Q102" s="224">
        <v>125</v>
      </c>
      <c r="R102" s="224">
        <v>130</v>
      </c>
      <c r="S102" s="202">
        <f>IF(E102="","",IF(MAXA(P102:R102)&lt;=0,0,MAXA(P102:R102)))</f>
        <v>130</v>
      </c>
      <c r="T102" s="203">
        <f>IF(E102="","",IF(OR(O102=0,S102=0),0,O102+S102))</f>
        <v>230</v>
      </c>
      <c r="U102" s="204" t="str">
        <f t="shared" si="29"/>
        <v>IRG + 20</v>
      </c>
      <c r="V102" s="204" t="str">
        <f>IF(E102=0," ",IF(E102="H",IF(H102&lt;1999,VLOOKUP(K102,Minimas!$A$15:$F$29,6),IF(AND(H102&gt;1998,H102&lt;2002),VLOOKUP(K102,Minimas!$A$15:$F$29,5),IF(AND(H102&gt;2001,H102&lt;2004),VLOOKUP(K102,Minimas!$A$15:$F$29,4),IF(AND(H102&gt;2003,H102&lt;2006),VLOOKUP(K102,Minimas!$A$15:$F$29,3),VLOOKUP(K102,Minimas!$A$15:$F$29,2))))),IF(H102&lt;1999,VLOOKUP(K102,Minimas!$G$15:$L$29,6),IF(AND(H102&gt;1998,H102&lt;2002),VLOOKUP(K102,Minimas!$G$15:$L$29,5),IF(AND(H102&gt;2001,H102&lt;2004),VLOOKUP(K102,Minimas!$G$15:$L$29,4),IF(AND(H102&gt;2003,H102&lt;2006),VLOOKUP(K102,Minimas!$G$15:$L$29,3),VLOOKUP(K102,Minimas!$G$15:$L$29,2)))))))</f>
        <v>SE M73</v>
      </c>
      <c r="W102" s="205">
        <f>IF(E102=" "," ",IF(E102="H",10^(0.75194503*LOG(K102/175.508)^2)*T102,IF(E102="F",10^(0.783497476* LOG(K102/153.655)^2)*T102,"")))</f>
        <v>302.82078971164589</v>
      </c>
      <c r="X102" s="184">
        <v>43449</v>
      </c>
      <c r="Y102" s="186" t="s">
        <v>512</v>
      </c>
      <c r="Z102" s="261" t="s">
        <v>511</v>
      </c>
      <c r="AA102" s="232"/>
      <c r="AB102" s="230">
        <f>T102-HLOOKUP(V102,Minimas!$C$3:$CD$12,2,FALSE)</f>
        <v>95</v>
      </c>
      <c r="AC102" s="230">
        <f>T102-HLOOKUP(V102,Minimas!$C$3:$CD$12,3,FALSE)</f>
        <v>70</v>
      </c>
      <c r="AD102" s="230">
        <f>T102-HLOOKUP(V102,Minimas!$C$3:$CD$12,4,FALSE)</f>
        <v>45</v>
      </c>
      <c r="AE102" s="230">
        <f>T102-HLOOKUP(V102,Minimas!$C$3:$CD$12,5,FALSE)</f>
        <v>20</v>
      </c>
      <c r="AF102" s="230">
        <f>T102-HLOOKUP(V102,Minimas!$C$3:$CD$12,6,FALSE)</f>
        <v>-10</v>
      </c>
      <c r="AG102" s="230">
        <f>T102-HLOOKUP(V102,Minimas!$C$3:$CD$12,7,FALSE)</f>
        <v>-30</v>
      </c>
      <c r="AH102" s="230">
        <f>T102-HLOOKUP(V102,Minimas!$C$3:$CD$12,8,FALSE)</f>
        <v>-50</v>
      </c>
      <c r="AI102" s="230">
        <f>T102-HLOOKUP(V102,Minimas!$C$3:$CD$12,9,FALSE)</f>
        <v>-70</v>
      </c>
      <c r="AJ102" s="230">
        <f>T102-HLOOKUP(V102,Minimas!$C$3:$CD$12,10,FALSE)</f>
        <v>-85</v>
      </c>
      <c r="AK102" s="231" t="str">
        <f t="shared" si="30"/>
        <v>IRG +</v>
      </c>
      <c r="AL102" s="232"/>
      <c r="AM102" s="232" t="str">
        <f t="shared" si="31"/>
        <v>IRG +</v>
      </c>
      <c r="AN102" s="232">
        <f t="shared" si="32"/>
        <v>20</v>
      </c>
      <c r="AO102" s="232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  <c r="BF102" s="38"/>
      <c r="BG102" s="38"/>
      <c r="BH102" s="38"/>
      <c r="BI102" s="38"/>
      <c r="BJ102" s="38"/>
      <c r="BK102" s="38"/>
      <c r="BL102" s="38"/>
      <c r="BM102" s="38"/>
      <c r="BN102" s="38"/>
      <c r="BO102" s="38"/>
      <c r="BP102" s="38"/>
      <c r="BQ102" s="38"/>
      <c r="BR102" s="38"/>
      <c r="BS102" s="38"/>
      <c r="BT102" s="38"/>
      <c r="BU102" s="38"/>
      <c r="BV102" s="38"/>
      <c r="BW102" s="38"/>
      <c r="BX102" s="38"/>
      <c r="BY102" s="38"/>
      <c r="BZ102" s="38"/>
      <c r="CA102" s="38"/>
      <c r="CB102" s="38"/>
      <c r="CC102" s="38"/>
      <c r="CD102" s="38"/>
      <c r="CE102" s="38"/>
      <c r="CF102" s="38"/>
      <c r="CG102" s="38"/>
      <c r="CH102" s="38"/>
      <c r="CI102" s="38"/>
      <c r="CJ102" s="38"/>
      <c r="CK102" s="38"/>
      <c r="CL102" s="38"/>
      <c r="CM102" s="38"/>
      <c r="CN102" s="38"/>
      <c r="CO102" s="38"/>
      <c r="CP102" s="38"/>
      <c r="CQ102" s="38"/>
      <c r="CR102" s="38"/>
      <c r="CS102" s="38"/>
      <c r="CT102" s="38"/>
      <c r="CU102" s="38"/>
      <c r="CV102" s="38"/>
      <c r="CW102" s="38"/>
      <c r="CX102" s="38"/>
      <c r="CY102" s="38"/>
      <c r="CZ102" s="38"/>
      <c r="DA102" s="38"/>
      <c r="DB102" s="38"/>
      <c r="DC102" s="38"/>
      <c r="DD102" s="38"/>
      <c r="DE102" s="38"/>
      <c r="DF102" s="38"/>
      <c r="DG102" s="38"/>
      <c r="DH102" s="38"/>
      <c r="DI102" s="38"/>
      <c r="DJ102" s="38"/>
      <c r="DK102" s="38"/>
      <c r="DL102" s="38"/>
      <c r="DM102" s="38"/>
      <c r="DN102" s="38"/>
      <c r="DO102" s="38"/>
      <c r="DP102" s="38"/>
      <c r="DQ102" s="38"/>
      <c r="DR102" s="38"/>
      <c r="DS102" s="38"/>
      <c r="DT102" s="38"/>
    </row>
    <row r="103" spans="1:124" s="5" customFormat="1" ht="30" customHeight="1" x14ac:dyDescent="0.25">
      <c r="A103" s="1"/>
      <c r="B103" s="136" t="s">
        <v>543</v>
      </c>
      <c r="C103" s="166">
        <v>429785</v>
      </c>
      <c r="D103" s="167"/>
      <c r="E103" s="476" t="s">
        <v>40</v>
      </c>
      <c r="F103" s="546" t="s">
        <v>644</v>
      </c>
      <c r="G103" s="553" t="s">
        <v>472</v>
      </c>
      <c r="H103" s="145">
        <v>1998</v>
      </c>
      <c r="I103" s="169" t="s">
        <v>173</v>
      </c>
      <c r="J103" s="146" t="s">
        <v>848</v>
      </c>
      <c r="K103" s="200">
        <v>72.8</v>
      </c>
      <c r="L103" s="785">
        <v>-107</v>
      </c>
      <c r="M103" s="785">
        <v>-107</v>
      </c>
      <c r="N103" s="785">
        <v>107</v>
      </c>
      <c r="O103" s="603">
        <v>107</v>
      </c>
      <c r="P103" s="785">
        <v>117</v>
      </c>
      <c r="Q103" s="785">
        <v>122</v>
      </c>
      <c r="R103" s="785">
        <v>-130</v>
      </c>
      <c r="S103" s="606">
        <v>122</v>
      </c>
      <c r="T103" s="610">
        <v>229</v>
      </c>
      <c r="U103" s="204" t="str">
        <f t="shared" si="29"/>
        <v>IRG + 19</v>
      </c>
      <c r="V103" s="204" t="str">
        <f>IF(E103=0," ",IF(E103="H",IF(H103&lt;1999,VLOOKUP(K103,[10]Minimas!$A$15:$F$29,6),IF(AND(H103&gt;1998,H103&lt;2002),VLOOKUP(K103,[10]Minimas!$A$15:$F$29,5),IF(AND(H103&gt;2001,H103&lt;2004),VLOOKUP(K103,[10]Minimas!$A$15:$F$29,4),IF(AND(H103&gt;2003,H103&lt;2006),VLOOKUP(K103,[10]Minimas!$A$15:$F$29,3),VLOOKUP(K103,[10]Minimas!$A$15:$F$29,2))))),IF(H103&lt;1999,VLOOKUP(K103,[10]Minimas!$G$15:$L$29,6),IF(AND(H103&gt;1998,H103&lt;2002),VLOOKUP(K103,[10]Minimas!$G$15:$L$29,5),IF(AND(H103&gt;2001,H103&lt;2004),VLOOKUP(K103,[10]Minimas!$G$15:$L$29,4),IF(AND(H103&gt;2003,H103&lt;2006),VLOOKUP(K103,[10]Minimas!$G$15:$L$29,3),VLOOKUP(K103,[10]Minimas!$G$15:$L$29,2)))))))</f>
        <v>SE M73</v>
      </c>
      <c r="W103" s="614">
        <v>294.88822321974106</v>
      </c>
      <c r="X103" s="257">
        <v>43560</v>
      </c>
      <c r="Y103" s="261" t="s">
        <v>849</v>
      </c>
      <c r="Z103" s="261" t="s">
        <v>850</v>
      </c>
      <c r="AA103" s="232"/>
      <c r="AB103" s="230">
        <f>T103-HLOOKUP(V103,[10]Minimas!$C$3:$CD$12,2,FALSE)</f>
        <v>94</v>
      </c>
      <c r="AC103" s="230">
        <f>T103-HLOOKUP(V103,[10]Minimas!$C$3:$CD$12,3,FALSE)</f>
        <v>69</v>
      </c>
      <c r="AD103" s="230">
        <f>T103-HLOOKUP(V103,[10]Minimas!$C$3:$CD$12,4,FALSE)</f>
        <v>44</v>
      </c>
      <c r="AE103" s="230">
        <f>T103-HLOOKUP(V103,[10]Minimas!$C$3:$CD$12,5,FALSE)</f>
        <v>19</v>
      </c>
      <c r="AF103" s="230">
        <f>T103-HLOOKUP(V103,[10]Minimas!$C$3:$CD$12,6,FALSE)</f>
        <v>-11</v>
      </c>
      <c r="AG103" s="230">
        <f>T103-HLOOKUP(V103,[10]Minimas!$C$3:$CD$12,7,FALSE)</f>
        <v>-31</v>
      </c>
      <c r="AH103" s="230">
        <f>T103-HLOOKUP(V103,[10]Minimas!$C$3:$CD$12,8,FALSE)</f>
        <v>-51</v>
      </c>
      <c r="AI103" s="230">
        <f>T103-HLOOKUP(V103,[10]Minimas!$C$3:$CD$12,9,FALSE)</f>
        <v>-71</v>
      </c>
      <c r="AJ103" s="230">
        <f>T103-HLOOKUP(V103,[10]Minimas!$C$3:$CD$12,10,FALSE)</f>
        <v>-86</v>
      </c>
      <c r="AK103" s="231" t="str">
        <f t="shared" si="30"/>
        <v>IRG +</v>
      </c>
      <c r="AL103" s="232"/>
      <c r="AM103" s="232" t="str">
        <f t="shared" si="31"/>
        <v>IRG +</v>
      </c>
      <c r="AN103" s="232">
        <f t="shared" si="32"/>
        <v>19</v>
      </c>
      <c r="AO103" s="462"/>
      <c r="AP103" s="484"/>
      <c r="AQ103" s="484"/>
      <c r="AR103" s="484"/>
      <c r="AS103" s="484"/>
      <c r="AT103" s="484"/>
      <c r="AU103" s="484"/>
      <c r="AV103" s="484"/>
      <c r="AW103" s="484"/>
      <c r="AX103" s="484"/>
      <c r="AY103" s="484"/>
      <c r="AZ103" s="484"/>
      <c r="BA103" s="484"/>
      <c r="BB103" s="484"/>
      <c r="BC103" s="484"/>
      <c r="BD103" s="484"/>
      <c r="BE103" s="484"/>
      <c r="BF103" s="484"/>
      <c r="BG103" s="484"/>
      <c r="BH103" s="484"/>
      <c r="BI103" s="484"/>
      <c r="BJ103" s="484"/>
      <c r="BK103" s="484"/>
      <c r="BL103" s="484"/>
      <c r="BM103" s="484"/>
      <c r="BN103" s="484"/>
      <c r="BO103" s="484"/>
      <c r="BP103" s="484"/>
      <c r="BQ103" s="484"/>
      <c r="BR103" s="484"/>
      <c r="BS103" s="484"/>
      <c r="BT103" s="484"/>
      <c r="BU103" s="484"/>
      <c r="BV103" s="484"/>
      <c r="BW103" s="484"/>
      <c r="BX103" s="484"/>
      <c r="BY103" s="484"/>
      <c r="BZ103" s="484"/>
      <c r="CA103" s="484"/>
      <c r="CB103" s="484"/>
      <c r="CC103" s="484"/>
      <c r="CD103" s="484"/>
      <c r="CE103" s="484"/>
      <c r="CF103" s="484"/>
      <c r="CG103" s="484"/>
      <c r="CH103" s="484"/>
      <c r="CI103" s="484"/>
      <c r="CJ103" s="484"/>
      <c r="CK103" s="484"/>
      <c r="CL103" s="484"/>
      <c r="CM103" s="484"/>
      <c r="CN103" s="484"/>
      <c r="CO103" s="484"/>
      <c r="CP103" s="484"/>
      <c r="CQ103" s="484"/>
      <c r="CR103" s="484"/>
      <c r="CS103" s="484"/>
      <c r="CT103" s="484"/>
      <c r="CU103" s="484"/>
      <c r="CV103" s="484"/>
      <c r="CW103" s="484"/>
      <c r="CX103" s="484"/>
      <c r="CY103" s="484"/>
      <c r="CZ103" s="484"/>
      <c r="DA103" s="484"/>
      <c r="DB103" s="484"/>
      <c r="DC103" s="484"/>
      <c r="DD103" s="484"/>
      <c r="DE103" s="484"/>
      <c r="DF103" s="484"/>
      <c r="DG103" s="484"/>
      <c r="DH103" s="484"/>
      <c r="DI103" s="484"/>
      <c r="DJ103" s="484"/>
      <c r="DK103" s="484"/>
      <c r="DL103" s="484"/>
      <c r="DM103" s="484"/>
      <c r="DN103" s="484"/>
      <c r="DO103" s="484"/>
      <c r="DP103" s="484"/>
      <c r="DQ103" s="484"/>
      <c r="DR103" s="1"/>
      <c r="DS103" s="1"/>
      <c r="DT103" s="1"/>
    </row>
    <row r="104" spans="1:124" s="5" customFormat="1" ht="30" customHeight="1" x14ac:dyDescent="0.3">
      <c r="B104" s="136" t="s">
        <v>543</v>
      </c>
      <c r="C104" s="116">
        <v>130685</v>
      </c>
      <c r="D104" s="122"/>
      <c r="E104" s="175" t="s">
        <v>40</v>
      </c>
      <c r="F104" s="124" t="s">
        <v>350</v>
      </c>
      <c r="G104" s="125" t="s">
        <v>351</v>
      </c>
      <c r="H104" s="156">
        <v>1991</v>
      </c>
      <c r="I104" s="159" t="s">
        <v>170</v>
      </c>
      <c r="J104" s="104" t="s">
        <v>44</v>
      </c>
      <c r="K104" s="126">
        <v>68.099999999999994</v>
      </c>
      <c r="L104" s="109">
        <v>95</v>
      </c>
      <c r="M104" s="109">
        <v>100</v>
      </c>
      <c r="N104" s="109">
        <v>103</v>
      </c>
      <c r="O104" s="242">
        <f t="shared" ref="O104:O145" si="33">IF(E104="","",IF(MAXA(L104:N104)&lt;=0,0,MAXA(L104:N104)))</f>
        <v>103</v>
      </c>
      <c r="P104" s="133">
        <v>115</v>
      </c>
      <c r="Q104" s="133">
        <v>120</v>
      </c>
      <c r="R104" s="130">
        <v>-125</v>
      </c>
      <c r="S104" s="202">
        <f t="shared" ref="S104:S145" si="34">IF(E104="","",IF(MAXA(P104:R104)&lt;=0,0,MAXA(P104:R104)))</f>
        <v>120</v>
      </c>
      <c r="T104" s="203">
        <f t="shared" ref="T104:T117" si="35">IF(E104="","",IF(OR(O104=0,S104=0),0,O104+S104))</f>
        <v>223</v>
      </c>
      <c r="U104" s="204" t="str">
        <f t="shared" si="29"/>
        <v>IRG + 13</v>
      </c>
      <c r="V104" s="204" t="str">
        <f>IF(E104=0," ",IF(E104="H",IF(H104&lt;1999,VLOOKUP(K104,Minimas!$A$15:$F$29,6),IF(AND(H104&gt;1998,H104&lt;2002),VLOOKUP(K104,Minimas!$A$15:$F$29,5),IF(AND(H104&gt;2001,H104&lt;2004),VLOOKUP(K104,Minimas!$A$15:$F$29,4),IF(AND(H104&gt;2003,H104&lt;2006),VLOOKUP(K104,Minimas!$A$15:$F$29,3),VLOOKUP(K104,Minimas!$A$15:$F$29,2))))),IF(H104&lt;1999,VLOOKUP(K104,Minimas!$G$15:$L$29,6),IF(AND(H104&gt;1998,H104&lt;2002),VLOOKUP(K104,Minimas!$G$15:$L$29,5),IF(AND(H104&gt;2001,H104&lt;2004),VLOOKUP(K104,Minimas!$G$15:$L$29,4),IF(AND(H104&gt;2003,H104&lt;2006),VLOOKUP(K104,Minimas!$G$15:$L$29,3),VLOOKUP(K104,Minimas!$G$15:$L$29,2)))))))</f>
        <v>SE M73</v>
      </c>
      <c r="W104" s="205">
        <f t="shared" ref="W104:W145" si="36">IF(E104=" "," ",IF(E104="H",10^(0.75194503*LOG(K104/175.508)^2)*T104,IF(E104="F",10^(0.783497476* LOG(K104/153.655)^2)*T104,"")))</f>
        <v>298.82489862027819</v>
      </c>
      <c r="X104" s="184">
        <v>43401</v>
      </c>
      <c r="Y104" s="284" t="s">
        <v>507</v>
      </c>
      <c r="Z104" s="284" t="s">
        <v>506</v>
      </c>
      <c r="AA104" s="232"/>
      <c r="AB104" s="230">
        <f>T104-HLOOKUP(V104,Minimas!$C$3:$CD$12,2,FALSE)</f>
        <v>88</v>
      </c>
      <c r="AC104" s="230">
        <f>T104-HLOOKUP(V104,Minimas!$C$3:$CD$12,3,FALSE)</f>
        <v>63</v>
      </c>
      <c r="AD104" s="230">
        <f>T104-HLOOKUP(V104,Minimas!$C$3:$CD$12,4,FALSE)</f>
        <v>38</v>
      </c>
      <c r="AE104" s="230">
        <f>T104-HLOOKUP(V104,Minimas!$C$3:$CD$12,5,FALSE)</f>
        <v>13</v>
      </c>
      <c r="AF104" s="230">
        <f>T104-HLOOKUP(V104,Minimas!$C$3:$CD$12,6,FALSE)</f>
        <v>-17</v>
      </c>
      <c r="AG104" s="230">
        <f>T104-HLOOKUP(V104,Minimas!$C$3:$CD$12,7,FALSE)</f>
        <v>-37</v>
      </c>
      <c r="AH104" s="230">
        <f>T104-HLOOKUP(V104,Minimas!$C$3:$CD$12,8,FALSE)</f>
        <v>-57</v>
      </c>
      <c r="AI104" s="230">
        <f>T104-HLOOKUP(V104,Minimas!$C$3:$CD$12,9,FALSE)</f>
        <v>-77</v>
      </c>
      <c r="AJ104" s="230">
        <f>T104-HLOOKUP(V104,Minimas!$C$3:$CD$12,10,FALSE)</f>
        <v>-92</v>
      </c>
      <c r="AK104" s="231" t="str">
        <f t="shared" si="30"/>
        <v>IRG +</v>
      </c>
      <c r="AL104" s="232"/>
      <c r="AM104" s="232" t="str">
        <f t="shared" si="31"/>
        <v>IRG +</v>
      </c>
      <c r="AN104" s="232">
        <f t="shared" si="32"/>
        <v>13</v>
      </c>
      <c r="AO104" s="232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  <c r="BF104" s="38"/>
      <c r="BG104" s="38"/>
      <c r="BH104" s="38"/>
      <c r="BI104" s="38"/>
      <c r="BJ104" s="38"/>
      <c r="BK104" s="38"/>
      <c r="BL104" s="38"/>
      <c r="BM104" s="38"/>
      <c r="BN104" s="38"/>
      <c r="BO104" s="38"/>
      <c r="BP104" s="38"/>
      <c r="BQ104" s="38"/>
      <c r="BR104" s="38"/>
      <c r="BS104" s="38"/>
      <c r="BT104" s="38"/>
      <c r="BU104" s="38"/>
      <c r="BV104" s="38"/>
      <c r="BW104" s="38"/>
      <c r="BX104" s="38"/>
      <c r="BY104" s="38"/>
      <c r="BZ104" s="38"/>
      <c r="CA104" s="38"/>
      <c r="CB104" s="38"/>
      <c r="CC104" s="38"/>
      <c r="CD104" s="38"/>
      <c r="CE104" s="38"/>
      <c r="CF104" s="38"/>
      <c r="CG104" s="38"/>
      <c r="CH104" s="38"/>
      <c r="CI104" s="38"/>
      <c r="CJ104" s="38"/>
      <c r="CK104" s="38"/>
      <c r="CL104" s="38"/>
      <c r="CM104" s="38"/>
      <c r="CN104" s="38"/>
      <c r="CO104" s="38"/>
      <c r="CP104" s="38"/>
      <c r="CQ104" s="38"/>
      <c r="CR104" s="38"/>
      <c r="CS104" s="38"/>
      <c r="CT104" s="38"/>
      <c r="CU104" s="38"/>
      <c r="CV104" s="38"/>
      <c r="CW104" s="38"/>
      <c r="CX104" s="38"/>
      <c r="CY104" s="38"/>
      <c r="CZ104" s="38"/>
      <c r="DA104" s="38"/>
      <c r="DB104" s="38"/>
      <c r="DC104" s="38"/>
      <c r="DD104" s="38"/>
      <c r="DE104" s="38"/>
      <c r="DF104" s="38"/>
      <c r="DG104" s="38"/>
      <c r="DH104" s="38"/>
      <c r="DI104" s="38"/>
      <c r="DJ104" s="38"/>
      <c r="DK104" s="38"/>
      <c r="DL104" s="38"/>
      <c r="DM104" s="38"/>
      <c r="DN104" s="38"/>
      <c r="DO104" s="38"/>
      <c r="DP104" s="38"/>
      <c r="DQ104" s="38"/>
      <c r="DR104" s="38"/>
      <c r="DS104" s="38"/>
      <c r="DT104" s="38"/>
    </row>
    <row r="105" spans="1:124" s="5" customFormat="1" ht="30" customHeight="1" x14ac:dyDescent="0.25">
      <c r="B105" s="251" t="s">
        <v>543</v>
      </c>
      <c r="C105" s="166">
        <v>181856</v>
      </c>
      <c r="D105" s="146"/>
      <c r="E105" s="476" t="s">
        <v>40</v>
      </c>
      <c r="F105" s="143" t="s">
        <v>257</v>
      </c>
      <c r="G105" s="144" t="s">
        <v>258</v>
      </c>
      <c r="H105" s="145">
        <v>1983</v>
      </c>
      <c r="I105" s="117" t="s">
        <v>254</v>
      </c>
      <c r="J105" s="146" t="s">
        <v>44</v>
      </c>
      <c r="K105" s="252">
        <v>71.599999999999994</v>
      </c>
      <c r="L105" s="118">
        <v>93</v>
      </c>
      <c r="M105" s="118">
        <v>98</v>
      </c>
      <c r="N105" s="249">
        <v>-101</v>
      </c>
      <c r="O105" s="250">
        <f t="shared" si="33"/>
        <v>98</v>
      </c>
      <c r="P105" s="118">
        <v>115</v>
      </c>
      <c r="Q105" s="118">
        <v>125</v>
      </c>
      <c r="R105" s="148">
        <v>-130</v>
      </c>
      <c r="S105" s="202">
        <f t="shared" si="34"/>
        <v>125</v>
      </c>
      <c r="T105" s="203">
        <f t="shared" si="35"/>
        <v>223</v>
      </c>
      <c r="U105" s="204" t="str">
        <f t="shared" si="29"/>
        <v>IRG + 13</v>
      </c>
      <c r="V105" s="204" t="str">
        <f>IF(E105=0," ",IF(E105="H",IF(H105&lt;1999,VLOOKUP(K105,Minimas!$A$15:$F$29,6),IF(AND(H105&gt;1998,H105&lt;2002),VLOOKUP(K105,Minimas!$A$15:$F$29,5),IF(AND(H105&gt;2001,H105&lt;2004),VLOOKUP(K105,Minimas!$A$15:$F$29,4),IF(AND(H105&gt;2003,H105&lt;2006),VLOOKUP(K105,Minimas!$A$15:$F$29,3),VLOOKUP(K105,Minimas!$A$15:$F$29,2))))),IF(H105&lt;1999,VLOOKUP(K105,Minimas!$G$15:$L$29,6),IF(AND(H105&gt;1998,H105&lt;2002),VLOOKUP(K105,Minimas!$G$15:$L$29,5),IF(AND(H105&gt;2001,H105&lt;2004),VLOOKUP(K105,Minimas!$G$15:$L$29,4),IF(AND(H105&gt;2003,H105&lt;2006),VLOOKUP(K105,Minimas!$G$15:$L$29,3),VLOOKUP(K105,Minimas!$G$15:$L$29,2)))))))</f>
        <v>SE M73</v>
      </c>
      <c r="W105" s="205">
        <f t="shared" si="36"/>
        <v>289.94433737142668</v>
      </c>
      <c r="X105" s="257">
        <v>43485</v>
      </c>
      <c r="Y105" s="261" t="s">
        <v>555</v>
      </c>
      <c r="Z105" s="261" t="s">
        <v>556</v>
      </c>
      <c r="AA105" s="232"/>
      <c r="AB105" s="230">
        <f>T105-HLOOKUP(V105,Minimas!$C$3:$CD$12,2,FALSE)</f>
        <v>88</v>
      </c>
      <c r="AC105" s="230">
        <f>T105-HLOOKUP(V105,Minimas!$C$3:$CD$12,3,FALSE)</f>
        <v>63</v>
      </c>
      <c r="AD105" s="230">
        <f>T105-HLOOKUP(V105,Minimas!$C$3:$CD$12,4,FALSE)</f>
        <v>38</v>
      </c>
      <c r="AE105" s="230">
        <f>T105-HLOOKUP(V105,Minimas!$C$3:$CD$12,5,FALSE)</f>
        <v>13</v>
      </c>
      <c r="AF105" s="230">
        <f>T105-HLOOKUP(V105,Minimas!$C$3:$CD$12,6,FALSE)</f>
        <v>-17</v>
      </c>
      <c r="AG105" s="230">
        <f>T105-HLOOKUP(V105,Minimas!$C$3:$CD$12,7,FALSE)</f>
        <v>-37</v>
      </c>
      <c r="AH105" s="230">
        <f>T105-HLOOKUP(V105,Minimas!$C$3:$CD$12,8,FALSE)</f>
        <v>-57</v>
      </c>
      <c r="AI105" s="230">
        <f>T105-HLOOKUP(V105,Minimas!$C$3:$CD$12,9,FALSE)</f>
        <v>-77</v>
      </c>
      <c r="AJ105" s="230">
        <f>T105-HLOOKUP(V105,Minimas!$C$3:$CD$12,10,FALSE)</f>
        <v>-92</v>
      </c>
      <c r="AK105" s="231" t="str">
        <f t="shared" si="30"/>
        <v>IRG +</v>
      </c>
      <c r="AL105" s="232"/>
      <c r="AM105" s="232" t="str">
        <f t="shared" si="31"/>
        <v>IRG +</v>
      </c>
      <c r="AN105" s="232">
        <f t="shared" si="32"/>
        <v>13</v>
      </c>
      <c r="AO105" s="232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  <c r="BF105" s="38"/>
      <c r="BG105" s="38"/>
      <c r="BH105" s="38"/>
      <c r="BI105" s="38"/>
      <c r="BJ105" s="38"/>
      <c r="BK105" s="38"/>
      <c r="BL105" s="38"/>
      <c r="BM105" s="38"/>
      <c r="BN105" s="38"/>
      <c r="BO105" s="38"/>
      <c r="BP105" s="38"/>
      <c r="BQ105" s="38"/>
      <c r="BR105" s="38"/>
      <c r="BS105" s="38"/>
      <c r="BT105" s="38"/>
      <c r="BU105" s="38"/>
      <c r="BV105" s="38"/>
      <c r="BW105" s="38"/>
      <c r="BX105" s="38"/>
      <c r="BY105" s="38"/>
      <c r="BZ105" s="38"/>
      <c r="CA105" s="38"/>
      <c r="CB105" s="38"/>
      <c r="CC105" s="38"/>
      <c r="CD105" s="38"/>
      <c r="CE105" s="38"/>
      <c r="CF105" s="38"/>
      <c r="CG105" s="38"/>
      <c r="CH105" s="38"/>
      <c r="CI105" s="38"/>
      <c r="CJ105" s="38"/>
      <c r="CK105" s="38"/>
      <c r="CL105" s="38"/>
      <c r="CM105" s="38"/>
      <c r="CN105" s="38"/>
      <c r="CO105" s="38"/>
      <c r="CP105" s="38"/>
      <c r="CQ105" s="38"/>
      <c r="CR105" s="38"/>
      <c r="CS105" s="38"/>
      <c r="CT105" s="38"/>
      <c r="CU105" s="38"/>
      <c r="CV105" s="38"/>
      <c r="CW105" s="38"/>
      <c r="CX105" s="38"/>
      <c r="CY105" s="38"/>
      <c r="CZ105" s="38"/>
      <c r="DA105" s="38"/>
      <c r="DB105" s="38"/>
      <c r="DC105" s="38"/>
      <c r="DD105" s="38"/>
      <c r="DE105" s="38"/>
      <c r="DF105" s="38"/>
      <c r="DG105" s="38"/>
      <c r="DH105" s="38"/>
      <c r="DI105" s="38"/>
      <c r="DJ105" s="38"/>
      <c r="DK105" s="38"/>
      <c r="DL105" s="38"/>
      <c r="DM105" s="38"/>
      <c r="DN105" s="38"/>
      <c r="DO105" s="38"/>
      <c r="DP105" s="38"/>
      <c r="DQ105" s="38"/>
      <c r="DR105" s="38"/>
      <c r="DS105" s="38"/>
      <c r="DT105" s="38"/>
    </row>
    <row r="106" spans="1:124" s="5" customFormat="1" ht="30" customHeight="1" x14ac:dyDescent="0.25">
      <c r="B106" s="516" t="s">
        <v>543</v>
      </c>
      <c r="C106" s="516">
        <v>445672</v>
      </c>
      <c r="D106" s="531"/>
      <c r="E106" s="476" t="s">
        <v>40</v>
      </c>
      <c r="F106" s="217" t="s">
        <v>453</v>
      </c>
      <c r="G106" s="144" t="s">
        <v>454</v>
      </c>
      <c r="H106" s="218">
        <v>1993</v>
      </c>
      <c r="I106" s="169" t="s">
        <v>709</v>
      </c>
      <c r="J106" s="168" t="s">
        <v>44</v>
      </c>
      <c r="K106" s="147">
        <v>72.7</v>
      </c>
      <c r="L106" s="118">
        <v>90</v>
      </c>
      <c r="M106" s="118">
        <v>95</v>
      </c>
      <c r="N106" s="118">
        <v>-103</v>
      </c>
      <c r="O106" s="601">
        <f t="shared" si="33"/>
        <v>95</v>
      </c>
      <c r="P106" s="118">
        <v>100</v>
      </c>
      <c r="Q106" s="118">
        <v>105</v>
      </c>
      <c r="R106" s="118">
        <v>110</v>
      </c>
      <c r="S106" s="601">
        <f t="shared" si="34"/>
        <v>110</v>
      </c>
      <c r="T106" s="608">
        <f t="shared" si="35"/>
        <v>205</v>
      </c>
      <c r="U106" s="612" t="str">
        <f t="shared" si="29"/>
        <v>REG + 20</v>
      </c>
      <c r="V106" s="612" t="str">
        <f>IF(E106=0," ",IF(E106="H",IF(H106&lt;1999,VLOOKUP(K106,[28]Minimas!$A$15:$F$29,6),IF(AND(H106&gt;1998,H106&lt;2002),VLOOKUP(K106,[28]Minimas!$A$15:$F$29,5),IF(AND(H106&gt;2001,H106&lt;2004),VLOOKUP(K106,[28]Minimas!$A$15:$F$29,4),IF(AND(H106&gt;2003,H106&lt;2006),VLOOKUP(K106,[28]Minimas!$A$15:$F$29,3),VLOOKUP(K106,[28]Minimas!$A$15:$F$29,2))))),IF(H106&lt;1999,VLOOKUP(K106,[28]Minimas!$G$15:$L$29,6),IF(AND(H106&gt;1998,H106&lt;2002),VLOOKUP(K106,[28]Minimas!$G$15:$L$29,5),IF(AND(H106&gt;2001,H106&lt;2004),VLOOKUP(K106,[28]Minimas!$G$15:$L$29,4),IF(AND(H106&gt;2003,H106&lt;2006),VLOOKUP(K106,[28]Minimas!$G$15:$L$29,3),VLOOKUP(K106,[28]Minimas!$G$15:$L$29,2)))))))</f>
        <v>SE M73</v>
      </c>
      <c r="W106" s="614">
        <f t="shared" si="36"/>
        <v>264.19170280448424</v>
      </c>
      <c r="X106" s="257">
        <v>43526</v>
      </c>
      <c r="Y106" s="261" t="s">
        <v>705</v>
      </c>
      <c r="Z106" s="261" t="s">
        <v>711</v>
      </c>
      <c r="AA106" s="232"/>
      <c r="AB106" s="230">
        <f>T106-HLOOKUP(V106,[28]Minimas!$C$3:$CD$12,2,FALSE)</f>
        <v>70</v>
      </c>
      <c r="AC106" s="230">
        <f>T106-HLOOKUP(V106,[28]Minimas!$C$3:$CD$12,3,FALSE)</f>
        <v>45</v>
      </c>
      <c r="AD106" s="230">
        <f>T106-HLOOKUP(V106,[28]Minimas!$C$3:$CD$12,4,FALSE)</f>
        <v>20</v>
      </c>
      <c r="AE106" s="230">
        <f>T106-HLOOKUP(V106,[28]Minimas!$C$3:$CD$12,5,FALSE)</f>
        <v>-5</v>
      </c>
      <c r="AF106" s="230">
        <f>T106-HLOOKUP(V106,[28]Minimas!$C$3:$CD$12,6,FALSE)</f>
        <v>-35</v>
      </c>
      <c r="AG106" s="230">
        <f>T106-HLOOKUP(V106,[28]Minimas!$C$3:$CD$12,7,FALSE)</f>
        <v>-55</v>
      </c>
      <c r="AH106" s="230">
        <f>T106-HLOOKUP(V106,[28]Minimas!$C$3:$CD$12,8,FALSE)</f>
        <v>-75</v>
      </c>
      <c r="AI106" s="230">
        <f>T106-HLOOKUP(V106,[28]Minimas!$C$3:$CD$12,9,FALSE)</f>
        <v>-95</v>
      </c>
      <c r="AJ106" s="230">
        <f>T106-HLOOKUP(V106,[28]Minimas!$C$3:$CD$12,10,FALSE)</f>
        <v>-110</v>
      </c>
      <c r="AK106" s="231" t="str">
        <f t="shared" si="30"/>
        <v>REG +</v>
      </c>
      <c r="AL106" s="232"/>
      <c r="AM106" s="232" t="str">
        <f t="shared" si="31"/>
        <v>REG +</v>
      </c>
      <c r="AN106" s="232">
        <f t="shared" si="32"/>
        <v>20</v>
      </c>
      <c r="AO106" s="232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BM106" s="38"/>
      <c r="BN106" s="38"/>
      <c r="BO106" s="38"/>
      <c r="BP106" s="38"/>
      <c r="BQ106" s="38"/>
      <c r="BR106" s="38"/>
      <c r="BS106" s="38"/>
      <c r="BT106" s="38"/>
      <c r="BU106" s="38"/>
      <c r="BV106" s="38"/>
      <c r="BW106" s="38"/>
      <c r="BX106" s="38"/>
      <c r="BY106" s="38"/>
      <c r="BZ106" s="38"/>
      <c r="CA106" s="38"/>
      <c r="CB106" s="38"/>
      <c r="CC106" s="38"/>
      <c r="CD106" s="38"/>
      <c r="CE106" s="38"/>
      <c r="CF106" s="38"/>
      <c r="CG106" s="38"/>
      <c r="CH106" s="38"/>
      <c r="CI106" s="38"/>
      <c r="CJ106" s="38"/>
      <c r="CK106" s="38"/>
      <c r="CL106" s="38"/>
      <c r="CM106" s="38"/>
      <c r="CN106" s="38"/>
      <c r="CO106" s="38"/>
      <c r="CP106" s="38"/>
      <c r="CQ106" s="38"/>
      <c r="CR106" s="38"/>
      <c r="CS106" s="38"/>
      <c r="CT106" s="38"/>
      <c r="CU106" s="38"/>
      <c r="CV106" s="38"/>
      <c r="CW106" s="38"/>
      <c r="CX106" s="38"/>
      <c r="CY106" s="38"/>
      <c r="CZ106" s="38"/>
      <c r="DA106" s="38"/>
      <c r="DB106" s="38"/>
      <c r="DC106" s="38"/>
      <c r="DD106" s="38"/>
      <c r="DE106" s="38"/>
      <c r="DF106" s="38"/>
      <c r="DG106" s="38"/>
      <c r="DH106" s="38"/>
      <c r="DI106" s="38"/>
      <c r="DJ106" s="38"/>
      <c r="DK106" s="38"/>
      <c r="DL106" s="38"/>
      <c r="DM106" s="38"/>
      <c r="DN106" s="38"/>
      <c r="DO106" s="38"/>
      <c r="DP106" s="38"/>
      <c r="DQ106" s="38"/>
      <c r="DR106" s="38"/>
      <c r="DS106" s="38"/>
      <c r="DT106" s="38"/>
    </row>
    <row r="107" spans="1:124" s="5" customFormat="1" ht="30" customHeight="1" x14ac:dyDescent="0.3">
      <c r="B107" s="136" t="s">
        <v>543</v>
      </c>
      <c r="C107" s="173">
        <v>147966</v>
      </c>
      <c r="D107" s="174"/>
      <c r="E107" s="175" t="s">
        <v>40</v>
      </c>
      <c r="F107" s="176" t="s">
        <v>480</v>
      </c>
      <c r="G107" s="177" t="s">
        <v>481</v>
      </c>
      <c r="H107" s="178">
        <v>1991</v>
      </c>
      <c r="I107" s="179" t="s">
        <v>214</v>
      </c>
      <c r="J107" s="865" t="s">
        <v>482</v>
      </c>
      <c r="K107" s="181">
        <v>72.3</v>
      </c>
      <c r="L107" s="131">
        <v>-85</v>
      </c>
      <c r="M107" s="133">
        <v>85</v>
      </c>
      <c r="N107" s="133">
        <v>90</v>
      </c>
      <c r="O107" s="242">
        <f t="shared" si="33"/>
        <v>90</v>
      </c>
      <c r="P107" s="133">
        <v>105</v>
      </c>
      <c r="Q107" s="131">
        <v>-110</v>
      </c>
      <c r="R107" s="133">
        <v>110</v>
      </c>
      <c r="S107" s="202">
        <f t="shared" si="34"/>
        <v>110</v>
      </c>
      <c r="T107" s="203">
        <f t="shared" si="35"/>
        <v>200</v>
      </c>
      <c r="U107" s="204" t="str">
        <f t="shared" si="29"/>
        <v>REG + 15</v>
      </c>
      <c r="V107" s="204" t="str">
        <f>IF(E107=0," ",IF(E107="H",IF(H107&lt;1999,VLOOKUP(K107,Minimas!$A$15:$F$29,6),IF(AND(H107&gt;1998,H107&lt;2002),VLOOKUP(K107,Minimas!$A$15:$F$29,5),IF(AND(H107&gt;2001,H107&lt;2004),VLOOKUP(K107,Minimas!$A$15:$F$29,4),IF(AND(H107&gt;2003,H107&lt;2006),VLOOKUP(K107,Minimas!$A$15:$F$29,3),VLOOKUP(K107,Minimas!$A$15:$F$29,2))))),IF(H107&lt;1999,VLOOKUP(K107,Minimas!$G$15:$L$29,6),IF(AND(H107&gt;1998,H107&lt;2002),VLOOKUP(K107,Minimas!$G$15:$L$29,5),IF(AND(H107&gt;2001,H107&lt;2004),VLOOKUP(K107,Minimas!$G$15:$L$29,4),IF(AND(H107&gt;2003,H107&lt;2006),VLOOKUP(K107,Minimas!$G$15:$L$29,3),VLOOKUP(K107,Minimas!$G$15:$L$29,2)))))))</f>
        <v>SE M73</v>
      </c>
      <c r="W107" s="205">
        <f t="shared" si="36"/>
        <v>258.57045951948919</v>
      </c>
      <c r="X107" s="184">
        <v>43435</v>
      </c>
      <c r="Y107" s="284" t="s">
        <v>509</v>
      </c>
      <c r="Z107" s="284" t="s">
        <v>511</v>
      </c>
      <c r="AA107" s="232"/>
      <c r="AB107" s="230">
        <f>T107-HLOOKUP(V107,Minimas!$C$3:$CD$12,2,FALSE)</f>
        <v>65</v>
      </c>
      <c r="AC107" s="230">
        <f>T107-HLOOKUP(V107,Minimas!$C$3:$CD$12,3,FALSE)</f>
        <v>40</v>
      </c>
      <c r="AD107" s="230">
        <f>T107-HLOOKUP(V107,Minimas!$C$3:$CD$12,4,FALSE)</f>
        <v>15</v>
      </c>
      <c r="AE107" s="230">
        <f>T107-HLOOKUP(V107,Minimas!$C$3:$CD$12,5,FALSE)</f>
        <v>-10</v>
      </c>
      <c r="AF107" s="230">
        <f>T107-HLOOKUP(V107,Minimas!$C$3:$CD$12,6,FALSE)</f>
        <v>-40</v>
      </c>
      <c r="AG107" s="230">
        <f>T107-HLOOKUP(V107,Minimas!$C$3:$CD$12,7,FALSE)</f>
        <v>-60</v>
      </c>
      <c r="AH107" s="230">
        <f>T107-HLOOKUP(V107,Minimas!$C$3:$CD$12,8,FALSE)</f>
        <v>-80</v>
      </c>
      <c r="AI107" s="230">
        <f>T107-HLOOKUP(V107,Minimas!$C$3:$CD$12,9,FALSE)</f>
        <v>-100</v>
      </c>
      <c r="AJ107" s="230">
        <f>T107-HLOOKUP(V107,Minimas!$C$3:$CD$12,10,FALSE)</f>
        <v>-115</v>
      </c>
      <c r="AK107" s="231" t="str">
        <f t="shared" si="30"/>
        <v>REG +</v>
      </c>
      <c r="AL107" s="232"/>
      <c r="AM107" s="232" t="str">
        <f t="shared" si="31"/>
        <v>REG +</v>
      </c>
      <c r="AN107" s="232">
        <f t="shared" si="32"/>
        <v>15</v>
      </c>
      <c r="AO107" s="232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  <c r="BF107" s="38"/>
      <c r="BG107" s="38"/>
      <c r="BH107" s="38"/>
      <c r="BI107" s="38"/>
      <c r="BJ107" s="38"/>
      <c r="BK107" s="38"/>
      <c r="BL107" s="38"/>
      <c r="BM107" s="38"/>
      <c r="BN107" s="38"/>
      <c r="BO107" s="38"/>
      <c r="BP107" s="38"/>
      <c r="BQ107" s="38"/>
      <c r="BR107" s="38"/>
      <c r="BS107" s="38"/>
      <c r="BT107" s="38"/>
      <c r="BU107" s="38"/>
      <c r="BV107" s="38"/>
      <c r="BW107" s="38"/>
      <c r="BX107" s="38"/>
      <c r="BY107" s="38"/>
      <c r="BZ107" s="38"/>
      <c r="CA107" s="38"/>
      <c r="CB107" s="38"/>
      <c r="CC107" s="38"/>
      <c r="CD107" s="38"/>
      <c r="CE107" s="38"/>
      <c r="CF107" s="38"/>
      <c r="CG107" s="38"/>
      <c r="CH107" s="38"/>
      <c r="CI107" s="38"/>
      <c r="CJ107" s="38"/>
      <c r="CK107" s="38"/>
      <c r="CL107" s="38"/>
      <c r="CM107" s="38"/>
      <c r="CN107" s="38"/>
      <c r="CO107" s="38"/>
      <c r="CP107" s="38"/>
      <c r="CQ107" s="38"/>
      <c r="CR107" s="38"/>
      <c r="CS107" s="38"/>
      <c r="CT107" s="38"/>
      <c r="CU107" s="38"/>
      <c r="CV107" s="38"/>
      <c r="CW107" s="38"/>
      <c r="CX107" s="38"/>
      <c r="CY107" s="38"/>
      <c r="CZ107" s="38"/>
      <c r="DA107" s="38"/>
      <c r="DB107" s="38"/>
      <c r="DC107" s="38"/>
      <c r="DD107" s="38"/>
      <c r="DE107" s="38"/>
      <c r="DF107" s="38"/>
      <c r="DG107" s="38"/>
      <c r="DH107" s="38"/>
      <c r="DI107" s="38"/>
      <c r="DJ107" s="38"/>
      <c r="DK107" s="38"/>
      <c r="DL107" s="38"/>
      <c r="DM107" s="38"/>
      <c r="DN107" s="38"/>
      <c r="DO107" s="38"/>
      <c r="DP107" s="38"/>
      <c r="DQ107" s="38"/>
      <c r="DR107" s="38"/>
      <c r="DS107" s="38"/>
      <c r="DT107" s="38"/>
    </row>
    <row r="108" spans="1:124" s="5" customFormat="1" ht="30" customHeight="1" x14ac:dyDescent="0.3">
      <c r="B108" s="136" t="s">
        <v>543</v>
      </c>
      <c r="C108" s="116">
        <v>499179</v>
      </c>
      <c r="D108" s="119"/>
      <c r="E108" s="175" t="s">
        <v>40</v>
      </c>
      <c r="F108" s="124" t="s">
        <v>354</v>
      </c>
      <c r="G108" s="125" t="s">
        <v>455</v>
      </c>
      <c r="H108" s="156">
        <v>1990</v>
      </c>
      <c r="I108" s="127" t="s">
        <v>184</v>
      </c>
      <c r="J108" s="191" t="s">
        <v>44</v>
      </c>
      <c r="K108" s="126">
        <v>68.599999999999994</v>
      </c>
      <c r="L108" s="130">
        <v>-85</v>
      </c>
      <c r="M108" s="130">
        <v>-86</v>
      </c>
      <c r="N108" s="133">
        <v>86</v>
      </c>
      <c r="O108" s="242">
        <f t="shared" si="33"/>
        <v>86</v>
      </c>
      <c r="P108" s="133">
        <v>100</v>
      </c>
      <c r="Q108" s="133">
        <v>105</v>
      </c>
      <c r="R108" s="133">
        <v>110</v>
      </c>
      <c r="S108" s="202">
        <f t="shared" si="34"/>
        <v>110</v>
      </c>
      <c r="T108" s="203">
        <f t="shared" si="35"/>
        <v>196</v>
      </c>
      <c r="U108" s="204" t="str">
        <f t="shared" si="29"/>
        <v>REG + 11</v>
      </c>
      <c r="V108" s="204" t="str">
        <f>IF(E108=0," ",IF(E108="H",IF(H108&lt;1999,VLOOKUP(K108,Minimas!$A$15:$F$29,6),IF(AND(H108&gt;1998,H108&lt;2002),VLOOKUP(K108,Minimas!$A$15:$F$29,5),IF(AND(H108&gt;2001,H108&lt;2004),VLOOKUP(K108,Minimas!$A$15:$F$29,4),IF(AND(H108&gt;2003,H108&lt;2006),VLOOKUP(K108,Minimas!$A$15:$F$29,3),VLOOKUP(K108,Minimas!$A$15:$F$29,2))))),IF(H108&lt;1999,VLOOKUP(K108,Minimas!$G$15:$L$29,6),IF(AND(H108&gt;1998,H108&lt;2002),VLOOKUP(K108,Minimas!$G$15:$L$29,5),IF(AND(H108&gt;2001,H108&lt;2004),VLOOKUP(K108,Minimas!$G$15:$L$29,4),IF(AND(H108&gt;2003,H108&lt;2006),VLOOKUP(K108,Minimas!$G$15:$L$29,3),VLOOKUP(K108,Minimas!$G$15:$L$29,2)))))))</f>
        <v>SE M73</v>
      </c>
      <c r="W108" s="205">
        <f t="shared" si="36"/>
        <v>261.46355438390304</v>
      </c>
      <c r="X108" s="184">
        <v>43429</v>
      </c>
      <c r="Y108" s="284" t="s">
        <v>509</v>
      </c>
      <c r="Z108" s="284" t="s">
        <v>510</v>
      </c>
      <c r="AA108" s="232"/>
      <c r="AB108" s="230">
        <f>T108-HLOOKUP(V108,Minimas!$C$3:$CD$12,2,FALSE)</f>
        <v>61</v>
      </c>
      <c r="AC108" s="230">
        <f>T108-HLOOKUP(V108,Minimas!$C$3:$CD$12,3,FALSE)</f>
        <v>36</v>
      </c>
      <c r="AD108" s="230">
        <f>T108-HLOOKUP(V108,Minimas!$C$3:$CD$12,4,FALSE)</f>
        <v>11</v>
      </c>
      <c r="AE108" s="230">
        <f>T108-HLOOKUP(V108,Minimas!$C$3:$CD$12,5,FALSE)</f>
        <v>-14</v>
      </c>
      <c r="AF108" s="230">
        <f>T108-HLOOKUP(V108,Minimas!$C$3:$CD$12,6,FALSE)</f>
        <v>-44</v>
      </c>
      <c r="AG108" s="230">
        <f>T108-HLOOKUP(V108,Minimas!$C$3:$CD$12,7,FALSE)</f>
        <v>-64</v>
      </c>
      <c r="AH108" s="230">
        <f>T108-HLOOKUP(V108,Minimas!$C$3:$CD$12,8,FALSE)</f>
        <v>-84</v>
      </c>
      <c r="AI108" s="230">
        <f>T108-HLOOKUP(V108,Minimas!$C$3:$CD$12,9,FALSE)</f>
        <v>-104</v>
      </c>
      <c r="AJ108" s="230">
        <f>T108-HLOOKUP(V108,Minimas!$C$3:$CD$12,10,FALSE)</f>
        <v>-119</v>
      </c>
      <c r="AK108" s="231" t="str">
        <f t="shared" si="30"/>
        <v>REG +</v>
      </c>
      <c r="AL108" s="232"/>
      <c r="AM108" s="232" t="str">
        <f t="shared" si="31"/>
        <v>REG +</v>
      </c>
      <c r="AN108" s="232">
        <f t="shared" si="32"/>
        <v>11</v>
      </c>
      <c r="AO108" s="232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  <c r="BF108" s="38"/>
      <c r="BG108" s="38"/>
      <c r="BH108" s="38"/>
      <c r="BI108" s="38"/>
      <c r="BJ108" s="38"/>
      <c r="BK108" s="38"/>
      <c r="BL108" s="38"/>
      <c r="BM108" s="38"/>
      <c r="BN108" s="38"/>
      <c r="BO108" s="38"/>
      <c r="BP108" s="38"/>
      <c r="BQ108" s="38"/>
      <c r="BR108" s="38"/>
      <c r="BS108" s="38"/>
      <c r="BT108" s="38"/>
      <c r="BU108" s="38"/>
      <c r="BV108" s="38"/>
      <c r="BW108" s="38"/>
      <c r="BX108" s="38"/>
      <c r="BY108" s="38"/>
      <c r="BZ108" s="38"/>
      <c r="CA108" s="38"/>
      <c r="CB108" s="38"/>
      <c r="CC108" s="38"/>
      <c r="CD108" s="38"/>
      <c r="CE108" s="38"/>
      <c r="CF108" s="38"/>
      <c r="CG108" s="38"/>
      <c r="CH108" s="38"/>
      <c r="CI108" s="38"/>
      <c r="CJ108" s="38"/>
      <c r="CK108" s="38"/>
      <c r="CL108" s="38"/>
      <c r="CM108" s="38"/>
      <c r="CN108" s="38"/>
      <c r="CO108" s="38"/>
      <c r="CP108" s="38"/>
      <c r="CQ108" s="38"/>
      <c r="CR108" s="38"/>
      <c r="CS108" s="38"/>
      <c r="CT108" s="38"/>
      <c r="CU108" s="38"/>
      <c r="CV108" s="38"/>
      <c r="CW108" s="38"/>
      <c r="CX108" s="38"/>
      <c r="CY108" s="38"/>
      <c r="CZ108" s="38"/>
      <c r="DA108" s="38"/>
      <c r="DB108" s="38"/>
      <c r="DC108" s="38"/>
      <c r="DD108" s="38"/>
      <c r="DE108" s="38"/>
      <c r="DF108" s="38"/>
      <c r="DG108" s="38"/>
      <c r="DH108" s="38"/>
      <c r="DI108" s="38"/>
      <c r="DJ108" s="38"/>
      <c r="DK108" s="38"/>
      <c r="DL108" s="38"/>
      <c r="DM108" s="38"/>
      <c r="DN108" s="38"/>
      <c r="DO108" s="38"/>
      <c r="DP108" s="38"/>
      <c r="DQ108" s="38"/>
      <c r="DR108" s="38"/>
      <c r="DS108" s="38"/>
      <c r="DT108" s="38"/>
    </row>
    <row r="109" spans="1:124" s="5" customFormat="1" ht="30" customHeight="1" x14ac:dyDescent="0.3">
      <c r="A109" s="484"/>
      <c r="B109" s="136" t="s">
        <v>543</v>
      </c>
      <c r="C109" s="116">
        <v>438194</v>
      </c>
      <c r="D109" s="119"/>
      <c r="E109" s="175" t="s">
        <v>40</v>
      </c>
      <c r="F109" s="124" t="s">
        <v>544</v>
      </c>
      <c r="G109" s="125" t="s">
        <v>353</v>
      </c>
      <c r="H109" s="156">
        <v>1992</v>
      </c>
      <c r="I109" s="127" t="s">
        <v>317</v>
      </c>
      <c r="J109" s="191" t="s">
        <v>44</v>
      </c>
      <c r="K109" s="126">
        <v>69.37</v>
      </c>
      <c r="L109" s="109">
        <v>80</v>
      </c>
      <c r="M109" s="109">
        <v>85</v>
      </c>
      <c r="N109" s="130">
        <v>-91</v>
      </c>
      <c r="O109" s="242">
        <f t="shared" si="33"/>
        <v>85</v>
      </c>
      <c r="P109" s="133">
        <v>100</v>
      </c>
      <c r="Q109" s="133">
        <v>105</v>
      </c>
      <c r="R109" s="133">
        <v>110</v>
      </c>
      <c r="S109" s="202">
        <f t="shared" si="34"/>
        <v>110</v>
      </c>
      <c r="T109" s="203">
        <f t="shared" si="35"/>
        <v>195</v>
      </c>
      <c r="U109" s="204" t="str">
        <f t="shared" si="29"/>
        <v>REG + 10</v>
      </c>
      <c r="V109" s="204" t="str">
        <f>IF(E109=0," ",IF(E109="H",IF(H109&lt;1999,VLOOKUP(K109,Minimas!$A$15:$F$29,6),IF(AND(H109&gt;1998,H109&lt;2002),VLOOKUP(K109,Minimas!$A$15:$F$29,5),IF(AND(H109&gt;2001,H109&lt;2004),VLOOKUP(K109,Minimas!$A$15:$F$29,4),IF(AND(H109&gt;2003,H109&lt;2006),VLOOKUP(K109,Minimas!$A$15:$F$29,3),VLOOKUP(K109,Minimas!$A$15:$F$29,2))))),IF(H109&lt;1999,VLOOKUP(K109,Minimas!$G$15:$L$29,6),IF(AND(H109&gt;1998,H109&lt;2002),VLOOKUP(K109,Minimas!$G$15:$L$29,5),IF(AND(H109&gt;2001,H109&lt;2004),VLOOKUP(K109,Minimas!$G$15:$L$29,4),IF(AND(H109&gt;2003,H109&lt;2006),VLOOKUP(K109,Minimas!$G$15:$L$29,3),VLOOKUP(K109,Minimas!$G$15:$L$29,2)))))))</f>
        <v>SE M73</v>
      </c>
      <c r="W109" s="205">
        <f t="shared" si="36"/>
        <v>258.36468849043382</v>
      </c>
      <c r="X109" s="184">
        <v>43401</v>
      </c>
      <c r="Y109" s="284" t="s">
        <v>507</v>
      </c>
      <c r="Z109" s="284" t="s">
        <v>506</v>
      </c>
      <c r="AA109" s="232"/>
      <c r="AB109" s="230">
        <f>T109-HLOOKUP(V109,Minimas!$C$3:$CD$12,2,FALSE)</f>
        <v>60</v>
      </c>
      <c r="AC109" s="230">
        <f>T109-HLOOKUP(V109,Minimas!$C$3:$CD$12,3,FALSE)</f>
        <v>35</v>
      </c>
      <c r="AD109" s="230">
        <f>T109-HLOOKUP(V109,Minimas!$C$3:$CD$12,4,FALSE)</f>
        <v>10</v>
      </c>
      <c r="AE109" s="230">
        <f>T109-HLOOKUP(V109,Minimas!$C$3:$CD$12,5,FALSE)</f>
        <v>-15</v>
      </c>
      <c r="AF109" s="230">
        <f>T109-HLOOKUP(V109,Minimas!$C$3:$CD$12,6,FALSE)</f>
        <v>-45</v>
      </c>
      <c r="AG109" s="230">
        <f>T109-HLOOKUP(V109,Minimas!$C$3:$CD$12,7,FALSE)</f>
        <v>-65</v>
      </c>
      <c r="AH109" s="230">
        <f>T109-HLOOKUP(V109,Minimas!$C$3:$CD$12,8,FALSE)</f>
        <v>-85</v>
      </c>
      <c r="AI109" s="230">
        <f>T109-HLOOKUP(V109,Minimas!$C$3:$CD$12,9,FALSE)</f>
        <v>-105</v>
      </c>
      <c r="AJ109" s="230">
        <f>T109-HLOOKUP(V109,Minimas!$C$3:$CD$12,10,FALSE)</f>
        <v>-120</v>
      </c>
      <c r="AK109" s="231" t="str">
        <f t="shared" si="30"/>
        <v>REG +</v>
      </c>
      <c r="AL109" s="232"/>
      <c r="AM109" s="232" t="str">
        <f t="shared" si="31"/>
        <v>REG +</v>
      </c>
      <c r="AN109" s="232">
        <f t="shared" si="32"/>
        <v>10</v>
      </c>
      <c r="AO109" s="232"/>
      <c r="AP109" s="485"/>
      <c r="AQ109" s="485"/>
      <c r="AR109" s="485"/>
      <c r="AS109" s="485"/>
      <c r="AT109" s="485"/>
      <c r="AU109" s="485"/>
      <c r="AV109" s="485"/>
      <c r="AW109" s="485"/>
      <c r="AX109" s="485"/>
      <c r="AY109" s="485"/>
      <c r="AZ109" s="485"/>
      <c r="BA109" s="485"/>
      <c r="BB109" s="485"/>
      <c r="BC109" s="485"/>
      <c r="BD109" s="485"/>
      <c r="BE109" s="485"/>
      <c r="BF109" s="485"/>
      <c r="BG109" s="485"/>
      <c r="BH109" s="485"/>
      <c r="BI109" s="485"/>
      <c r="BJ109" s="485"/>
      <c r="BK109" s="485"/>
      <c r="BL109" s="485"/>
      <c r="BM109" s="485"/>
      <c r="BN109" s="485"/>
      <c r="BO109" s="485"/>
      <c r="BP109" s="485"/>
      <c r="BQ109" s="485"/>
      <c r="BR109" s="485"/>
      <c r="BS109" s="485"/>
      <c r="BT109" s="485"/>
      <c r="BU109" s="485"/>
      <c r="BV109" s="485"/>
      <c r="BW109" s="485"/>
      <c r="BX109" s="485"/>
      <c r="BY109" s="485"/>
      <c r="BZ109" s="485"/>
      <c r="CA109" s="485"/>
      <c r="CB109" s="485"/>
      <c r="CC109" s="485"/>
      <c r="CD109" s="485"/>
      <c r="CE109" s="485"/>
      <c r="CF109" s="485"/>
      <c r="CG109" s="485"/>
      <c r="CH109" s="485"/>
      <c r="CI109" s="485"/>
      <c r="CJ109" s="485"/>
      <c r="CK109" s="485"/>
      <c r="CL109" s="485"/>
      <c r="CM109" s="485"/>
      <c r="CN109" s="485"/>
      <c r="CO109" s="485"/>
      <c r="CP109" s="485"/>
      <c r="CQ109" s="485"/>
      <c r="CR109" s="485"/>
      <c r="CS109" s="485"/>
      <c r="CT109" s="485"/>
      <c r="CU109" s="485"/>
      <c r="CV109" s="485"/>
      <c r="CW109" s="485"/>
      <c r="CX109" s="485"/>
      <c r="CY109" s="485"/>
      <c r="CZ109" s="485"/>
      <c r="DA109" s="485"/>
      <c r="DB109" s="485"/>
      <c r="DC109" s="485"/>
      <c r="DD109" s="485"/>
      <c r="DE109" s="485"/>
      <c r="DF109" s="485"/>
      <c r="DG109" s="485"/>
      <c r="DH109" s="485"/>
      <c r="DI109" s="485"/>
      <c r="DJ109" s="485"/>
      <c r="DK109" s="485"/>
      <c r="DL109" s="485"/>
      <c r="DM109" s="485"/>
      <c r="DN109" s="485"/>
      <c r="DO109" s="485"/>
      <c r="DP109" s="485"/>
      <c r="DQ109" s="485"/>
      <c r="DR109" s="485"/>
      <c r="DS109" s="485"/>
      <c r="DT109" s="485"/>
    </row>
    <row r="110" spans="1:124" s="5" customFormat="1" ht="30" customHeight="1" x14ac:dyDescent="0.3">
      <c r="B110" s="136" t="s">
        <v>543</v>
      </c>
      <c r="C110" s="173">
        <v>430809</v>
      </c>
      <c r="D110" s="174"/>
      <c r="E110" s="175" t="s">
        <v>40</v>
      </c>
      <c r="F110" s="176" t="s">
        <v>366</v>
      </c>
      <c r="G110" s="177" t="s">
        <v>367</v>
      </c>
      <c r="H110" s="178">
        <v>1989</v>
      </c>
      <c r="I110" s="179" t="s">
        <v>170</v>
      </c>
      <c r="J110" s="191" t="s">
        <v>44</v>
      </c>
      <c r="K110" s="180">
        <v>72.8</v>
      </c>
      <c r="L110" s="133">
        <v>83</v>
      </c>
      <c r="M110" s="133">
        <v>87</v>
      </c>
      <c r="N110" s="131">
        <v>-92</v>
      </c>
      <c r="O110" s="242">
        <f t="shared" si="33"/>
        <v>87</v>
      </c>
      <c r="P110" s="133">
        <v>100</v>
      </c>
      <c r="Q110" s="133">
        <v>108</v>
      </c>
      <c r="R110" s="131">
        <v>-110</v>
      </c>
      <c r="S110" s="202">
        <f t="shared" si="34"/>
        <v>108</v>
      </c>
      <c r="T110" s="203">
        <f t="shared" si="35"/>
        <v>195</v>
      </c>
      <c r="U110" s="204" t="str">
        <f t="shared" si="29"/>
        <v>REG + 10</v>
      </c>
      <c r="V110" s="204" t="str">
        <f>IF(E110=0," ",IF(E110="H",IF(H110&lt;1999,VLOOKUP(K110,Minimas!$A$15:$F$29,6),IF(AND(H110&gt;1998,H110&lt;2002),VLOOKUP(K110,Minimas!$A$15:$F$29,5),IF(AND(H110&gt;2001,H110&lt;2004),VLOOKUP(K110,Minimas!$A$15:$F$29,4),IF(AND(H110&gt;2003,H110&lt;2006),VLOOKUP(K110,Minimas!$A$15:$F$29,3),VLOOKUP(K110,Minimas!$A$15:$F$29,2))))),IF(H110&lt;1999,VLOOKUP(K110,Minimas!$G$15:$L$29,6),IF(AND(H110&gt;1998,H110&lt;2002),VLOOKUP(K110,Minimas!$G$15:$L$29,5),IF(AND(H110&gt;2001,H110&lt;2004),VLOOKUP(K110,Minimas!$G$15:$L$29,4),IF(AND(H110&gt;2003,H110&lt;2006),VLOOKUP(K110,Minimas!$G$15:$L$29,3),VLOOKUP(K110,Minimas!$G$15:$L$29,2)))))))</f>
        <v>SE M73</v>
      </c>
      <c r="W110" s="205">
        <f t="shared" si="36"/>
        <v>251.10569226135155</v>
      </c>
      <c r="X110" s="184">
        <v>43435</v>
      </c>
      <c r="Y110" s="284" t="s">
        <v>509</v>
      </c>
      <c r="Z110" s="284" t="s">
        <v>511</v>
      </c>
      <c r="AA110" s="232"/>
      <c r="AB110" s="230">
        <f>T110-HLOOKUP(V110,Minimas!$C$3:$CD$12,2,FALSE)</f>
        <v>60</v>
      </c>
      <c r="AC110" s="230">
        <f>T110-HLOOKUP(V110,Minimas!$C$3:$CD$12,3,FALSE)</f>
        <v>35</v>
      </c>
      <c r="AD110" s="230">
        <f>T110-HLOOKUP(V110,Minimas!$C$3:$CD$12,4,FALSE)</f>
        <v>10</v>
      </c>
      <c r="AE110" s="230">
        <f>T110-HLOOKUP(V110,Minimas!$C$3:$CD$12,5,FALSE)</f>
        <v>-15</v>
      </c>
      <c r="AF110" s="230">
        <f>T110-HLOOKUP(V110,Minimas!$C$3:$CD$12,6,FALSE)</f>
        <v>-45</v>
      </c>
      <c r="AG110" s="230">
        <f>T110-HLOOKUP(V110,Minimas!$C$3:$CD$12,7,FALSE)</f>
        <v>-65</v>
      </c>
      <c r="AH110" s="230">
        <f>T110-HLOOKUP(V110,Minimas!$C$3:$CD$12,8,FALSE)</f>
        <v>-85</v>
      </c>
      <c r="AI110" s="230">
        <f>T110-HLOOKUP(V110,Minimas!$C$3:$CD$12,9,FALSE)</f>
        <v>-105</v>
      </c>
      <c r="AJ110" s="230">
        <f>T110-HLOOKUP(V110,Minimas!$C$3:$CD$12,10,FALSE)</f>
        <v>-120</v>
      </c>
      <c r="AK110" s="231" t="str">
        <f t="shared" si="30"/>
        <v>REG +</v>
      </c>
      <c r="AL110" s="232"/>
      <c r="AM110" s="232" t="str">
        <f t="shared" si="31"/>
        <v>REG +</v>
      </c>
      <c r="AN110" s="232">
        <f t="shared" si="32"/>
        <v>10</v>
      </c>
      <c r="AO110" s="232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  <c r="BF110" s="38"/>
      <c r="BG110" s="38"/>
      <c r="BH110" s="38"/>
      <c r="BI110" s="38"/>
      <c r="BJ110" s="38"/>
      <c r="BK110" s="38"/>
      <c r="BL110" s="38"/>
      <c r="BM110" s="38"/>
      <c r="BN110" s="38"/>
      <c r="BO110" s="38"/>
      <c r="BP110" s="38"/>
      <c r="BQ110" s="38"/>
      <c r="BR110" s="38"/>
      <c r="BS110" s="38"/>
      <c r="BT110" s="38"/>
      <c r="BU110" s="38"/>
      <c r="BV110" s="38"/>
      <c r="BW110" s="38"/>
      <c r="BX110" s="38"/>
      <c r="BY110" s="38"/>
      <c r="BZ110" s="38"/>
      <c r="CA110" s="38"/>
      <c r="CB110" s="38"/>
      <c r="CC110" s="38"/>
      <c r="CD110" s="38"/>
      <c r="CE110" s="38"/>
      <c r="CF110" s="38"/>
      <c r="CG110" s="38"/>
      <c r="CH110" s="38"/>
      <c r="CI110" s="38"/>
      <c r="CJ110" s="38"/>
      <c r="CK110" s="38"/>
      <c r="CL110" s="38"/>
      <c r="CM110" s="38"/>
      <c r="CN110" s="38"/>
      <c r="CO110" s="38"/>
      <c r="CP110" s="38"/>
      <c r="CQ110" s="38"/>
      <c r="CR110" s="38"/>
      <c r="CS110" s="38"/>
      <c r="CT110" s="38"/>
      <c r="CU110" s="38"/>
      <c r="CV110" s="38"/>
      <c r="CW110" s="38"/>
      <c r="CX110" s="38"/>
      <c r="CY110" s="38"/>
      <c r="CZ110" s="38"/>
      <c r="DA110" s="38"/>
      <c r="DB110" s="38"/>
      <c r="DC110" s="38"/>
      <c r="DD110" s="38"/>
      <c r="DE110" s="38"/>
      <c r="DF110" s="38"/>
      <c r="DG110" s="38"/>
      <c r="DH110" s="38"/>
      <c r="DI110" s="38"/>
      <c r="DJ110" s="38"/>
      <c r="DK110" s="38"/>
      <c r="DL110" s="38"/>
      <c r="DM110" s="38"/>
      <c r="DN110" s="38"/>
      <c r="DO110" s="38"/>
      <c r="DP110" s="38"/>
      <c r="DQ110" s="38"/>
      <c r="DR110" s="38"/>
      <c r="DS110" s="38"/>
      <c r="DT110" s="38"/>
    </row>
    <row r="111" spans="1:124" s="5" customFormat="1" ht="30" customHeight="1" x14ac:dyDescent="0.25">
      <c r="B111" s="689" t="s">
        <v>543</v>
      </c>
      <c r="C111" s="166">
        <v>372278</v>
      </c>
      <c r="D111" s="171"/>
      <c r="E111" s="476" t="s">
        <v>40</v>
      </c>
      <c r="F111" s="143" t="s">
        <v>333</v>
      </c>
      <c r="G111" s="144" t="s">
        <v>643</v>
      </c>
      <c r="H111" s="145">
        <v>1998</v>
      </c>
      <c r="I111" s="172" t="s">
        <v>139</v>
      </c>
      <c r="J111" s="152" t="s">
        <v>44</v>
      </c>
      <c r="K111" s="147">
        <v>67.2</v>
      </c>
      <c r="L111" s="118">
        <v>85</v>
      </c>
      <c r="M111" s="118">
        <v>-90</v>
      </c>
      <c r="N111" s="118">
        <v>-90</v>
      </c>
      <c r="O111" s="242">
        <f t="shared" si="33"/>
        <v>85</v>
      </c>
      <c r="P111" s="118">
        <v>100</v>
      </c>
      <c r="Q111" s="118">
        <v>105</v>
      </c>
      <c r="R111" s="118">
        <v>-108</v>
      </c>
      <c r="S111" s="202">
        <f t="shared" si="34"/>
        <v>105</v>
      </c>
      <c r="T111" s="203">
        <f t="shared" si="35"/>
        <v>190</v>
      </c>
      <c r="U111" s="204" t="str">
        <f t="shared" si="29"/>
        <v>REG + 5</v>
      </c>
      <c r="V111" s="204" t="str">
        <f>IF(E111=0," ",IF(E111="H",IF(H111&lt;1999,VLOOKUP(K111,[4]Minimas!$A$15:$F$29,6),IF(AND(H111&gt;1998,H111&lt;2002),VLOOKUP(K111,[4]Minimas!$A$15:$F$29,5),IF(AND(H111&gt;2001,H111&lt;2004),VLOOKUP(K111,[4]Minimas!$A$15:$F$29,4),IF(AND(H111&gt;2003,H111&lt;2006),VLOOKUP(K111,[4]Minimas!$A$15:$F$29,3),VLOOKUP(K111,[4]Minimas!$A$15:$F$29,2))))),IF(H111&lt;1999,VLOOKUP(K111,[4]Minimas!$G$15:$L$29,6),IF(AND(H111&gt;1998,H111&lt;2002),VLOOKUP(K111,[4]Minimas!$G$15:$L$29,5),IF(AND(H111&gt;2001,H111&lt;2004),VLOOKUP(K111,[4]Minimas!$G$15:$L$29,4),IF(AND(H111&gt;2003,H111&lt;2006),VLOOKUP(K111,[4]Minimas!$G$15:$L$29,3),VLOOKUP(K111,[4]Minimas!$G$15:$L$29,2)))))))</f>
        <v>SE M73</v>
      </c>
      <c r="W111" s="205">
        <f t="shared" si="36"/>
        <v>256.72206549632608</v>
      </c>
      <c r="X111" s="257">
        <v>43492</v>
      </c>
      <c r="Y111" s="261" t="s">
        <v>696</v>
      </c>
      <c r="Z111" s="261" t="s">
        <v>695</v>
      </c>
      <c r="AA111" s="232"/>
      <c r="AB111" s="230">
        <f>T111-HLOOKUP(V111,Minimas!$C$3:$CD$12,2,FALSE)</f>
        <v>55</v>
      </c>
      <c r="AC111" s="230">
        <f>T111-HLOOKUP(V111,Minimas!$C$3:$CD$12,3,FALSE)</f>
        <v>30</v>
      </c>
      <c r="AD111" s="230">
        <f>T111-HLOOKUP(V111,Minimas!$C$3:$CD$12,4,FALSE)</f>
        <v>5</v>
      </c>
      <c r="AE111" s="230">
        <f>T111-HLOOKUP(V111,Minimas!$C$3:$CD$12,5,FALSE)</f>
        <v>-20</v>
      </c>
      <c r="AF111" s="230">
        <f>T111-HLOOKUP(V111,Minimas!$C$3:$CD$12,6,FALSE)</f>
        <v>-50</v>
      </c>
      <c r="AG111" s="230">
        <f>T111-HLOOKUP(V111,Minimas!$C$3:$CD$12,7,FALSE)</f>
        <v>-70</v>
      </c>
      <c r="AH111" s="230">
        <f>T111-HLOOKUP(V111,Minimas!$C$3:$CD$12,8,FALSE)</f>
        <v>-90</v>
      </c>
      <c r="AI111" s="230">
        <f>T111-HLOOKUP(V111,Minimas!$C$3:$CD$12,9,FALSE)</f>
        <v>-110</v>
      </c>
      <c r="AJ111" s="230">
        <f>T111-HLOOKUP(V111,Minimas!$C$3:$CD$12,10,FALSE)</f>
        <v>-125</v>
      </c>
      <c r="AK111" s="231" t="str">
        <f t="shared" ref="AK111" si="37">IF(E111=0," ",IF(AJ111&gt;=0,$AJ$5,IF(AI111&gt;=0,$AI$5,IF(AH111&gt;=0,$AH$5,IF(AG111&gt;=0,$AG$5,IF(AF111&gt;=0,$AF$5,IF(AE111&gt;=0,$AE$5,IF(AD111&gt;=0,$AD$5,IF(AC111&gt;=0,$AC$5,$AB$5)))))))))</f>
        <v>REG +</v>
      </c>
      <c r="AL111" s="232"/>
      <c r="AM111" s="232" t="str">
        <f t="shared" ref="AM111" si="38">IF(AK111="","",AK111)</f>
        <v>REG +</v>
      </c>
      <c r="AN111" s="232">
        <f t="shared" ref="AN111" si="39">IF(E111=0," ",IF(AJ111&gt;=0,AJ111,IF(AI111&gt;=0,AI111,IF(AH111&gt;=0,AH111,IF(AG111&gt;=0,AG111,IF(AF111&gt;=0,AF111,IF(AE111&gt;=0,AE111,IF(AD111&gt;=0,AD111,IF(AC111&gt;=0,AC111,AB111)))))))))</f>
        <v>5</v>
      </c>
      <c r="AO111" s="232"/>
      <c r="AP111" s="485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  <c r="BF111" s="38"/>
      <c r="BG111" s="38"/>
      <c r="BH111" s="38"/>
      <c r="BI111" s="38"/>
      <c r="BJ111" s="38"/>
      <c r="BK111" s="38"/>
      <c r="BL111" s="38"/>
      <c r="BM111" s="38"/>
      <c r="BN111" s="38"/>
      <c r="BO111" s="38"/>
      <c r="BP111" s="38"/>
      <c r="BQ111" s="38"/>
      <c r="BR111" s="38"/>
      <c r="BS111" s="38"/>
      <c r="BT111" s="38"/>
      <c r="BU111" s="38"/>
      <c r="BV111" s="38"/>
      <c r="BW111" s="38"/>
      <c r="BX111" s="38"/>
      <c r="BY111" s="38"/>
      <c r="BZ111" s="38"/>
      <c r="CA111" s="38"/>
      <c r="CB111" s="38"/>
      <c r="CC111" s="38"/>
      <c r="CD111" s="38"/>
      <c r="CE111" s="38"/>
      <c r="CF111" s="38"/>
      <c r="CG111" s="38"/>
      <c r="CH111" s="38"/>
      <c r="CI111" s="38"/>
      <c r="CJ111" s="38"/>
      <c r="CK111" s="38"/>
      <c r="CL111" s="38"/>
      <c r="CM111" s="38"/>
      <c r="CN111" s="38"/>
      <c r="CO111" s="38"/>
      <c r="CP111" s="38"/>
      <c r="CQ111" s="38"/>
      <c r="CR111" s="38"/>
      <c r="CS111" s="38"/>
      <c r="CT111" s="38"/>
      <c r="CU111" s="38"/>
      <c r="CV111" s="38"/>
      <c r="CW111" s="38"/>
      <c r="CX111" s="38"/>
      <c r="CY111" s="38"/>
      <c r="CZ111" s="38"/>
      <c r="DA111" s="38"/>
      <c r="DB111" s="38"/>
      <c r="DC111" s="38"/>
      <c r="DD111" s="38"/>
      <c r="DE111" s="38"/>
      <c r="DF111" s="38"/>
      <c r="DG111" s="38"/>
      <c r="DH111" s="38"/>
      <c r="DI111" s="38"/>
      <c r="DJ111" s="38"/>
      <c r="DK111" s="38"/>
      <c r="DL111" s="38"/>
      <c r="DM111" s="38"/>
      <c r="DN111" s="38"/>
      <c r="DO111" s="38"/>
      <c r="DP111" s="38"/>
      <c r="DQ111" s="38"/>
      <c r="DR111" s="38"/>
      <c r="DS111" s="38"/>
      <c r="DT111" s="38"/>
    </row>
    <row r="112" spans="1:124" s="5" customFormat="1" ht="30" customHeight="1" x14ac:dyDescent="0.25">
      <c r="B112" s="685" t="s">
        <v>543</v>
      </c>
      <c r="C112" s="166">
        <v>440285</v>
      </c>
      <c r="D112" s="167"/>
      <c r="E112" s="476" t="s">
        <v>40</v>
      </c>
      <c r="F112" s="217" t="s">
        <v>255</v>
      </c>
      <c r="G112" s="144" t="s">
        <v>256</v>
      </c>
      <c r="H112" s="218">
        <v>1993</v>
      </c>
      <c r="I112" s="169" t="s">
        <v>254</v>
      </c>
      <c r="J112" s="244" t="s">
        <v>44</v>
      </c>
      <c r="K112" s="200">
        <v>72.3</v>
      </c>
      <c r="L112" s="118">
        <v>80</v>
      </c>
      <c r="M112" s="148">
        <v>-85</v>
      </c>
      <c r="N112" s="118">
        <v>85</v>
      </c>
      <c r="O112" s="242">
        <f t="shared" si="33"/>
        <v>85</v>
      </c>
      <c r="P112" s="118">
        <v>100</v>
      </c>
      <c r="Q112" s="148">
        <v>-105</v>
      </c>
      <c r="R112" s="148">
        <v>-105</v>
      </c>
      <c r="S112" s="202">
        <f t="shared" si="34"/>
        <v>100</v>
      </c>
      <c r="T112" s="203">
        <f t="shared" si="35"/>
        <v>185</v>
      </c>
      <c r="U112" s="204" t="str">
        <f t="shared" ref="U112:U150" si="40">+CONCATENATE(AM112," ",AN112)</f>
        <v>REG + 0</v>
      </c>
      <c r="V112" s="204" t="str">
        <f>IF(E112=0," ",IF(E112="H",IF(H112&lt;1999,VLOOKUP(K112,[10]Minimas!$A$15:$F$29,6),IF(AND(H112&gt;1998,H112&lt;2002),VLOOKUP(K112,[10]Minimas!$A$15:$F$29,5),IF(AND(H112&gt;2001,H112&lt;2004),VLOOKUP(K112,[10]Minimas!$A$15:$F$29,4),IF(AND(H112&gt;2003,H112&lt;2006),VLOOKUP(K112,[10]Minimas!$A$15:$F$29,3),VLOOKUP(K112,[10]Minimas!$A$15:$F$29,2))))),IF(H112&lt;1999,VLOOKUP(K112,[10]Minimas!$G$15:$L$29,6),IF(AND(H112&gt;1998,H112&lt;2002),VLOOKUP(K112,[10]Minimas!$G$15:$L$29,5),IF(AND(H112&gt;2001,H112&lt;2004),VLOOKUP(K112,[10]Minimas!$G$15:$L$29,4),IF(AND(H112&gt;2003,H112&lt;2006),VLOOKUP(K112,[10]Minimas!$G$15:$L$29,3),VLOOKUP(K112,[10]Minimas!$G$15:$L$29,2)))))))</f>
        <v>SE M73</v>
      </c>
      <c r="W112" s="205">
        <f t="shared" si="36"/>
        <v>239.17767505552749</v>
      </c>
      <c r="X112" s="257">
        <v>43555</v>
      </c>
      <c r="Y112" s="261" t="s">
        <v>805</v>
      </c>
      <c r="Z112" s="261" t="s">
        <v>661</v>
      </c>
      <c r="AA112" s="232"/>
      <c r="AB112" s="230">
        <f>T112-HLOOKUP(V112,[10]Minimas!$C$3:$CD$12,2,FALSE)</f>
        <v>50</v>
      </c>
      <c r="AC112" s="230">
        <f>T112-HLOOKUP(V112,[10]Minimas!$C$3:$CD$12,3,FALSE)</f>
        <v>25</v>
      </c>
      <c r="AD112" s="230">
        <f>T112-HLOOKUP(V112,[10]Minimas!$C$3:$CD$12,4,FALSE)</f>
        <v>0</v>
      </c>
      <c r="AE112" s="230">
        <f>T112-HLOOKUP(V112,[10]Minimas!$C$3:$CD$12,5,FALSE)</f>
        <v>-25</v>
      </c>
      <c r="AF112" s="230">
        <f>T112-HLOOKUP(V112,[10]Minimas!$C$3:$CD$12,6,FALSE)</f>
        <v>-55</v>
      </c>
      <c r="AG112" s="230">
        <f>T112-HLOOKUP(V112,[10]Minimas!$C$3:$CD$12,7,FALSE)</f>
        <v>-75</v>
      </c>
      <c r="AH112" s="230">
        <f>T112-HLOOKUP(V112,[10]Minimas!$C$3:$CD$12,8,FALSE)</f>
        <v>-95</v>
      </c>
      <c r="AI112" s="230">
        <f>T112-HLOOKUP(V112,[10]Minimas!$C$3:$CD$12,9,FALSE)</f>
        <v>-115</v>
      </c>
      <c r="AJ112" s="230">
        <f>T112-HLOOKUP(V112,[10]Minimas!$C$3:$CD$12,10,FALSE)</f>
        <v>-130</v>
      </c>
      <c r="AK112" s="231" t="str">
        <f t="shared" ref="AK112:AK149" si="41">IF(E112=0," ",IF(AJ112&gt;=0,$AJ$5,IF(AI112&gt;=0,$AI$5,IF(AH112&gt;=0,$AH$5,IF(AG112&gt;=0,$AG$5,IF(AF112&gt;=0,$AF$5,IF(AE112&gt;=0,$AE$5,IF(AD112&gt;=0,$AD$5,IF(AC112&gt;=0,$AC$5,$AB$5)))))))))</f>
        <v>REG +</v>
      </c>
      <c r="AL112" s="232"/>
      <c r="AM112" s="232" t="str">
        <f t="shared" si="31"/>
        <v>REG +</v>
      </c>
      <c r="AN112" s="232">
        <f t="shared" ref="AN112:AN149" si="42">IF(E112=0," ",IF(AJ112&gt;=0,AJ112,IF(AI112&gt;=0,AI112,IF(AH112&gt;=0,AH112,IF(AG112&gt;=0,AG112,IF(AF112&gt;=0,AF112,IF(AE112&gt;=0,AE112,IF(AD112&gt;=0,AD112,IF(AC112&gt;=0,AC112,AB112)))))))))</f>
        <v>0</v>
      </c>
      <c r="AO112" s="232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  <c r="BF112" s="38"/>
      <c r="BG112" s="38"/>
      <c r="BH112" s="38"/>
      <c r="BI112" s="38"/>
      <c r="BJ112" s="38"/>
      <c r="BK112" s="38"/>
      <c r="BL112" s="38"/>
      <c r="BM112" s="38"/>
      <c r="BN112" s="38"/>
      <c r="BO112" s="38"/>
      <c r="BP112" s="38"/>
      <c r="BQ112" s="38"/>
      <c r="BR112" s="38"/>
      <c r="BS112" s="38"/>
      <c r="BT112" s="38"/>
      <c r="BU112" s="38"/>
      <c r="BV112" s="38"/>
      <c r="BW112" s="38"/>
      <c r="BX112" s="38"/>
      <c r="BY112" s="38"/>
      <c r="BZ112" s="38"/>
      <c r="CA112" s="38"/>
      <c r="CB112" s="38"/>
      <c r="CC112" s="38"/>
      <c r="CD112" s="38"/>
      <c r="CE112" s="38"/>
      <c r="CF112" s="38"/>
      <c r="CG112" s="38"/>
      <c r="CH112" s="38"/>
      <c r="CI112" s="38"/>
      <c r="CJ112" s="38"/>
      <c r="CK112" s="38"/>
      <c r="CL112" s="38"/>
      <c r="CM112" s="38"/>
      <c r="CN112" s="38"/>
      <c r="CO112" s="38"/>
      <c r="CP112" s="38"/>
      <c r="CQ112" s="38"/>
      <c r="CR112" s="38"/>
      <c r="CS112" s="38"/>
      <c r="CT112" s="38"/>
      <c r="CU112" s="38"/>
      <c r="CV112" s="38"/>
      <c r="CW112" s="38"/>
      <c r="CX112" s="38"/>
      <c r="CY112" s="38"/>
      <c r="CZ112" s="38"/>
      <c r="DA112" s="38"/>
      <c r="DB112" s="38"/>
      <c r="DC112" s="38"/>
      <c r="DD112" s="38"/>
      <c r="DE112" s="38"/>
      <c r="DF112" s="38"/>
      <c r="DG112" s="38"/>
      <c r="DH112" s="38"/>
      <c r="DI112" s="38"/>
      <c r="DJ112" s="38"/>
      <c r="DK112" s="38"/>
      <c r="DL112" s="38"/>
      <c r="DM112" s="38"/>
      <c r="DN112" s="38"/>
      <c r="DO112" s="38"/>
      <c r="DP112" s="38"/>
      <c r="DQ112" s="38"/>
      <c r="DR112" s="38"/>
      <c r="DS112" s="38"/>
      <c r="DT112" s="38"/>
    </row>
    <row r="113" spans="1:124" s="5" customFormat="1" ht="30" customHeight="1" x14ac:dyDescent="0.3">
      <c r="B113" s="136" t="s">
        <v>543</v>
      </c>
      <c r="C113" s="116">
        <v>489324</v>
      </c>
      <c r="D113" s="119"/>
      <c r="E113" s="175" t="s">
        <v>40</v>
      </c>
      <c r="F113" s="124" t="s">
        <v>355</v>
      </c>
      <c r="G113" s="125" t="s">
        <v>456</v>
      </c>
      <c r="H113" s="156">
        <v>1990</v>
      </c>
      <c r="I113" s="158" t="s">
        <v>184</v>
      </c>
      <c r="J113" s="191" t="s">
        <v>44</v>
      </c>
      <c r="K113" s="126">
        <v>71.2</v>
      </c>
      <c r="L113" s="133">
        <v>76</v>
      </c>
      <c r="M113" s="133">
        <v>79</v>
      </c>
      <c r="N113" s="130">
        <v>-82</v>
      </c>
      <c r="O113" s="242">
        <f t="shared" si="33"/>
        <v>79</v>
      </c>
      <c r="P113" s="130">
        <v>-100</v>
      </c>
      <c r="Q113" s="133">
        <v>100</v>
      </c>
      <c r="R113" s="133">
        <v>104</v>
      </c>
      <c r="S113" s="202">
        <f t="shared" si="34"/>
        <v>104</v>
      </c>
      <c r="T113" s="203">
        <f t="shared" si="35"/>
        <v>183</v>
      </c>
      <c r="U113" s="204" t="str">
        <f t="shared" si="40"/>
        <v>DPT + 23</v>
      </c>
      <c r="V113" s="204" t="str">
        <f>IF(E113=0," ",IF(E113="H",IF(H113&lt;1999,VLOOKUP(K113,Minimas!$A$15:$F$29,6),IF(AND(H113&gt;1998,H113&lt;2002),VLOOKUP(K113,Minimas!$A$15:$F$29,5),IF(AND(H113&gt;2001,H113&lt;2004),VLOOKUP(K113,Minimas!$A$15:$F$29,4),IF(AND(H113&gt;2003,H113&lt;2006),VLOOKUP(K113,Minimas!$A$15:$F$29,3),VLOOKUP(K113,Minimas!$A$15:$F$29,2))))),IF(H113&lt;1999,VLOOKUP(K113,Minimas!$G$15:$L$29,6),IF(AND(H113&gt;1998,H113&lt;2002),VLOOKUP(K113,Minimas!$G$15:$L$29,5),IF(AND(H113&gt;2001,H113&lt;2004),VLOOKUP(K113,Minimas!$G$15:$L$29,4),IF(AND(H113&gt;2003,H113&lt;2006),VLOOKUP(K113,Minimas!$G$15:$L$29,3),VLOOKUP(K113,Minimas!$G$15:$L$29,2)))))))</f>
        <v>SE M73</v>
      </c>
      <c r="W113" s="205">
        <f t="shared" si="36"/>
        <v>238.72069376622986</v>
      </c>
      <c r="X113" s="184">
        <v>43429</v>
      </c>
      <c r="Y113" s="284" t="s">
        <v>509</v>
      </c>
      <c r="Z113" s="284" t="s">
        <v>510</v>
      </c>
      <c r="AA113" s="232"/>
      <c r="AB113" s="230">
        <f>T113-HLOOKUP(V113,Minimas!$C$3:$CD$12,2,FALSE)</f>
        <v>48</v>
      </c>
      <c r="AC113" s="230">
        <f>T113-HLOOKUP(V113,Minimas!$C$3:$CD$12,3,FALSE)</f>
        <v>23</v>
      </c>
      <c r="AD113" s="230">
        <f>T113-HLOOKUP(V113,Minimas!$C$3:$CD$12,4,FALSE)</f>
        <v>-2</v>
      </c>
      <c r="AE113" s="230">
        <f>T113-HLOOKUP(V113,Minimas!$C$3:$CD$12,5,FALSE)</f>
        <v>-27</v>
      </c>
      <c r="AF113" s="230">
        <f>T113-HLOOKUP(V113,Minimas!$C$3:$CD$12,6,FALSE)</f>
        <v>-57</v>
      </c>
      <c r="AG113" s="230">
        <f>T113-HLOOKUP(V113,Minimas!$C$3:$CD$12,7,FALSE)</f>
        <v>-77</v>
      </c>
      <c r="AH113" s="230">
        <f>T113-HLOOKUP(V113,Minimas!$C$3:$CD$12,8,FALSE)</f>
        <v>-97</v>
      </c>
      <c r="AI113" s="230">
        <f>T113-HLOOKUP(V113,Minimas!$C$3:$CD$12,9,FALSE)</f>
        <v>-117</v>
      </c>
      <c r="AJ113" s="230">
        <f>T113-HLOOKUP(V113,Minimas!$C$3:$CD$12,10,FALSE)</f>
        <v>-132</v>
      </c>
      <c r="AK113" s="231" t="str">
        <f t="shared" si="41"/>
        <v>DPT +</v>
      </c>
      <c r="AL113" s="232"/>
      <c r="AM113" s="232" t="str">
        <f t="shared" si="31"/>
        <v>DPT +</v>
      </c>
      <c r="AN113" s="232">
        <f t="shared" si="42"/>
        <v>23</v>
      </c>
      <c r="AO113" s="232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  <c r="BF113" s="38"/>
      <c r="BG113" s="38"/>
      <c r="BH113" s="38"/>
      <c r="BI113" s="38"/>
      <c r="BJ113" s="38"/>
      <c r="BK113" s="38"/>
      <c r="BL113" s="38"/>
      <c r="BM113" s="38"/>
      <c r="BN113" s="38"/>
      <c r="BO113" s="38"/>
      <c r="BP113" s="38"/>
      <c r="BQ113" s="38"/>
      <c r="BR113" s="38"/>
      <c r="BS113" s="38"/>
      <c r="BT113" s="38"/>
      <c r="BU113" s="38"/>
      <c r="BV113" s="38"/>
      <c r="BW113" s="38"/>
      <c r="BX113" s="38"/>
      <c r="BY113" s="38"/>
      <c r="BZ113" s="38"/>
      <c r="CA113" s="38"/>
      <c r="CB113" s="38"/>
      <c r="CC113" s="38"/>
      <c r="CD113" s="38"/>
      <c r="CE113" s="38"/>
      <c r="CF113" s="38"/>
      <c r="CG113" s="38"/>
      <c r="CH113" s="38"/>
      <c r="CI113" s="38"/>
      <c r="CJ113" s="38"/>
      <c r="CK113" s="38"/>
      <c r="CL113" s="38"/>
      <c r="CM113" s="38"/>
      <c r="CN113" s="38"/>
      <c r="CO113" s="38"/>
      <c r="CP113" s="38"/>
      <c r="CQ113" s="38"/>
      <c r="CR113" s="38"/>
      <c r="CS113" s="38"/>
      <c r="CT113" s="38"/>
      <c r="CU113" s="38"/>
      <c r="CV113" s="38"/>
      <c r="CW113" s="38"/>
      <c r="CX113" s="38"/>
      <c r="CY113" s="38"/>
      <c r="CZ113" s="38"/>
      <c r="DA113" s="38"/>
      <c r="DB113" s="38"/>
      <c r="DC113" s="38"/>
      <c r="DD113" s="38"/>
      <c r="DE113" s="38"/>
      <c r="DF113" s="38"/>
      <c r="DG113" s="38"/>
      <c r="DH113" s="38"/>
      <c r="DI113" s="38"/>
      <c r="DJ113" s="38"/>
      <c r="DK113" s="38"/>
      <c r="DL113" s="38"/>
      <c r="DM113" s="38"/>
      <c r="DN113" s="38"/>
      <c r="DO113" s="38"/>
      <c r="DP113" s="38"/>
      <c r="DQ113" s="38"/>
      <c r="DR113" s="38"/>
      <c r="DS113" s="38"/>
      <c r="DT113" s="38"/>
    </row>
    <row r="114" spans="1:124" s="5" customFormat="1" ht="30" customHeight="1" x14ac:dyDescent="0.3">
      <c r="B114" s="136" t="s">
        <v>543</v>
      </c>
      <c r="C114" s="705">
        <v>377631</v>
      </c>
      <c r="D114" s="206"/>
      <c r="E114" s="207" t="s">
        <v>40</v>
      </c>
      <c r="F114" s="208" t="s">
        <v>341</v>
      </c>
      <c r="G114" s="209" t="s">
        <v>342</v>
      </c>
      <c r="H114" s="210">
        <v>1998</v>
      </c>
      <c r="I114" s="211" t="s">
        <v>214</v>
      </c>
      <c r="J114" s="191" t="s">
        <v>44</v>
      </c>
      <c r="K114" s="212">
        <v>67.099999999999994</v>
      </c>
      <c r="L114" s="201">
        <v>75</v>
      </c>
      <c r="M114" s="213">
        <v>-80</v>
      </c>
      <c r="N114" s="201">
        <v>80</v>
      </c>
      <c r="O114" s="242">
        <f t="shared" si="33"/>
        <v>80</v>
      </c>
      <c r="P114" s="201">
        <v>90</v>
      </c>
      <c r="Q114" s="201">
        <v>95</v>
      </c>
      <c r="R114" s="201">
        <v>100</v>
      </c>
      <c r="S114" s="202">
        <f t="shared" si="34"/>
        <v>100</v>
      </c>
      <c r="T114" s="203">
        <f t="shared" si="35"/>
        <v>180</v>
      </c>
      <c r="U114" s="204" t="str">
        <f t="shared" si="40"/>
        <v>DPT + 20</v>
      </c>
      <c r="V114" s="204" t="str">
        <f>IF(E114=0," ",IF(E114="H",IF(H114&lt;1999,VLOOKUP(K114,Minimas!$A$15:$F$29,6),IF(AND(H114&gt;1998,H114&lt;2002),VLOOKUP(K114,Minimas!$A$15:$F$29,5),IF(AND(H114&gt;2001,H114&lt;2004),VLOOKUP(K114,Minimas!$A$15:$F$29,4),IF(AND(H114&gt;2003,H114&lt;2006),VLOOKUP(K114,Minimas!$A$15:$F$29,3),VLOOKUP(K114,Minimas!$A$15:$F$29,2))))),IF(H114&lt;1999,VLOOKUP(K114,Minimas!$G$15:$L$29,6),IF(AND(H114&gt;1998,H114&lt;2002),VLOOKUP(K114,Minimas!$G$15:$L$29,5),IF(AND(H114&gt;2001,H114&lt;2004),VLOOKUP(K114,Minimas!$G$15:$L$29,4),IF(AND(H114&gt;2003,H114&lt;2006),VLOOKUP(K114,Minimas!$G$15:$L$29,3),VLOOKUP(K114,Minimas!$G$15:$L$29,2)))))))</f>
        <v>SE M73</v>
      </c>
      <c r="W114" s="205">
        <f t="shared" si="36"/>
        <v>243.43775801375486</v>
      </c>
      <c r="X114" s="184">
        <v>43435</v>
      </c>
      <c r="Y114" s="284" t="s">
        <v>509</v>
      </c>
      <c r="Z114" s="284" t="s">
        <v>511</v>
      </c>
      <c r="AA114" s="232"/>
      <c r="AB114" s="230">
        <f>T114-HLOOKUP(V114,Minimas!$C$3:$CD$12,2,FALSE)</f>
        <v>45</v>
      </c>
      <c r="AC114" s="230">
        <f>T114-HLOOKUP(V114,Minimas!$C$3:$CD$12,3,FALSE)</f>
        <v>20</v>
      </c>
      <c r="AD114" s="230">
        <f>T114-HLOOKUP(V114,Minimas!$C$3:$CD$12,4,FALSE)</f>
        <v>-5</v>
      </c>
      <c r="AE114" s="230">
        <f>T114-HLOOKUP(V114,Minimas!$C$3:$CD$12,5,FALSE)</f>
        <v>-30</v>
      </c>
      <c r="AF114" s="230">
        <f>T114-HLOOKUP(V114,Minimas!$C$3:$CD$12,6,FALSE)</f>
        <v>-60</v>
      </c>
      <c r="AG114" s="230">
        <f>T114-HLOOKUP(V114,Minimas!$C$3:$CD$12,7,FALSE)</f>
        <v>-80</v>
      </c>
      <c r="AH114" s="230">
        <f>T114-HLOOKUP(V114,Minimas!$C$3:$CD$12,8,FALSE)</f>
        <v>-100</v>
      </c>
      <c r="AI114" s="230">
        <f>T114-HLOOKUP(V114,Minimas!$C$3:$CD$12,9,FALSE)</f>
        <v>-120</v>
      </c>
      <c r="AJ114" s="230">
        <f>T114-HLOOKUP(V114,Minimas!$C$3:$CD$12,10,FALSE)</f>
        <v>-135</v>
      </c>
      <c r="AK114" s="231" t="str">
        <f t="shared" si="41"/>
        <v>DPT +</v>
      </c>
      <c r="AL114" s="232"/>
      <c r="AM114" s="232" t="str">
        <f t="shared" si="31"/>
        <v>DPT +</v>
      </c>
      <c r="AN114" s="232">
        <f t="shared" si="42"/>
        <v>20</v>
      </c>
      <c r="AO114" s="232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  <c r="BF114" s="38"/>
      <c r="BG114" s="38"/>
      <c r="BH114" s="38"/>
      <c r="BI114" s="38"/>
      <c r="BJ114" s="38"/>
      <c r="BK114" s="38"/>
      <c r="BL114" s="38"/>
      <c r="BM114" s="38"/>
      <c r="BN114" s="38"/>
      <c r="BO114" s="38"/>
      <c r="BP114" s="38"/>
      <c r="BQ114" s="38"/>
      <c r="BR114" s="38"/>
      <c r="BS114" s="38"/>
      <c r="BT114" s="38"/>
      <c r="BU114" s="38"/>
      <c r="BV114" s="38"/>
      <c r="BW114" s="38"/>
      <c r="BX114" s="38"/>
      <c r="BY114" s="38"/>
      <c r="BZ114" s="38"/>
      <c r="CA114" s="38"/>
      <c r="CB114" s="38"/>
      <c r="CC114" s="38"/>
      <c r="CD114" s="38"/>
      <c r="CE114" s="38"/>
      <c r="CF114" s="38"/>
      <c r="CG114" s="38"/>
      <c r="CH114" s="38"/>
      <c r="CI114" s="38"/>
      <c r="CJ114" s="38"/>
      <c r="CK114" s="38"/>
      <c r="CL114" s="38"/>
      <c r="CM114" s="38"/>
      <c r="CN114" s="38"/>
      <c r="CO114" s="38"/>
      <c r="CP114" s="38"/>
      <c r="CQ114" s="38"/>
      <c r="CR114" s="38"/>
      <c r="CS114" s="38"/>
      <c r="CT114" s="38"/>
      <c r="CU114" s="38"/>
      <c r="CV114" s="38"/>
      <c r="CW114" s="38"/>
      <c r="CX114" s="38"/>
      <c r="CY114" s="38"/>
      <c r="CZ114" s="38"/>
      <c r="DA114" s="38"/>
      <c r="DB114" s="38"/>
      <c r="DC114" s="38"/>
      <c r="DD114" s="38"/>
      <c r="DE114" s="38"/>
      <c r="DF114" s="38"/>
      <c r="DG114" s="38"/>
      <c r="DH114" s="38"/>
      <c r="DI114" s="38"/>
      <c r="DJ114" s="38"/>
      <c r="DK114" s="38"/>
      <c r="DL114" s="38"/>
      <c r="DM114" s="38"/>
      <c r="DN114" s="38"/>
      <c r="DO114" s="38"/>
      <c r="DP114" s="38"/>
      <c r="DQ114" s="38"/>
      <c r="DR114" s="38"/>
      <c r="DS114" s="38"/>
      <c r="DT114" s="38"/>
    </row>
    <row r="115" spans="1:124" s="5" customFormat="1" ht="30" customHeight="1" x14ac:dyDescent="0.3">
      <c r="B115" s="136" t="s">
        <v>543</v>
      </c>
      <c r="C115" s="173">
        <v>418543</v>
      </c>
      <c r="D115" s="174"/>
      <c r="E115" s="175" t="s">
        <v>40</v>
      </c>
      <c r="F115" s="176" t="s">
        <v>383</v>
      </c>
      <c r="G115" s="177" t="s">
        <v>384</v>
      </c>
      <c r="H115" s="178">
        <v>1982</v>
      </c>
      <c r="I115" s="179" t="s">
        <v>474</v>
      </c>
      <c r="J115" s="104" t="s">
        <v>44</v>
      </c>
      <c r="K115" s="180">
        <v>73</v>
      </c>
      <c r="L115" s="133">
        <v>75</v>
      </c>
      <c r="M115" s="133">
        <v>80</v>
      </c>
      <c r="N115" s="131">
        <v>-82</v>
      </c>
      <c r="O115" s="242">
        <f t="shared" si="33"/>
        <v>80</v>
      </c>
      <c r="P115" s="131">
        <v>-95</v>
      </c>
      <c r="Q115" s="133">
        <v>95</v>
      </c>
      <c r="R115" s="131">
        <v>-100</v>
      </c>
      <c r="S115" s="202">
        <f t="shared" si="34"/>
        <v>95</v>
      </c>
      <c r="T115" s="203">
        <f t="shared" si="35"/>
        <v>175</v>
      </c>
      <c r="U115" s="204" t="str">
        <f t="shared" si="40"/>
        <v>DPT + 15</v>
      </c>
      <c r="V115" s="204" t="str">
        <f>IF(E115=0," ",IF(E115="H",IF(H115&lt;1999,VLOOKUP(K115,Minimas!$A$15:$F$29,6),IF(AND(H115&gt;1998,H115&lt;2002),VLOOKUP(K115,Minimas!$A$15:$F$29,5),IF(AND(H115&gt;2001,H115&lt;2004),VLOOKUP(K115,Minimas!$A$15:$F$29,4),IF(AND(H115&gt;2003,H115&lt;2006),VLOOKUP(K115,Minimas!$A$15:$F$29,3),VLOOKUP(K115,Minimas!$A$15:$F$29,2))))),IF(H115&lt;1999,VLOOKUP(K115,Minimas!$G$15:$L$29,6),IF(AND(H115&gt;1998,H115&lt;2002),VLOOKUP(K115,Minimas!$G$15:$L$29,5),IF(AND(H115&gt;2001,H115&lt;2004),VLOOKUP(K115,Minimas!$G$15:$L$29,4),IF(AND(H115&gt;2003,H115&lt;2006),VLOOKUP(K115,Minimas!$G$15:$L$29,3),VLOOKUP(K115,Minimas!$G$15:$L$29,2)))))))</f>
        <v>SE M73</v>
      </c>
      <c r="W115" s="205">
        <f t="shared" si="36"/>
        <v>224.99676656179602</v>
      </c>
      <c r="X115" s="184">
        <v>43435</v>
      </c>
      <c r="Y115" s="284" t="s">
        <v>509</v>
      </c>
      <c r="Z115" s="284" t="s">
        <v>511</v>
      </c>
      <c r="AA115" s="232"/>
      <c r="AB115" s="230">
        <f>T115-HLOOKUP(V115,Minimas!$C$3:$CD$12,2,FALSE)</f>
        <v>40</v>
      </c>
      <c r="AC115" s="230">
        <f>T115-HLOOKUP(V115,Minimas!$C$3:$CD$12,3,FALSE)</f>
        <v>15</v>
      </c>
      <c r="AD115" s="230">
        <f>T115-HLOOKUP(V115,Minimas!$C$3:$CD$12,4,FALSE)</f>
        <v>-10</v>
      </c>
      <c r="AE115" s="230">
        <f>T115-HLOOKUP(V115,Minimas!$C$3:$CD$12,5,FALSE)</f>
        <v>-35</v>
      </c>
      <c r="AF115" s="230">
        <f>T115-HLOOKUP(V115,Minimas!$C$3:$CD$12,6,FALSE)</f>
        <v>-65</v>
      </c>
      <c r="AG115" s="230">
        <f>T115-HLOOKUP(V115,Minimas!$C$3:$CD$12,7,FALSE)</f>
        <v>-85</v>
      </c>
      <c r="AH115" s="230">
        <f>T115-HLOOKUP(V115,Minimas!$C$3:$CD$12,8,FALSE)</f>
        <v>-105</v>
      </c>
      <c r="AI115" s="230">
        <f>T115-HLOOKUP(V115,Minimas!$C$3:$CD$12,9,FALSE)</f>
        <v>-125</v>
      </c>
      <c r="AJ115" s="230">
        <f>T115-HLOOKUP(V115,Minimas!$C$3:$CD$12,10,FALSE)</f>
        <v>-140</v>
      </c>
      <c r="AK115" s="231" t="str">
        <f t="shared" si="41"/>
        <v>DPT +</v>
      </c>
      <c r="AL115" s="232"/>
      <c r="AM115" s="232" t="str">
        <f t="shared" si="31"/>
        <v>DPT +</v>
      </c>
      <c r="AN115" s="232">
        <f t="shared" si="42"/>
        <v>15</v>
      </c>
      <c r="AO115" s="232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  <c r="BF115" s="38"/>
      <c r="BG115" s="38"/>
      <c r="BH115" s="38"/>
      <c r="BI115" s="38"/>
      <c r="BJ115" s="38"/>
      <c r="BK115" s="38"/>
      <c r="BL115" s="38"/>
      <c r="BM115" s="38"/>
      <c r="BN115" s="38"/>
      <c r="BO115" s="38"/>
      <c r="BP115" s="38"/>
      <c r="BQ115" s="38"/>
      <c r="BR115" s="38"/>
      <c r="BS115" s="38"/>
      <c r="BT115" s="38"/>
      <c r="BU115" s="38"/>
      <c r="BV115" s="38"/>
      <c r="BW115" s="38"/>
      <c r="BX115" s="38"/>
      <c r="BY115" s="38"/>
      <c r="BZ115" s="38"/>
      <c r="CA115" s="38"/>
      <c r="CB115" s="38"/>
      <c r="CC115" s="38"/>
      <c r="CD115" s="38"/>
      <c r="CE115" s="38"/>
      <c r="CF115" s="38"/>
      <c r="CG115" s="38"/>
      <c r="CH115" s="38"/>
      <c r="CI115" s="38"/>
      <c r="CJ115" s="38"/>
      <c r="CK115" s="38"/>
      <c r="CL115" s="38"/>
      <c r="CM115" s="38"/>
      <c r="CN115" s="38"/>
      <c r="CO115" s="38"/>
      <c r="CP115" s="38"/>
      <c r="CQ115" s="38"/>
      <c r="CR115" s="38"/>
      <c r="CS115" s="38"/>
      <c r="CT115" s="38"/>
      <c r="CU115" s="38"/>
      <c r="CV115" s="38"/>
      <c r="CW115" s="38"/>
      <c r="CX115" s="38"/>
      <c r="CY115" s="38"/>
      <c r="CZ115" s="38"/>
      <c r="DA115" s="38"/>
      <c r="DB115" s="38"/>
      <c r="DC115" s="38"/>
      <c r="DD115" s="38"/>
      <c r="DE115" s="38"/>
      <c r="DF115" s="38"/>
      <c r="DG115" s="38"/>
      <c r="DH115" s="38"/>
      <c r="DI115" s="38"/>
      <c r="DJ115" s="38"/>
      <c r="DK115" s="38"/>
      <c r="DL115" s="38"/>
      <c r="DM115" s="38"/>
      <c r="DN115" s="38"/>
      <c r="DO115" s="38"/>
      <c r="DP115" s="38"/>
      <c r="DQ115" s="38"/>
      <c r="DR115" s="38"/>
      <c r="DS115" s="38"/>
      <c r="DT115" s="38"/>
    </row>
    <row r="116" spans="1:124" s="5" customFormat="1" ht="30" customHeight="1" x14ac:dyDescent="0.3">
      <c r="A116" s="484"/>
      <c r="B116" s="136" t="s">
        <v>543</v>
      </c>
      <c r="C116" s="116">
        <v>445673</v>
      </c>
      <c r="D116" s="119"/>
      <c r="E116" s="175" t="s">
        <v>40</v>
      </c>
      <c r="F116" s="124" t="s">
        <v>457</v>
      </c>
      <c r="G116" s="125" t="s">
        <v>455</v>
      </c>
      <c r="H116" s="156">
        <v>1990</v>
      </c>
      <c r="I116" s="127" t="s">
        <v>195</v>
      </c>
      <c r="J116" s="104" t="s">
        <v>44</v>
      </c>
      <c r="K116" s="126">
        <v>71.7</v>
      </c>
      <c r="L116" s="130">
        <v>-75</v>
      </c>
      <c r="M116" s="133">
        <v>75</v>
      </c>
      <c r="N116" s="133">
        <v>79</v>
      </c>
      <c r="O116" s="242">
        <f t="shared" si="33"/>
        <v>79</v>
      </c>
      <c r="P116" s="133">
        <v>95</v>
      </c>
      <c r="Q116" s="130">
        <v>-100</v>
      </c>
      <c r="R116" s="130">
        <v>-100</v>
      </c>
      <c r="S116" s="202">
        <f t="shared" si="34"/>
        <v>95</v>
      </c>
      <c r="T116" s="203">
        <f t="shared" si="35"/>
        <v>174</v>
      </c>
      <c r="U116" s="204" t="str">
        <f t="shared" si="40"/>
        <v>DPT + 14</v>
      </c>
      <c r="V116" s="204" t="str">
        <f>IF(E116=0," ",IF(E116="H",IF(H116&lt;1999,VLOOKUP(K116,Minimas!$A$15:$F$29,6),IF(AND(H116&gt;1998,H116&lt;2002),VLOOKUP(K116,Minimas!$A$15:$F$29,5),IF(AND(H116&gt;2001,H116&lt;2004),VLOOKUP(K116,Minimas!$A$15:$F$29,4),IF(AND(H116&gt;2003,H116&lt;2006),VLOOKUP(K116,Minimas!$A$15:$F$29,3),VLOOKUP(K116,Minimas!$A$15:$F$29,2))))),IF(H116&lt;1999,VLOOKUP(K116,Minimas!$G$15:$L$29,6),IF(AND(H116&gt;1998,H116&lt;2002),VLOOKUP(K116,Minimas!$G$15:$L$29,5),IF(AND(H116&gt;2001,H116&lt;2004),VLOOKUP(K116,Minimas!$G$15:$L$29,4),IF(AND(H116&gt;2003,H116&lt;2006),VLOOKUP(K116,Minimas!$G$15:$L$29,3),VLOOKUP(K116,Minimas!$G$15:$L$29,2)))))))</f>
        <v>SE M73</v>
      </c>
      <c r="W116" s="205">
        <f t="shared" si="36"/>
        <v>226.04991438833827</v>
      </c>
      <c r="X116" s="184">
        <v>43429</v>
      </c>
      <c r="Y116" s="284" t="s">
        <v>509</v>
      </c>
      <c r="Z116" s="284" t="s">
        <v>510</v>
      </c>
      <c r="AA116" s="232"/>
      <c r="AB116" s="230">
        <f>T116-HLOOKUP(V116,Minimas!$C$3:$CD$12,2,FALSE)</f>
        <v>39</v>
      </c>
      <c r="AC116" s="230">
        <f>T116-HLOOKUP(V116,Minimas!$C$3:$CD$12,3,FALSE)</f>
        <v>14</v>
      </c>
      <c r="AD116" s="230">
        <f>T116-HLOOKUP(V116,Minimas!$C$3:$CD$12,4,FALSE)</f>
        <v>-11</v>
      </c>
      <c r="AE116" s="230">
        <f>T116-HLOOKUP(V116,Minimas!$C$3:$CD$12,5,FALSE)</f>
        <v>-36</v>
      </c>
      <c r="AF116" s="230">
        <f>T116-HLOOKUP(V116,Minimas!$C$3:$CD$12,6,FALSE)</f>
        <v>-66</v>
      </c>
      <c r="AG116" s="230">
        <f>T116-HLOOKUP(V116,Minimas!$C$3:$CD$12,7,FALSE)</f>
        <v>-86</v>
      </c>
      <c r="AH116" s="230">
        <f>T116-HLOOKUP(V116,Minimas!$C$3:$CD$12,8,FALSE)</f>
        <v>-106</v>
      </c>
      <c r="AI116" s="230">
        <f>T116-HLOOKUP(V116,Minimas!$C$3:$CD$12,9,FALSE)</f>
        <v>-126</v>
      </c>
      <c r="AJ116" s="230">
        <f>T116-HLOOKUP(V116,Minimas!$C$3:$CD$12,10,FALSE)</f>
        <v>-141</v>
      </c>
      <c r="AK116" s="231" t="str">
        <f t="shared" si="41"/>
        <v>DPT +</v>
      </c>
      <c r="AL116" s="232"/>
      <c r="AM116" s="232" t="str">
        <f t="shared" si="31"/>
        <v>DPT +</v>
      </c>
      <c r="AN116" s="232">
        <f t="shared" si="42"/>
        <v>14</v>
      </c>
      <c r="AO116" s="232"/>
      <c r="AP116" s="485"/>
      <c r="AQ116" s="485"/>
      <c r="AR116" s="485"/>
      <c r="AS116" s="485"/>
      <c r="AT116" s="485"/>
      <c r="AU116" s="485"/>
      <c r="AV116" s="485"/>
      <c r="AW116" s="485"/>
      <c r="AX116" s="485"/>
      <c r="AY116" s="485"/>
      <c r="AZ116" s="485"/>
      <c r="BA116" s="485"/>
      <c r="BB116" s="485"/>
      <c r="BC116" s="485"/>
      <c r="BD116" s="485"/>
      <c r="BE116" s="485"/>
      <c r="BF116" s="485"/>
      <c r="BG116" s="485"/>
      <c r="BH116" s="485"/>
      <c r="BI116" s="485"/>
      <c r="BJ116" s="485"/>
      <c r="BK116" s="485"/>
      <c r="BL116" s="485"/>
      <c r="BM116" s="485"/>
      <c r="BN116" s="485"/>
      <c r="BO116" s="485"/>
      <c r="BP116" s="485"/>
      <c r="BQ116" s="485"/>
      <c r="BR116" s="485"/>
      <c r="BS116" s="485"/>
      <c r="BT116" s="485"/>
      <c r="BU116" s="485"/>
      <c r="BV116" s="485"/>
      <c r="BW116" s="485"/>
      <c r="BX116" s="485"/>
      <c r="BY116" s="485"/>
      <c r="BZ116" s="485"/>
      <c r="CA116" s="485"/>
      <c r="CB116" s="485"/>
      <c r="CC116" s="485"/>
      <c r="CD116" s="485"/>
      <c r="CE116" s="485"/>
      <c r="CF116" s="485"/>
      <c r="CG116" s="485"/>
      <c r="CH116" s="485"/>
      <c r="CI116" s="485"/>
      <c r="CJ116" s="485"/>
      <c r="CK116" s="485"/>
      <c r="CL116" s="485"/>
      <c r="CM116" s="485"/>
      <c r="CN116" s="485"/>
      <c r="CO116" s="485"/>
      <c r="CP116" s="485"/>
      <c r="CQ116" s="485"/>
      <c r="CR116" s="485"/>
      <c r="CS116" s="485"/>
      <c r="CT116" s="485"/>
      <c r="CU116" s="485"/>
      <c r="CV116" s="485"/>
      <c r="CW116" s="485"/>
      <c r="CX116" s="485"/>
      <c r="CY116" s="485"/>
      <c r="CZ116" s="485"/>
      <c r="DA116" s="485"/>
      <c r="DB116" s="485"/>
      <c r="DC116" s="485"/>
      <c r="DD116" s="485"/>
      <c r="DE116" s="485"/>
      <c r="DF116" s="485"/>
      <c r="DG116" s="485"/>
      <c r="DH116" s="485"/>
      <c r="DI116" s="485"/>
      <c r="DJ116" s="485"/>
      <c r="DK116" s="485"/>
      <c r="DL116" s="485"/>
      <c r="DM116" s="485"/>
      <c r="DN116" s="485"/>
      <c r="DO116" s="485"/>
      <c r="DP116" s="485"/>
      <c r="DQ116" s="485"/>
      <c r="DR116" s="485"/>
      <c r="DS116" s="485"/>
      <c r="DT116" s="485"/>
    </row>
    <row r="117" spans="1:124" s="5" customFormat="1" ht="30" customHeight="1" x14ac:dyDescent="0.25">
      <c r="B117" s="136" t="s">
        <v>543</v>
      </c>
      <c r="C117" s="116">
        <v>443731</v>
      </c>
      <c r="D117" s="119"/>
      <c r="E117" s="175" t="s">
        <v>40</v>
      </c>
      <c r="F117" s="124" t="s">
        <v>347</v>
      </c>
      <c r="G117" s="125" t="s">
        <v>443</v>
      </c>
      <c r="H117" s="156">
        <v>1996</v>
      </c>
      <c r="I117" s="127" t="s">
        <v>440</v>
      </c>
      <c r="J117" s="104"/>
      <c r="K117" s="126">
        <v>69.400000000000006</v>
      </c>
      <c r="L117" s="109">
        <v>70</v>
      </c>
      <c r="M117" s="160">
        <v>-75</v>
      </c>
      <c r="N117" s="109">
        <v>75</v>
      </c>
      <c r="O117" s="242">
        <f t="shared" si="33"/>
        <v>75</v>
      </c>
      <c r="P117" s="109">
        <v>90</v>
      </c>
      <c r="Q117" s="109">
        <v>95</v>
      </c>
      <c r="R117" s="160">
        <v>-100</v>
      </c>
      <c r="S117" s="202">
        <f t="shared" si="34"/>
        <v>95</v>
      </c>
      <c r="T117" s="203">
        <f t="shared" si="35"/>
        <v>170</v>
      </c>
      <c r="U117" s="204" t="str">
        <f t="shared" si="40"/>
        <v>DPT + 10</v>
      </c>
      <c r="V117" s="204" t="str">
        <f>IF(E117=0," ",IF(E117="H",IF(H117&lt;1999,VLOOKUP(K117,Minimas!$A$15:$F$29,6),IF(AND(H117&gt;1998,H117&lt;2002),VLOOKUP(K117,Minimas!$A$15:$F$29,5),IF(AND(H117&gt;2001,H117&lt;2004),VLOOKUP(K117,Minimas!$A$15:$F$29,4),IF(AND(H117&gt;2003,H117&lt;2006),VLOOKUP(K117,Minimas!$A$15:$F$29,3),VLOOKUP(K117,Minimas!$A$15:$F$29,2))))),IF(H117&lt;1999,VLOOKUP(K117,Minimas!$G$15:$L$29,6),IF(AND(H117&gt;1998,H117&lt;2002),VLOOKUP(K117,Minimas!$G$15:$L$29,5),IF(AND(H117&gt;2001,H117&lt;2004),VLOOKUP(K117,Minimas!$G$15:$L$29,4),IF(AND(H117&gt;2003,H117&lt;2006),VLOOKUP(K117,Minimas!$G$15:$L$29,3),VLOOKUP(K117,Minimas!$G$15:$L$29,2)))))))</f>
        <v>SE M73</v>
      </c>
      <c r="W117" s="205">
        <f t="shared" si="36"/>
        <v>225.18199021699229</v>
      </c>
      <c r="X117" s="257">
        <v>43484</v>
      </c>
      <c r="Y117" s="261" t="s">
        <v>630</v>
      </c>
      <c r="Z117" s="261" t="s">
        <v>581</v>
      </c>
      <c r="AA117" s="232"/>
      <c r="AB117" s="230">
        <f>T117-HLOOKUP(V117,Minimas!$C$3:$CD$12,2,FALSE)</f>
        <v>35</v>
      </c>
      <c r="AC117" s="230">
        <f>T117-HLOOKUP(V117,Minimas!$C$3:$CD$12,3,FALSE)</f>
        <v>10</v>
      </c>
      <c r="AD117" s="230">
        <f>T117-HLOOKUP(V117,Minimas!$C$3:$CD$12,4,FALSE)</f>
        <v>-15</v>
      </c>
      <c r="AE117" s="230">
        <f>T117-HLOOKUP(V117,Minimas!$C$3:$CD$12,5,FALSE)</f>
        <v>-40</v>
      </c>
      <c r="AF117" s="230">
        <f>T117-HLOOKUP(V117,Minimas!$C$3:$CD$12,6,FALSE)</f>
        <v>-70</v>
      </c>
      <c r="AG117" s="230">
        <f>T117-HLOOKUP(V117,Minimas!$C$3:$CD$12,7,FALSE)</f>
        <v>-90</v>
      </c>
      <c r="AH117" s="230">
        <f>T117-HLOOKUP(V117,Minimas!$C$3:$CD$12,8,FALSE)</f>
        <v>-110</v>
      </c>
      <c r="AI117" s="230">
        <f>T117-HLOOKUP(V117,Minimas!$C$3:$CD$12,9,FALSE)</f>
        <v>-130</v>
      </c>
      <c r="AJ117" s="230">
        <f>T117-HLOOKUP(V117,Minimas!$C$3:$CD$12,10,FALSE)</f>
        <v>-145</v>
      </c>
      <c r="AK117" s="231" t="str">
        <f t="shared" si="41"/>
        <v>DPT +</v>
      </c>
      <c r="AL117" s="232"/>
      <c r="AM117" s="232" t="str">
        <f t="shared" si="31"/>
        <v>DPT +</v>
      </c>
      <c r="AN117" s="232">
        <f t="shared" si="42"/>
        <v>10</v>
      </c>
      <c r="AO117" s="232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  <c r="BF117" s="38"/>
      <c r="BG117" s="38"/>
      <c r="BH117" s="38"/>
      <c r="BI117" s="38"/>
      <c r="BJ117" s="38"/>
      <c r="BK117" s="38"/>
      <c r="BL117" s="38"/>
      <c r="BM117" s="38"/>
      <c r="BN117" s="38"/>
      <c r="BO117" s="38"/>
      <c r="BP117" s="38"/>
      <c r="BQ117" s="38"/>
      <c r="BR117" s="38"/>
      <c r="BS117" s="38"/>
      <c r="BT117" s="38"/>
      <c r="BU117" s="38"/>
      <c r="BV117" s="38"/>
      <c r="BW117" s="38"/>
      <c r="BX117" s="38"/>
      <c r="BY117" s="38"/>
      <c r="BZ117" s="38"/>
      <c r="CA117" s="38"/>
      <c r="CB117" s="38"/>
      <c r="CC117" s="38"/>
      <c r="CD117" s="38"/>
      <c r="CE117" s="38"/>
      <c r="CF117" s="38"/>
      <c r="CG117" s="38"/>
      <c r="CH117" s="38"/>
      <c r="CI117" s="38"/>
      <c r="CJ117" s="38"/>
      <c r="CK117" s="38"/>
      <c r="CL117" s="38"/>
      <c r="CM117" s="38"/>
      <c r="CN117" s="38"/>
      <c r="CO117" s="38"/>
      <c r="CP117" s="38"/>
      <c r="CQ117" s="38"/>
      <c r="CR117" s="38"/>
      <c r="CS117" s="38"/>
      <c r="CT117" s="38"/>
      <c r="CU117" s="38"/>
      <c r="CV117" s="38"/>
      <c r="CW117" s="38"/>
      <c r="CX117" s="38"/>
      <c r="CY117" s="38"/>
      <c r="CZ117" s="38"/>
      <c r="DA117" s="38"/>
      <c r="DB117" s="38"/>
      <c r="DC117" s="38"/>
      <c r="DD117" s="38"/>
      <c r="DE117" s="38"/>
      <c r="DF117" s="38"/>
      <c r="DG117" s="38"/>
      <c r="DH117" s="38"/>
      <c r="DI117" s="38"/>
      <c r="DJ117" s="38"/>
      <c r="DK117" s="38"/>
      <c r="DL117" s="38"/>
      <c r="DM117" s="38"/>
      <c r="DN117" s="38"/>
      <c r="DO117" s="38"/>
      <c r="DP117" s="38"/>
      <c r="DQ117" s="38"/>
      <c r="DR117" s="38"/>
      <c r="DS117" s="38"/>
      <c r="DT117" s="38"/>
    </row>
    <row r="118" spans="1:124" s="5" customFormat="1" ht="30" customHeight="1" x14ac:dyDescent="0.25">
      <c r="A118" s="1"/>
      <c r="B118" s="136" t="s">
        <v>543</v>
      </c>
      <c r="C118" s="166">
        <v>442065</v>
      </c>
      <c r="D118" s="167"/>
      <c r="E118" s="476" t="s">
        <v>40</v>
      </c>
      <c r="F118" s="143" t="s">
        <v>727</v>
      </c>
      <c r="G118" s="144" t="s">
        <v>607</v>
      </c>
      <c r="H118" s="145">
        <v>1994</v>
      </c>
      <c r="I118" s="172" t="s">
        <v>129</v>
      </c>
      <c r="J118" s="155" t="s">
        <v>44</v>
      </c>
      <c r="K118" s="200">
        <v>71.7</v>
      </c>
      <c r="L118" s="118">
        <v>60</v>
      </c>
      <c r="M118" s="118">
        <v>68</v>
      </c>
      <c r="N118" s="118">
        <v>73</v>
      </c>
      <c r="O118" s="242">
        <f t="shared" si="33"/>
        <v>73</v>
      </c>
      <c r="P118" s="118">
        <v>92</v>
      </c>
      <c r="Q118" s="118">
        <v>97</v>
      </c>
      <c r="R118" s="148">
        <v>-102</v>
      </c>
      <c r="S118" s="283">
        <f t="shared" si="34"/>
        <v>97</v>
      </c>
      <c r="T118" s="203">
        <f>IF(E118="","",O118+S118)</f>
        <v>170</v>
      </c>
      <c r="U118" s="204" t="str">
        <f t="shared" si="40"/>
        <v>DPT + 10</v>
      </c>
      <c r="V118" s="204" t="str">
        <f>IF(E118=0," ",IF(E118="H",IF(H118&lt;1999,VLOOKUP(K118,[13]Minimas!$A$15:$F$29,6),IF(AND(H118&gt;1998,H118&lt;2002),VLOOKUP(K118,[13]Minimas!$A$15:$F$29,5),IF(AND(H118&gt;2001,H118&lt;2004),VLOOKUP(K118,[13]Minimas!$A$15:$F$29,4),IF(AND(H118&gt;2003,H118&lt;2006),VLOOKUP(K118,[13]Minimas!$A$15:$F$29,3),VLOOKUP(K118,[13]Minimas!$A$15:$F$29,2))))),IF(H118&lt;1999,VLOOKUP(K118,[13]Minimas!$G$15:$L$29,6),IF(AND(H118&gt;1998,H118&lt;2002),VLOOKUP(K118,[13]Minimas!$G$15:$L$29,5),IF(AND(H118&gt;2001,H118&lt;2004),VLOOKUP(K118,[13]Minimas!$G$15:$L$29,4),IF(AND(H118&gt;2003,H118&lt;2006),VLOOKUP(K118,[13]Minimas!$G$15:$L$29,3),VLOOKUP(K118,[13]Minimas!$G$15:$L$29,2)))))))</f>
        <v>SE M73</v>
      </c>
      <c r="W118" s="205">
        <f t="shared" si="36"/>
        <v>220.8533646322845</v>
      </c>
      <c r="X118" s="257">
        <v>43540</v>
      </c>
      <c r="Y118" s="261" t="s">
        <v>714</v>
      </c>
      <c r="Z118" s="261" t="s">
        <v>704</v>
      </c>
      <c r="AA118" s="463"/>
      <c r="AB118" s="230">
        <f>T118-HLOOKUP(V118,Minimas!$C$3:$CD$12,2,FALSE)</f>
        <v>35</v>
      </c>
      <c r="AC118" s="230">
        <f>T118-HLOOKUP(V118,Minimas!$C$3:$CD$12,3,FALSE)</f>
        <v>10</v>
      </c>
      <c r="AD118" s="230">
        <f>T118-HLOOKUP(V118,Minimas!$C$3:$CD$12,4,FALSE)</f>
        <v>-15</v>
      </c>
      <c r="AE118" s="230">
        <f>T118-HLOOKUP(V118,Minimas!$C$3:$CD$12,5,FALSE)</f>
        <v>-40</v>
      </c>
      <c r="AF118" s="230">
        <f>T118-HLOOKUP(V118,Minimas!$C$3:$CD$12,6,FALSE)</f>
        <v>-70</v>
      </c>
      <c r="AG118" s="230">
        <f>T118-HLOOKUP(V118,Minimas!$C$3:$CD$12,7,FALSE)</f>
        <v>-90</v>
      </c>
      <c r="AH118" s="230">
        <f>T118-HLOOKUP(V118,Minimas!$C$3:$CD$12,8,FALSE)</f>
        <v>-110</v>
      </c>
      <c r="AI118" s="230">
        <f>T118-HLOOKUP(V118,Minimas!$C$3:$CD$12,9,FALSE)</f>
        <v>-130</v>
      </c>
      <c r="AJ118" s="230">
        <f>T118-HLOOKUP(V118,Minimas!$C$3:$CD$12,10,FALSE)</f>
        <v>-145</v>
      </c>
      <c r="AK118" s="231" t="str">
        <f t="shared" si="41"/>
        <v>DPT +</v>
      </c>
      <c r="AL118" s="232"/>
      <c r="AM118" s="232" t="str">
        <f t="shared" si="31"/>
        <v>DPT +</v>
      </c>
      <c r="AN118" s="232">
        <f t="shared" si="42"/>
        <v>10</v>
      </c>
      <c r="AO118" s="463"/>
      <c r="AP118" s="34"/>
      <c r="AQ118" s="34"/>
      <c r="AR118" s="34"/>
      <c r="AS118" s="34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  <c r="BF118" s="34"/>
      <c r="BG118" s="34"/>
      <c r="BH118" s="34"/>
      <c r="BI118" s="34"/>
      <c r="BJ118" s="34"/>
      <c r="BK118" s="34"/>
      <c r="BL118" s="34"/>
      <c r="BM118" s="34"/>
      <c r="BN118" s="34"/>
      <c r="BO118" s="34"/>
      <c r="BP118" s="34"/>
      <c r="BQ118" s="34"/>
      <c r="BR118" s="34"/>
      <c r="BS118" s="34"/>
      <c r="BT118" s="34"/>
      <c r="BU118" s="34"/>
      <c r="BV118" s="34"/>
      <c r="BW118" s="34"/>
      <c r="BX118" s="34"/>
      <c r="BY118" s="34"/>
      <c r="BZ118" s="34"/>
      <c r="CA118" s="34"/>
      <c r="CB118" s="34"/>
      <c r="CC118" s="34"/>
      <c r="CD118" s="34"/>
      <c r="CE118" s="34"/>
      <c r="CF118" s="34"/>
      <c r="CG118" s="34"/>
      <c r="CH118" s="34"/>
      <c r="CI118" s="34"/>
      <c r="CJ118" s="34"/>
      <c r="CK118" s="34"/>
      <c r="CL118" s="34"/>
      <c r="CM118" s="34"/>
      <c r="CN118" s="34"/>
      <c r="CO118" s="34"/>
      <c r="CP118" s="34"/>
      <c r="CQ118" s="34"/>
      <c r="CR118" s="34"/>
      <c r="CS118" s="34"/>
      <c r="CT118" s="34"/>
      <c r="CU118" s="34"/>
      <c r="CV118" s="34"/>
      <c r="CW118" s="34"/>
      <c r="CX118" s="34"/>
      <c r="CY118" s="34"/>
      <c r="CZ118" s="34"/>
      <c r="DA118" s="34"/>
      <c r="DB118" s="34"/>
      <c r="DC118" s="34"/>
      <c r="DD118" s="34"/>
      <c r="DE118" s="34"/>
      <c r="DF118" s="34"/>
      <c r="DG118" s="34"/>
      <c r="DH118" s="34"/>
      <c r="DI118" s="34"/>
      <c r="DJ118" s="34"/>
      <c r="DK118" s="34"/>
      <c r="DL118" s="34"/>
      <c r="DM118" s="34"/>
      <c r="DN118" s="34"/>
      <c r="DO118" s="34"/>
      <c r="DP118" s="34"/>
      <c r="DQ118" s="34"/>
      <c r="DR118" s="34"/>
      <c r="DS118" s="34"/>
      <c r="DT118" s="34"/>
    </row>
    <row r="119" spans="1:124" s="5" customFormat="1" ht="30" customHeight="1" x14ac:dyDescent="0.25">
      <c r="B119" s="693" t="s">
        <v>543</v>
      </c>
      <c r="C119" s="693">
        <v>448118</v>
      </c>
      <c r="D119" s="710"/>
      <c r="E119" s="725" t="s">
        <v>40</v>
      </c>
      <c r="F119" s="728" t="s">
        <v>792</v>
      </c>
      <c r="G119" s="735" t="s">
        <v>903</v>
      </c>
      <c r="H119" s="744">
        <v>1987</v>
      </c>
      <c r="I119" s="569" t="s">
        <v>440</v>
      </c>
      <c r="J119" s="725"/>
      <c r="K119" s="772">
        <v>72.099999999999994</v>
      </c>
      <c r="L119" s="118">
        <v>-75</v>
      </c>
      <c r="M119" s="118">
        <v>75</v>
      </c>
      <c r="N119" s="118">
        <v>-78</v>
      </c>
      <c r="O119" s="604">
        <f t="shared" si="33"/>
        <v>75</v>
      </c>
      <c r="P119" s="118">
        <v>90</v>
      </c>
      <c r="Q119" s="118">
        <v>95</v>
      </c>
      <c r="R119" s="118">
        <v>-100</v>
      </c>
      <c r="S119" s="601">
        <f t="shared" si="34"/>
        <v>95</v>
      </c>
      <c r="T119" s="608">
        <f>IF(E119="","",IF(OR(O119=0,S119=0),0,O119+S119))</f>
        <v>170</v>
      </c>
      <c r="U119" s="612" t="str">
        <f t="shared" si="40"/>
        <v>DPT + 10</v>
      </c>
      <c r="V119" s="612" t="str">
        <f>IF(E119=0," ",IF(E119="H",IF(H119&lt;1999,VLOOKUP(K119,[3]Minimas!$A$15:$F$29,6),IF(AND(H119&gt;1998,H119&lt;2002),VLOOKUP(K119,[3]Minimas!$A$15:$F$29,5),IF(AND(H119&gt;2001,H119&lt;2004),VLOOKUP(K119,[3]Minimas!$A$15:$F$29,4),IF(AND(H119&gt;2003,H119&lt;2006),VLOOKUP(K119,[3]Minimas!$A$15:$F$29,3),VLOOKUP(K119,[3]Minimas!$A$15:$F$29,2))))),IF(H119&lt;1999,VLOOKUP(K119,[3]Minimas!$G$15:$L$29,6),IF(AND(H119&gt;1998,H119&lt;2002),VLOOKUP(K119,[3]Minimas!$G$15:$L$29,5),IF(AND(H119&gt;2001,H119&lt;2004),VLOOKUP(K119,[3]Minimas!$G$15:$L$29,4),IF(AND(H119&gt;2003,H119&lt;2006),VLOOKUP(K119,[3]Minimas!$G$15:$L$29,3),VLOOKUP(K119,[3]Minimas!$G$15:$L$29,2)))))))</f>
        <v>SE M73</v>
      </c>
      <c r="W119" s="614">
        <f t="shared" si="36"/>
        <v>220.1383775169422</v>
      </c>
      <c r="X119" s="257">
        <v>43610</v>
      </c>
      <c r="Y119" s="261" t="s">
        <v>892</v>
      </c>
      <c r="Z119" s="261" t="s">
        <v>829</v>
      </c>
      <c r="AA119" s="232"/>
      <c r="AB119" s="230">
        <f>T119-HLOOKUP(V119,[3]Minimas!$C$3:$CD$12,2,FALSE)</f>
        <v>35</v>
      </c>
      <c r="AC119" s="230">
        <f>T119-HLOOKUP(V119,[3]Minimas!$C$3:$CD$12,3,FALSE)</f>
        <v>10</v>
      </c>
      <c r="AD119" s="230">
        <f>T119-HLOOKUP(V119,[3]Minimas!$C$3:$CD$12,4,FALSE)</f>
        <v>-15</v>
      </c>
      <c r="AE119" s="230">
        <f>T119-HLOOKUP(V119,[3]Minimas!$C$3:$CD$12,5,FALSE)</f>
        <v>-40</v>
      </c>
      <c r="AF119" s="230">
        <f>T119-HLOOKUP(V119,[3]Minimas!$C$3:$CD$12,6,FALSE)</f>
        <v>-70</v>
      </c>
      <c r="AG119" s="230">
        <f>T119-HLOOKUP(V119,[3]Minimas!$C$3:$CD$12,7,FALSE)</f>
        <v>-90</v>
      </c>
      <c r="AH119" s="230">
        <f>T119-HLOOKUP(V119,[3]Minimas!$C$3:$CD$12,8,FALSE)</f>
        <v>-110</v>
      </c>
      <c r="AI119" s="230">
        <f>T119-HLOOKUP(V119,[3]Minimas!$C$3:$CD$12,9,FALSE)</f>
        <v>-130</v>
      </c>
      <c r="AJ119" s="230">
        <f>T119-HLOOKUP(V119,[3]Minimas!$C$3:$CD$12,10,FALSE)</f>
        <v>-145</v>
      </c>
      <c r="AK119" s="231" t="str">
        <f t="shared" si="41"/>
        <v>DPT +</v>
      </c>
      <c r="AL119" s="232"/>
      <c r="AM119" s="232" t="str">
        <f t="shared" si="31"/>
        <v>DPT +</v>
      </c>
      <c r="AN119" s="232">
        <f t="shared" si="42"/>
        <v>10</v>
      </c>
      <c r="AO119" s="232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  <c r="BF119" s="38"/>
      <c r="BG119" s="38"/>
      <c r="BH119" s="38"/>
      <c r="BI119" s="38"/>
      <c r="BJ119" s="38"/>
      <c r="BK119" s="38"/>
      <c r="BL119" s="38"/>
      <c r="BM119" s="38"/>
      <c r="BN119" s="38"/>
      <c r="BO119" s="38"/>
      <c r="BP119" s="38"/>
      <c r="BQ119" s="38"/>
      <c r="BR119" s="38"/>
      <c r="BS119" s="38"/>
      <c r="BT119" s="38"/>
      <c r="BU119" s="38"/>
      <c r="BV119" s="38"/>
      <c r="BW119" s="38"/>
      <c r="BX119" s="38"/>
      <c r="BY119" s="38"/>
      <c r="BZ119" s="38"/>
      <c r="CA119" s="38"/>
      <c r="CB119" s="38"/>
      <c r="CC119" s="38"/>
      <c r="CD119" s="38"/>
      <c r="CE119" s="38"/>
      <c r="CF119" s="38"/>
      <c r="CG119" s="38"/>
      <c r="CH119" s="38"/>
      <c r="CI119" s="38"/>
      <c r="CJ119" s="38"/>
      <c r="CK119" s="38"/>
      <c r="CL119" s="38"/>
      <c r="CM119" s="38"/>
      <c r="CN119" s="38"/>
      <c r="CO119" s="38"/>
      <c r="CP119" s="38"/>
      <c r="CQ119" s="38"/>
      <c r="CR119" s="38"/>
      <c r="CS119" s="38"/>
      <c r="CT119" s="38"/>
      <c r="CU119" s="38"/>
      <c r="CV119" s="38"/>
      <c r="CW119" s="38"/>
      <c r="CX119" s="38"/>
      <c r="CY119" s="38"/>
      <c r="CZ119" s="38"/>
      <c r="DA119" s="38"/>
      <c r="DB119" s="38"/>
      <c r="DC119" s="38"/>
      <c r="DD119" s="38"/>
      <c r="DE119" s="38"/>
      <c r="DF119" s="38"/>
      <c r="DG119" s="38"/>
      <c r="DH119" s="38"/>
      <c r="DI119" s="38"/>
      <c r="DJ119" s="38"/>
      <c r="DK119" s="38"/>
      <c r="DL119" s="38"/>
      <c r="DM119" s="38"/>
      <c r="DN119" s="38"/>
      <c r="DO119" s="38"/>
      <c r="DP119" s="38"/>
      <c r="DQ119" s="38"/>
      <c r="DR119" s="38"/>
      <c r="DS119" s="38"/>
      <c r="DT119" s="38"/>
    </row>
    <row r="120" spans="1:124" s="5" customFormat="1" ht="30" customHeight="1" x14ac:dyDescent="0.25">
      <c r="B120" s="516" t="s">
        <v>543</v>
      </c>
      <c r="C120" s="524">
        <v>449968</v>
      </c>
      <c r="D120" s="530"/>
      <c r="E120" s="476" t="s">
        <v>40</v>
      </c>
      <c r="F120" s="544" t="s">
        <v>797</v>
      </c>
      <c r="G120" s="551" t="s">
        <v>798</v>
      </c>
      <c r="H120" s="215">
        <v>1992</v>
      </c>
      <c r="I120" s="569" t="s">
        <v>855</v>
      </c>
      <c r="J120" s="146" t="s">
        <v>44</v>
      </c>
      <c r="K120" s="587">
        <v>73</v>
      </c>
      <c r="L120" s="118">
        <v>70</v>
      </c>
      <c r="M120" s="118">
        <v>80</v>
      </c>
      <c r="N120" s="118">
        <v>-85</v>
      </c>
      <c r="O120" s="604">
        <f t="shared" si="33"/>
        <v>80</v>
      </c>
      <c r="P120" s="118">
        <v>-80</v>
      </c>
      <c r="Q120" s="118">
        <v>-90</v>
      </c>
      <c r="R120" s="118">
        <v>90</v>
      </c>
      <c r="S120" s="601">
        <f t="shared" si="34"/>
        <v>90</v>
      </c>
      <c r="T120" s="608">
        <f>IF(E120="","",IF(OR(O120=0,S120=0),0,O120+S120))</f>
        <v>170</v>
      </c>
      <c r="U120" s="612" t="str">
        <f t="shared" si="40"/>
        <v>DPT + 10</v>
      </c>
      <c r="V120" s="612" t="str">
        <f>IF(E120=0," ",IF(E120="H",IF(H120&lt;1999,VLOOKUP(K120,[3]Minimas!$A$15:$F$29,6),IF(AND(H120&gt;1998,H120&lt;2002),VLOOKUP(K120,[3]Minimas!$A$15:$F$29,5),IF(AND(H120&gt;2001,H120&lt;2004),VLOOKUP(K120,[3]Minimas!$A$15:$F$29,4),IF(AND(H120&gt;2003,H120&lt;2006),VLOOKUP(K120,[3]Minimas!$A$15:$F$29,3),VLOOKUP(K120,[3]Minimas!$A$15:$F$29,2))))),IF(H120&lt;1999,VLOOKUP(K120,[3]Minimas!$G$15:$L$29,6),IF(AND(H120&gt;1998,H120&lt;2002),VLOOKUP(K120,[3]Minimas!$G$15:$L$29,5),IF(AND(H120&gt;2001,H120&lt;2004),VLOOKUP(K120,[3]Minimas!$G$15:$L$29,4),IF(AND(H120&gt;2003,H120&lt;2006),VLOOKUP(K120,[3]Minimas!$G$15:$L$29,3),VLOOKUP(K120,[3]Minimas!$G$15:$L$29,2)))))))</f>
        <v>SE M73</v>
      </c>
      <c r="W120" s="614">
        <f t="shared" si="36"/>
        <v>218.56828751717327</v>
      </c>
      <c r="X120" s="257">
        <v>43589</v>
      </c>
      <c r="Y120" s="261" t="s">
        <v>856</v>
      </c>
      <c r="Z120" s="261" t="s">
        <v>511</v>
      </c>
      <c r="AA120" s="232"/>
      <c r="AB120" s="230">
        <f>T120-HLOOKUP(V120,[3]Minimas!$C$3:$CD$12,2,FALSE)</f>
        <v>35</v>
      </c>
      <c r="AC120" s="230">
        <f>T120-HLOOKUP(V120,[3]Minimas!$C$3:$CD$12,3,FALSE)</f>
        <v>10</v>
      </c>
      <c r="AD120" s="230">
        <f>T120-HLOOKUP(V120,[3]Minimas!$C$3:$CD$12,4,FALSE)</f>
        <v>-15</v>
      </c>
      <c r="AE120" s="230">
        <f>T120-HLOOKUP(V120,[3]Minimas!$C$3:$CD$12,5,FALSE)</f>
        <v>-40</v>
      </c>
      <c r="AF120" s="230">
        <f>T120-HLOOKUP(V120,[3]Minimas!$C$3:$CD$12,6,FALSE)</f>
        <v>-70</v>
      </c>
      <c r="AG120" s="230">
        <f>T120-HLOOKUP(V120,[3]Minimas!$C$3:$CD$12,7,FALSE)</f>
        <v>-90</v>
      </c>
      <c r="AH120" s="230">
        <f>T120-HLOOKUP(V120,[3]Minimas!$C$3:$CD$12,8,FALSE)</f>
        <v>-110</v>
      </c>
      <c r="AI120" s="230">
        <f>T120-HLOOKUP(V120,[3]Minimas!$C$3:$CD$12,9,FALSE)</f>
        <v>-130</v>
      </c>
      <c r="AJ120" s="230">
        <f>T120-HLOOKUP(V120,[3]Minimas!$C$3:$CD$12,10,FALSE)</f>
        <v>-145</v>
      </c>
      <c r="AK120" s="231" t="str">
        <f t="shared" si="41"/>
        <v>DPT +</v>
      </c>
      <c r="AL120" s="232"/>
      <c r="AM120" s="232" t="str">
        <f t="shared" si="31"/>
        <v>DPT +</v>
      </c>
      <c r="AN120" s="232">
        <f t="shared" si="42"/>
        <v>10</v>
      </c>
      <c r="AO120" s="232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  <c r="BF120" s="38"/>
      <c r="BG120" s="38"/>
      <c r="BH120" s="38"/>
      <c r="BI120" s="38"/>
      <c r="BJ120" s="38"/>
      <c r="BK120" s="38"/>
      <c r="BL120" s="38"/>
      <c r="BM120" s="38"/>
      <c r="BN120" s="38"/>
      <c r="BO120" s="38"/>
      <c r="BP120" s="38"/>
      <c r="BQ120" s="38"/>
      <c r="BR120" s="38"/>
      <c r="BS120" s="38"/>
      <c r="BT120" s="38"/>
      <c r="BU120" s="38"/>
      <c r="BV120" s="38"/>
      <c r="BW120" s="38"/>
      <c r="BX120" s="38"/>
      <c r="BY120" s="38"/>
      <c r="BZ120" s="38"/>
      <c r="CA120" s="38"/>
      <c r="CB120" s="38"/>
      <c r="CC120" s="38"/>
      <c r="CD120" s="38"/>
      <c r="CE120" s="38"/>
      <c r="CF120" s="38"/>
      <c r="CG120" s="38"/>
      <c r="CH120" s="38"/>
      <c r="CI120" s="38"/>
      <c r="CJ120" s="38"/>
      <c r="CK120" s="38"/>
      <c r="CL120" s="38"/>
      <c r="CM120" s="38"/>
      <c r="CN120" s="38"/>
      <c r="CO120" s="38"/>
      <c r="CP120" s="38"/>
      <c r="CQ120" s="38"/>
      <c r="CR120" s="38"/>
      <c r="CS120" s="38"/>
      <c r="CT120" s="38"/>
      <c r="CU120" s="38"/>
      <c r="CV120" s="38"/>
      <c r="CW120" s="38"/>
      <c r="CX120" s="38"/>
      <c r="CY120" s="38"/>
      <c r="CZ120" s="38"/>
      <c r="DA120" s="38"/>
      <c r="DB120" s="38"/>
      <c r="DC120" s="38"/>
      <c r="DD120" s="38"/>
      <c r="DE120" s="38"/>
      <c r="DF120" s="38"/>
      <c r="DG120" s="38"/>
      <c r="DH120" s="38"/>
      <c r="DI120" s="38"/>
      <c r="DJ120" s="38"/>
      <c r="DK120" s="38"/>
      <c r="DL120" s="38"/>
      <c r="DM120" s="38"/>
      <c r="DN120" s="38"/>
      <c r="DO120" s="38"/>
      <c r="DP120" s="38"/>
      <c r="DQ120" s="38"/>
      <c r="DR120" s="38"/>
      <c r="DS120" s="38"/>
      <c r="DT120" s="38"/>
    </row>
    <row r="121" spans="1:124" s="5" customFormat="1" ht="30" customHeight="1" x14ac:dyDescent="0.25">
      <c r="B121" s="136" t="s">
        <v>543</v>
      </c>
      <c r="C121" s="166">
        <v>365520</v>
      </c>
      <c r="D121" s="171"/>
      <c r="E121" s="476" t="s">
        <v>40</v>
      </c>
      <c r="F121" s="143" t="s">
        <v>267</v>
      </c>
      <c r="G121" s="144" t="s">
        <v>268</v>
      </c>
      <c r="H121" s="145">
        <v>1978</v>
      </c>
      <c r="I121" s="172" t="s">
        <v>324</v>
      </c>
      <c r="J121" s="146" t="s">
        <v>44</v>
      </c>
      <c r="K121" s="147">
        <v>72</v>
      </c>
      <c r="L121" s="118">
        <v>68</v>
      </c>
      <c r="M121" s="118">
        <v>72</v>
      </c>
      <c r="N121" s="118">
        <v>74</v>
      </c>
      <c r="O121" s="242">
        <f t="shared" si="33"/>
        <v>74</v>
      </c>
      <c r="P121" s="118">
        <v>90</v>
      </c>
      <c r="Q121" s="118">
        <v>-95</v>
      </c>
      <c r="R121" s="118">
        <v>95</v>
      </c>
      <c r="S121" s="202">
        <f t="shared" si="34"/>
        <v>95</v>
      </c>
      <c r="T121" s="203">
        <f>IF(E121="","",O121+S121)</f>
        <v>169</v>
      </c>
      <c r="U121" s="204" t="str">
        <f t="shared" si="40"/>
        <v>DPT + 9</v>
      </c>
      <c r="V121" s="204" t="str">
        <f>IF(E121=0," ",IF(E121="H",IF(H121&lt;1999,VLOOKUP(K121,[27]Minimas!$A$15:$F$29,6),IF(AND(H121&gt;1998,H121&lt;2002),VLOOKUP(K121,[27]Minimas!$A$15:$F$29,5),IF(AND(H121&gt;2001,H121&lt;2004),VLOOKUP(K121,[27]Minimas!$A$15:$F$29,4),IF(AND(H121&gt;2003,H121&lt;2006),VLOOKUP(K121,[27]Minimas!$A$15:$F$29,3),VLOOKUP(K121,[27]Minimas!$A$15:$F$29,2))))),IF(H121&lt;1999,VLOOKUP(K121,[27]Minimas!$G$15:$L$29,6),IF(AND(H121&gt;1998,H121&lt;2002),VLOOKUP(K121,[27]Minimas!$G$15:$L$29,5),IF(AND(H121&gt;2001,H121&lt;2004),VLOOKUP(K121,[27]Minimas!$G$15:$L$29,4),IF(AND(H121&gt;2003,H121&lt;2006),VLOOKUP(K121,[27]Minimas!$G$15:$L$29,3),VLOOKUP(K121,[27]Minimas!$G$15:$L$29,2)))))))</f>
        <v>SE M73</v>
      </c>
      <c r="W121" s="205">
        <f t="shared" si="36"/>
        <v>219.02014063276283</v>
      </c>
      <c r="X121" s="257">
        <v>43506</v>
      </c>
      <c r="Y121" s="261" t="s">
        <v>660</v>
      </c>
      <c r="Z121" s="261" t="s">
        <v>661</v>
      </c>
      <c r="AA121" s="232"/>
      <c r="AB121" s="230">
        <f>T121-HLOOKUP(V121,Minimas!$C$3:$CD$12,2,FALSE)</f>
        <v>34</v>
      </c>
      <c r="AC121" s="230">
        <f>T121-HLOOKUP(V121,Minimas!$C$3:$CD$12,3,FALSE)</f>
        <v>9</v>
      </c>
      <c r="AD121" s="230">
        <f>T121-HLOOKUP(V121,Minimas!$C$3:$CD$12,4,FALSE)</f>
        <v>-16</v>
      </c>
      <c r="AE121" s="230">
        <f>T121-HLOOKUP(V121,Minimas!$C$3:$CD$12,5,FALSE)</f>
        <v>-41</v>
      </c>
      <c r="AF121" s="230">
        <f>T121-HLOOKUP(V121,Minimas!$C$3:$CD$12,6,FALSE)</f>
        <v>-71</v>
      </c>
      <c r="AG121" s="230">
        <f>T121-HLOOKUP(V121,Minimas!$C$3:$CD$12,7,FALSE)</f>
        <v>-91</v>
      </c>
      <c r="AH121" s="230">
        <f>T121-HLOOKUP(V121,Minimas!$C$3:$CD$12,8,FALSE)</f>
        <v>-111</v>
      </c>
      <c r="AI121" s="230">
        <f>T121-HLOOKUP(V121,Minimas!$C$3:$CD$12,9,FALSE)</f>
        <v>-131</v>
      </c>
      <c r="AJ121" s="230">
        <f>T121-HLOOKUP(V121,Minimas!$C$3:$CD$12,10,FALSE)</f>
        <v>-146</v>
      </c>
      <c r="AK121" s="231" t="str">
        <f t="shared" si="41"/>
        <v>DPT +</v>
      </c>
      <c r="AL121" s="232"/>
      <c r="AM121" s="232" t="str">
        <f t="shared" si="31"/>
        <v>DPT +</v>
      </c>
      <c r="AN121" s="232">
        <f t="shared" si="42"/>
        <v>9</v>
      </c>
      <c r="AO121" s="232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  <c r="BF121" s="38"/>
      <c r="BG121" s="38"/>
      <c r="BH121" s="38"/>
      <c r="BI121" s="38"/>
      <c r="BJ121" s="38"/>
      <c r="BK121" s="38"/>
      <c r="BL121" s="38"/>
      <c r="BM121" s="38"/>
      <c r="BN121" s="38"/>
      <c r="BO121" s="38"/>
      <c r="BP121" s="38"/>
      <c r="BQ121" s="38"/>
      <c r="BR121" s="38"/>
      <c r="BS121" s="38"/>
      <c r="BT121" s="38"/>
      <c r="BU121" s="38"/>
      <c r="BV121" s="38"/>
      <c r="BW121" s="38"/>
      <c r="BX121" s="38"/>
      <c r="BY121" s="38"/>
      <c r="BZ121" s="38"/>
      <c r="CA121" s="38"/>
      <c r="CB121" s="38"/>
      <c r="CC121" s="38"/>
      <c r="CD121" s="38"/>
      <c r="CE121" s="38"/>
      <c r="CF121" s="38"/>
      <c r="CG121" s="38"/>
      <c r="CH121" s="38"/>
      <c r="CI121" s="38"/>
      <c r="CJ121" s="38"/>
      <c r="CK121" s="38"/>
      <c r="CL121" s="38"/>
      <c r="CM121" s="38"/>
      <c r="CN121" s="38"/>
      <c r="CO121" s="38"/>
      <c r="CP121" s="38"/>
      <c r="CQ121" s="38"/>
      <c r="CR121" s="38"/>
      <c r="CS121" s="38"/>
      <c r="CT121" s="38"/>
      <c r="CU121" s="38"/>
      <c r="CV121" s="38"/>
      <c r="CW121" s="38"/>
      <c r="CX121" s="38"/>
      <c r="CY121" s="38"/>
      <c r="CZ121" s="38"/>
      <c r="DA121" s="38"/>
      <c r="DB121" s="38"/>
      <c r="DC121" s="38"/>
      <c r="DD121" s="38"/>
      <c r="DE121" s="38"/>
      <c r="DF121" s="38"/>
      <c r="DG121" s="38"/>
      <c r="DH121" s="38"/>
      <c r="DI121" s="38"/>
      <c r="DJ121" s="38"/>
      <c r="DK121" s="38"/>
      <c r="DL121" s="38"/>
      <c r="DM121" s="38"/>
      <c r="DN121" s="38"/>
      <c r="DO121" s="38"/>
      <c r="DP121" s="38"/>
      <c r="DQ121" s="38"/>
      <c r="DR121" s="38"/>
      <c r="DS121" s="38"/>
      <c r="DT121" s="38"/>
    </row>
    <row r="122" spans="1:124" s="5" customFormat="1" ht="30" customHeight="1" x14ac:dyDescent="0.3">
      <c r="B122" s="136" t="s">
        <v>543</v>
      </c>
      <c r="C122" s="116">
        <v>443579</v>
      </c>
      <c r="D122" s="119"/>
      <c r="E122" s="175" t="s">
        <v>40</v>
      </c>
      <c r="F122" s="124" t="s">
        <v>356</v>
      </c>
      <c r="G122" s="125" t="s">
        <v>357</v>
      </c>
      <c r="H122" s="156">
        <v>1987</v>
      </c>
      <c r="I122" s="127" t="s">
        <v>322</v>
      </c>
      <c r="J122" s="104" t="s">
        <v>44</v>
      </c>
      <c r="K122" s="126">
        <v>70.11</v>
      </c>
      <c r="L122" s="131">
        <v>-70</v>
      </c>
      <c r="M122" s="109">
        <v>70</v>
      </c>
      <c r="N122" s="109">
        <v>75</v>
      </c>
      <c r="O122" s="242">
        <f t="shared" si="33"/>
        <v>75</v>
      </c>
      <c r="P122" s="133">
        <v>85</v>
      </c>
      <c r="Q122" s="131">
        <v>-92</v>
      </c>
      <c r="R122" s="133">
        <v>92</v>
      </c>
      <c r="S122" s="202">
        <f t="shared" si="34"/>
        <v>92</v>
      </c>
      <c r="T122" s="203">
        <f>IF(E122="","",IF(OR(O122=0,S122=0),0,O122+S122))</f>
        <v>167</v>
      </c>
      <c r="U122" s="204" t="str">
        <f t="shared" si="40"/>
        <v>DPT + 7</v>
      </c>
      <c r="V122" s="204" t="str">
        <f>IF(E122=0," ",IF(E122="H",IF(H122&lt;1999,VLOOKUP(K122,Minimas!$A$15:$F$29,6),IF(AND(H122&gt;1998,H122&lt;2002),VLOOKUP(K122,Minimas!$A$15:$F$29,5),IF(AND(H122&gt;2001,H122&lt;2004),VLOOKUP(K122,Minimas!$A$15:$F$29,4),IF(AND(H122&gt;2003,H122&lt;2006),VLOOKUP(K122,Minimas!$A$15:$F$29,3),VLOOKUP(K122,Minimas!$A$15:$F$29,2))))),IF(H122&lt;1999,VLOOKUP(K122,Minimas!$G$15:$L$29,6),IF(AND(H122&gt;1998,H122&lt;2002),VLOOKUP(K122,Minimas!$G$15:$L$29,5),IF(AND(H122&gt;2001,H122&lt;2004),VLOOKUP(K122,Minimas!$G$15:$L$29,4),IF(AND(H122&gt;2003,H122&lt;2006),VLOOKUP(K122,Minimas!$G$15:$L$29,3),VLOOKUP(K122,Minimas!$G$15:$L$29,2)))))))</f>
        <v>SE M73</v>
      </c>
      <c r="W122" s="205">
        <f t="shared" si="36"/>
        <v>219.85542792987829</v>
      </c>
      <c r="X122" s="184">
        <v>43401</v>
      </c>
      <c r="Y122" s="284" t="s">
        <v>507</v>
      </c>
      <c r="Z122" s="284" t="s">
        <v>506</v>
      </c>
      <c r="AA122" s="232"/>
      <c r="AB122" s="230">
        <f>T122-HLOOKUP(V122,Minimas!$C$3:$CD$12,2,FALSE)</f>
        <v>32</v>
      </c>
      <c r="AC122" s="230">
        <f>T122-HLOOKUP(V122,Minimas!$C$3:$CD$12,3,FALSE)</f>
        <v>7</v>
      </c>
      <c r="AD122" s="230">
        <f>T122-HLOOKUP(V122,Minimas!$C$3:$CD$12,4,FALSE)</f>
        <v>-18</v>
      </c>
      <c r="AE122" s="230">
        <f>T122-HLOOKUP(V122,Minimas!$C$3:$CD$12,5,FALSE)</f>
        <v>-43</v>
      </c>
      <c r="AF122" s="230">
        <f>T122-HLOOKUP(V122,Minimas!$C$3:$CD$12,6,FALSE)</f>
        <v>-73</v>
      </c>
      <c r="AG122" s="230">
        <f>T122-HLOOKUP(V122,Minimas!$C$3:$CD$12,7,FALSE)</f>
        <v>-93</v>
      </c>
      <c r="AH122" s="230">
        <f>T122-HLOOKUP(V122,Minimas!$C$3:$CD$12,8,FALSE)</f>
        <v>-113</v>
      </c>
      <c r="AI122" s="230">
        <f>T122-HLOOKUP(V122,Minimas!$C$3:$CD$12,9,FALSE)</f>
        <v>-133</v>
      </c>
      <c r="AJ122" s="230">
        <f>T122-HLOOKUP(V122,Minimas!$C$3:$CD$12,10,FALSE)</f>
        <v>-148</v>
      </c>
      <c r="AK122" s="231" t="str">
        <f t="shared" si="41"/>
        <v>DPT +</v>
      </c>
      <c r="AL122" s="232"/>
      <c r="AM122" s="232" t="str">
        <f t="shared" si="31"/>
        <v>DPT +</v>
      </c>
      <c r="AN122" s="232">
        <f t="shared" si="42"/>
        <v>7</v>
      </c>
      <c r="AO122" s="232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  <c r="BF122" s="38"/>
      <c r="BG122" s="38"/>
      <c r="BH122" s="38"/>
      <c r="BI122" s="38"/>
      <c r="BJ122" s="38"/>
      <c r="BK122" s="38"/>
      <c r="BL122" s="38"/>
      <c r="BM122" s="38"/>
      <c r="BN122" s="38"/>
      <c r="BO122" s="38"/>
      <c r="BP122" s="38"/>
      <c r="BQ122" s="38"/>
      <c r="BR122" s="38"/>
      <c r="BS122" s="38"/>
      <c r="BT122" s="38"/>
      <c r="BU122" s="38"/>
      <c r="BV122" s="38"/>
      <c r="BW122" s="38"/>
      <c r="BX122" s="38"/>
      <c r="BY122" s="38"/>
      <c r="BZ122" s="38"/>
      <c r="CA122" s="38"/>
      <c r="CB122" s="38"/>
      <c r="CC122" s="38"/>
      <c r="CD122" s="38"/>
      <c r="CE122" s="38"/>
      <c r="CF122" s="38"/>
      <c r="CG122" s="38"/>
      <c r="CH122" s="38"/>
      <c r="CI122" s="38"/>
      <c r="CJ122" s="38"/>
      <c r="CK122" s="38"/>
      <c r="CL122" s="38"/>
      <c r="CM122" s="38"/>
      <c r="CN122" s="38"/>
      <c r="CO122" s="38"/>
      <c r="CP122" s="38"/>
      <c r="CQ122" s="38"/>
      <c r="CR122" s="38"/>
      <c r="CS122" s="38"/>
      <c r="CT122" s="38"/>
      <c r="CU122" s="38"/>
      <c r="CV122" s="38"/>
      <c r="CW122" s="38"/>
      <c r="CX122" s="38"/>
      <c r="CY122" s="38"/>
      <c r="CZ122" s="38"/>
      <c r="DA122" s="38"/>
      <c r="DB122" s="38"/>
      <c r="DC122" s="38"/>
      <c r="DD122" s="38"/>
      <c r="DE122" s="38"/>
      <c r="DF122" s="38"/>
      <c r="DG122" s="38"/>
      <c r="DH122" s="38"/>
      <c r="DI122" s="38"/>
      <c r="DJ122" s="38"/>
      <c r="DK122" s="38"/>
      <c r="DL122" s="38"/>
      <c r="DM122" s="38"/>
      <c r="DN122" s="38"/>
      <c r="DO122" s="38"/>
      <c r="DP122" s="38"/>
      <c r="DQ122" s="38"/>
      <c r="DR122" s="38"/>
      <c r="DS122" s="38"/>
      <c r="DT122" s="38"/>
    </row>
    <row r="123" spans="1:124" s="5" customFormat="1" ht="30" customHeight="1" x14ac:dyDescent="0.25">
      <c r="B123" s="524" t="s">
        <v>543</v>
      </c>
      <c r="C123" s="524">
        <v>442788</v>
      </c>
      <c r="D123" s="710"/>
      <c r="E123" s="476" t="s">
        <v>40</v>
      </c>
      <c r="F123" s="544" t="s">
        <v>904</v>
      </c>
      <c r="G123" s="551" t="s">
        <v>341</v>
      </c>
      <c r="H123" s="215">
        <v>1996</v>
      </c>
      <c r="I123" s="564" t="s">
        <v>440</v>
      </c>
      <c r="J123" s="476"/>
      <c r="K123" s="771">
        <v>72.599999999999994</v>
      </c>
      <c r="L123" s="118">
        <v>68</v>
      </c>
      <c r="M123" s="118">
        <v>72</v>
      </c>
      <c r="N123" s="118">
        <v>-76</v>
      </c>
      <c r="O123" s="604">
        <f t="shared" si="33"/>
        <v>72</v>
      </c>
      <c r="P123" s="118">
        <v>86</v>
      </c>
      <c r="Q123" s="118">
        <v>90</v>
      </c>
      <c r="R123" s="118">
        <v>95</v>
      </c>
      <c r="S123" s="601">
        <f t="shared" si="34"/>
        <v>95</v>
      </c>
      <c r="T123" s="608">
        <f>IF(E123="","",IF(OR(O123=0,S123=0),0,O123+S123))</f>
        <v>167</v>
      </c>
      <c r="U123" s="612" t="str">
        <f t="shared" si="40"/>
        <v>DPT + 7</v>
      </c>
      <c r="V123" s="612" t="str">
        <f>IF(E123=0," ",IF(E123="H",IF(H123&lt;1999,VLOOKUP(K123,[3]Minimas!$A$15:$F$29,6),IF(AND(H123&gt;1998,H123&lt;2002),VLOOKUP(K123,[3]Minimas!$A$15:$F$29,5),IF(AND(H123&gt;2001,H123&lt;2004),VLOOKUP(K123,[3]Minimas!$A$15:$F$29,4),IF(AND(H123&gt;2003,H123&lt;2006),VLOOKUP(K123,[3]Minimas!$A$15:$F$29,3),VLOOKUP(K123,[3]Minimas!$A$15:$F$29,2))))),IF(H123&lt;1999,VLOOKUP(K123,[3]Minimas!$G$15:$L$29,6),IF(AND(H123&gt;1998,H123&lt;2002),VLOOKUP(K123,[3]Minimas!$G$15:$L$29,5),IF(AND(H123&gt;2001,H123&lt;2004),VLOOKUP(K123,[3]Minimas!$G$15:$L$29,4),IF(AND(H123&gt;2003,H123&lt;2006),VLOOKUP(K123,[3]Minimas!$G$15:$L$29,3),VLOOKUP(K123,[3]Minimas!$G$15:$L$29,2)))))))</f>
        <v>SE M73</v>
      </c>
      <c r="W123" s="614">
        <f t="shared" si="36"/>
        <v>215.39030956244275</v>
      </c>
      <c r="X123" s="257">
        <v>43610</v>
      </c>
      <c r="Y123" s="261" t="s">
        <v>892</v>
      </c>
      <c r="Z123" s="261" t="s">
        <v>829</v>
      </c>
      <c r="AA123" s="232"/>
      <c r="AB123" s="230">
        <f>T123-HLOOKUP(V123,[3]Minimas!$C$3:$CD$12,2,FALSE)</f>
        <v>32</v>
      </c>
      <c r="AC123" s="230">
        <f>T123-HLOOKUP(V123,[3]Minimas!$C$3:$CD$12,3,FALSE)</f>
        <v>7</v>
      </c>
      <c r="AD123" s="230">
        <f>T123-HLOOKUP(V123,[3]Minimas!$C$3:$CD$12,4,FALSE)</f>
        <v>-18</v>
      </c>
      <c r="AE123" s="230">
        <f>T123-HLOOKUP(V123,[3]Minimas!$C$3:$CD$12,5,FALSE)</f>
        <v>-43</v>
      </c>
      <c r="AF123" s="230">
        <f>T123-HLOOKUP(V123,[3]Minimas!$C$3:$CD$12,6,FALSE)</f>
        <v>-73</v>
      </c>
      <c r="AG123" s="230">
        <f>T123-HLOOKUP(V123,[3]Minimas!$C$3:$CD$12,7,FALSE)</f>
        <v>-93</v>
      </c>
      <c r="AH123" s="230">
        <f>T123-HLOOKUP(V123,[3]Minimas!$C$3:$CD$12,8,FALSE)</f>
        <v>-113</v>
      </c>
      <c r="AI123" s="230">
        <f>T123-HLOOKUP(V123,[3]Minimas!$C$3:$CD$12,9,FALSE)</f>
        <v>-133</v>
      </c>
      <c r="AJ123" s="230">
        <f>T123-HLOOKUP(V123,[3]Minimas!$C$3:$CD$12,10,FALSE)</f>
        <v>-148</v>
      </c>
      <c r="AK123" s="231" t="str">
        <f t="shared" si="41"/>
        <v>DPT +</v>
      </c>
      <c r="AL123" s="232"/>
      <c r="AM123" s="232" t="str">
        <f t="shared" si="31"/>
        <v>DPT +</v>
      </c>
      <c r="AN123" s="232">
        <f t="shared" si="42"/>
        <v>7</v>
      </c>
      <c r="AO123" s="232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  <c r="BF123" s="38"/>
      <c r="BG123" s="38"/>
      <c r="BH123" s="38"/>
      <c r="BI123" s="38"/>
      <c r="BJ123" s="38"/>
      <c r="BK123" s="38"/>
      <c r="BL123" s="38"/>
      <c r="BM123" s="38"/>
      <c r="BN123" s="38"/>
      <c r="BO123" s="38"/>
      <c r="BP123" s="38"/>
      <c r="BQ123" s="38"/>
      <c r="BR123" s="38"/>
      <c r="BS123" s="38"/>
      <c r="BT123" s="38"/>
      <c r="BU123" s="38"/>
      <c r="BV123" s="38"/>
      <c r="BW123" s="38"/>
      <c r="BX123" s="38"/>
      <c r="BY123" s="38"/>
      <c r="BZ123" s="38"/>
      <c r="CA123" s="38"/>
      <c r="CB123" s="38"/>
      <c r="CC123" s="38"/>
      <c r="CD123" s="38"/>
      <c r="CE123" s="38"/>
      <c r="CF123" s="38"/>
      <c r="CG123" s="38"/>
      <c r="CH123" s="38"/>
      <c r="CI123" s="38"/>
      <c r="CJ123" s="38"/>
      <c r="CK123" s="38"/>
      <c r="CL123" s="38"/>
      <c r="CM123" s="38"/>
      <c r="CN123" s="38"/>
      <c r="CO123" s="38"/>
      <c r="CP123" s="38"/>
      <c r="CQ123" s="38"/>
      <c r="CR123" s="38"/>
      <c r="CS123" s="38"/>
      <c r="CT123" s="38"/>
      <c r="CU123" s="38"/>
      <c r="CV123" s="38"/>
      <c r="CW123" s="38"/>
      <c r="CX123" s="38"/>
      <c r="CY123" s="38"/>
      <c r="CZ123" s="38"/>
      <c r="DA123" s="38"/>
      <c r="DB123" s="38"/>
      <c r="DC123" s="38"/>
      <c r="DD123" s="38"/>
      <c r="DE123" s="38"/>
      <c r="DF123" s="38"/>
      <c r="DG123" s="38"/>
      <c r="DH123" s="38"/>
      <c r="DI123" s="38"/>
      <c r="DJ123" s="38"/>
      <c r="DK123" s="38"/>
      <c r="DL123" s="38"/>
      <c r="DM123" s="38"/>
      <c r="DN123" s="38"/>
      <c r="DO123" s="38"/>
      <c r="DP123" s="38"/>
      <c r="DQ123" s="38"/>
      <c r="DR123" s="38"/>
      <c r="DS123" s="38"/>
      <c r="DT123" s="38"/>
    </row>
    <row r="124" spans="1:124" s="5" customFormat="1" ht="30" customHeight="1" x14ac:dyDescent="0.25">
      <c r="B124" s="136" t="s">
        <v>543</v>
      </c>
      <c r="C124" s="116">
        <v>417568</v>
      </c>
      <c r="D124" s="119"/>
      <c r="E124" s="175" t="s">
        <v>40</v>
      </c>
      <c r="F124" s="124" t="s">
        <v>611</v>
      </c>
      <c r="G124" s="125" t="s">
        <v>612</v>
      </c>
      <c r="H124" s="156">
        <v>1967</v>
      </c>
      <c r="I124" s="127" t="s">
        <v>477</v>
      </c>
      <c r="J124" s="104" t="s">
        <v>41</v>
      </c>
      <c r="K124" s="126">
        <v>72.3</v>
      </c>
      <c r="L124" s="160">
        <v>-67</v>
      </c>
      <c r="M124" s="109">
        <v>70</v>
      </c>
      <c r="N124" s="109">
        <v>75</v>
      </c>
      <c r="O124" s="242">
        <f t="shared" si="33"/>
        <v>75</v>
      </c>
      <c r="P124" s="109">
        <v>85</v>
      </c>
      <c r="Q124" s="109">
        <v>90</v>
      </c>
      <c r="R124" s="160">
        <v>-95</v>
      </c>
      <c r="S124" s="202">
        <f t="shared" si="34"/>
        <v>90</v>
      </c>
      <c r="T124" s="203">
        <f>IF(E124="","",IF(OR(O124=0,S124=0),0,O124+S124))</f>
        <v>165</v>
      </c>
      <c r="U124" s="204" t="str">
        <f t="shared" si="40"/>
        <v>DPT + 5</v>
      </c>
      <c r="V124" s="204" t="str">
        <f>IF(E124=0," ",IF(E124="H",IF(H124&lt;1999,VLOOKUP(K124,Minimas!$A$15:$F$29,6),IF(AND(H124&gt;1998,H124&lt;2002),VLOOKUP(K124,Minimas!$A$15:$F$29,5),IF(AND(H124&gt;2001,H124&lt;2004),VLOOKUP(K124,Minimas!$A$15:$F$29,4),IF(AND(H124&gt;2003,H124&lt;2006),VLOOKUP(K124,Minimas!$A$15:$F$29,3),VLOOKUP(K124,Minimas!$A$15:$F$29,2))))),IF(H124&lt;1999,VLOOKUP(K124,Minimas!$G$15:$L$29,6),IF(AND(H124&gt;1998,H124&lt;2002),VLOOKUP(K124,Minimas!$G$15:$L$29,5),IF(AND(H124&gt;2001,H124&lt;2004),VLOOKUP(K124,Minimas!$G$15:$L$29,4),IF(AND(H124&gt;2003,H124&lt;2006),VLOOKUP(K124,Minimas!$G$15:$L$29,3),VLOOKUP(K124,Minimas!$G$15:$L$29,2)))))))</f>
        <v>SE M73</v>
      </c>
      <c r="W124" s="205">
        <f t="shared" si="36"/>
        <v>213.32062910357857</v>
      </c>
      <c r="X124" s="257">
        <v>43484</v>
      </c>
      <c r="Y124" s="261" t="s">
        <v>630</v>
      </c>
      <c r="Z124" s="261" t="s">
        <v>581</v>
      </c>
      <c r="AA124" s="232"/>
      <c r="AB124" s="230">
        <f>T124-HLOOKUP(V124,Minimas!$C$3:$CD$12,2,FALSE)</f>
        <v>30</v>
      </c>
      <c r="AC124" s="230">
        <f>T124-HLOOKUP(V124,Minimas!$C$3:$CD$12,3,FALSE)</f>
        <v>5</v>
      </c>
      <c r="AD124" s="230">
        <f>T124-HLOOKUP(V124,Minimas!$C$3:$CD$12,4,FALSE)</f>
        <v>-20</v>
      </c>
      <c r="AE124" s="230">
        <f>T124-HLOOKUP(V124,Minimas!$C$3:$CD$12,5,FALSE)</f>
        <v>-45</v>
      </c>
      <c r="AF124" s="230">
        <f>T124-HLOOKUP(V124,Minimas!$C$3:$CD$12,6,FALSE)</f>
        <v>-75</v>
      </c>
      <c r="AG124" s="230">
        <f>T124-HLOOKUP(V124,Minimas!$C$3:$CD$12,7,FALSE)</f>
        <v>-95</v>
      </c>
      <c r="AH124" s="230">
        <f>T124-HLOOKUP(V124,Minimas!$C$3:$CD$12,8,FALSE)</f>
        <v>-115</v>
      </c>
      <c r="AI124" s="230">
        <f>T124-HLOOKUP(V124,Minimas!$C$3:$CD$12,9,FALSE)</f>
        <v>-135</v>
      </c>
      <c r="AJ124" s="230">
        <f>T124-HLOOKUP(V124,Minimas!$C$3:$CD$12,10,FALSE)</f>
        <v>-150</v>
      </c>
      <c r="AK124" s="231" t="str">
        <f t="shared" si="41"/>
        <v>DPT +</v>
      </c>
      <c r="AL124" s="232"/>
      <c r="AM124" s="232" t="str">
        <f t="shared" si="31"/>
        <v>DPT +</v>
      </c>
      <c r="AN124" s="232">
        <f t="shared" si="42"/>
        <v>5</v>
      </c>
      <c r="AO124" s="232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  <c r="BF124" s="38"/>
      <c r="BG124" s="38"/>
      <c r="BH124" s="38"/>
      <c r="BI124" s="38"/>
      <c r="BJ124" s="38"/>
      <c r="BK124" s="38"/>
      <c r="BL124" s="38"/>
      <c r="BM124" s="38"/>
      <c r="BN124" s="38"/>
      <c r="BO124" s="38"/>
      <c r="BP124" s="38"/>
      <c r="BQ124" s="38"/>
      <c r="BR124" s="38"/>
      <c r="BS124" s="38"/>
      <c r="BT124" s="38"/>
      <c r="BU124" s="38"/>
      <c r="BV124" s="38"/>
      <c r="BW124" s="38"/>
      <c r="BX124" s="38"/>
      <c r="BY124" s="38"/>
      <c r="BZ124" s="38"/>
      <c r="CA124" s="38"/>
      <c r="CB124" s="38"/>
      <c r="CC124" s="38"/>
      <c r="CD124" s="38"/>
      <c r="CE124" s="38"/>
      <c r="CF124" s="38"/>
      <c r="CG124" s="38"/>
      <c r="CH124" s="38"/>
      <c r="CI124" s="38"/>
      <c r="CJ124" s="38"/>
      <c r="CK124" s="38"/>
      <c r="CL124" s="38"/>
      <c r="CM124" s="38"/>
      <c r="CN124" s="38"/>
      <c r="CO124" s="38"/>
      <c r="CP124" s="38"/>
      <c r="CQ124" s="38"/>
      <c r="CR124" s="38"/>
      <c r="CS124" s="38"/>
      <c r="CT124" s="38"/>
      <c r="CU124" s="38"/>
      <c r="CV124" s="38"/>
      <c r="CW124" s="38"/>
      <c r="CX124" s="38"/>
      <c r="CY124" s="38"/>
      <c r="CZ124" s="38"/>
      <c r="DA124" s="38"/>
      <c r="DB124" s="38"/>
      <c r="DC124" s="38"/>
      <c r="DD124" s="38"/>
      <c r="DE124" s="38"/>
      <c r="DF124" s="38"/>
      <c r="DG124" s="38"/>
      <c r="DH124" s="38"/>
      <c r="DI124" s="38"/>
      <c r="DJ124" s="38"/>
      <c r="DK124" s="38"/>
      <c r="DL124" s="38"/>
      <c r="DM124" s="38"/>
      <c r="DN124" s="38"/>
      <c r="DO124" s="38"/>
      <c r="DP124" s="38"/>
      <c r="DQ124" s="38"/>
      <c r="DR124" s="38"/>
      <c r="DS124" s="38"/>
      <c r="DT124" s="38"/>
    </row>
    <row r="125" spans="1:124" s="5" customFormat="1" ht="30" customHeight="1" x14ac:dyDescent="0.25">
      <c r="A125" s="484"/>
      <c r="B125" s="685" t="s">
        <v>543</v>
      </c>
      <c r="C125" s="166">
        <v>448118</v>
      </c>
      <c r="D125" s="167"/>
      <c r="E125" s="476" t="s">
        <v>40</v>
      </c>
      <c r="F125" s="217" t="s">
        <v>792</v>
      </c>
      <c r="G125" s="144" t="s">
        <v>793</v>
      </c>
      <c r="H125" s="218">
        <v>1987</v>
      </c>
      <c r="I125" s="169" t="s">
        <v>440</v>
      </c>
      <c r="J125" s="168" t="s">
        <v>44</v>
      </c>
      <c r="K125" s="200">
        <v>71.2</v>
      </c>
      <c r="L125" s="118">
        <v>70</v>
      </c>
      <c r="M125" s="148">
        <v>-74</v>
      </c>
      <c r="N125" s="118">
        <v>74</v>
      </c>
      <c r="O125" s="242">
        <f t="shared" si="33"/>
        <v>74</v>
      </c>
      <c r="P125" s="118">
        <v>85</v>
      </c>
      <c r="Q125" s="118">
        <v>90</v>
      </c>
      <c r="R125" s="148">
        <v>-95</v>
      </c>
      <c r="S125" s="202">
        <f t="shared" si="34"/>
        <v>90</v>
      </c>
      <c r="T125" s="203">
        <f>IF(E125="","",IF(OR(O125=0,S125=0),0,O125+S125))</f>
        <v>164</v>
      </c>
      <c r="U125" s="204" t="str">
        <f t="shared" si="40"/>
        <v>DPT + 4</v>
      </c>
      <c r="V125" s="204" t="str">
        <f>IF(E125=0," ",IF(E125="H",IF(H125&lt;1999,VLOOKUP(K125,[5]Minimas!$A$15:$F$29,6),IF(AND(H125&gt;1998,H125&lt;2002),VLOOKUP(K125,[5]Minimas!$A$15:$F$29,5),IF(AND(H125&gt;2001,H125&lt;2004),VLOOKUP(K125,[5]Minimas!$A$15:$F$29,4),IF(AND(H125&gt;2003,H125&lt;2006),VLOOKUP(K125,[5]Minimas!$A$15:$F$29,3),VLOOKUP(K125,[5]Minimas!$A$15:$F$29,2))))),IF(H125&lt;1999,VLOOKUP(K125,[5]Minimas!$G$15:$L$29,6),IF(AND(H125&gt;1998,H125&lt;2002),VLOOKUP(K125,[5]Minimas!$G$15:$L$29,5),IF(AND(H125&gt;2001,H125&lt;2004),VLOOKUP(K125,[5]Minimas!$G$15:$L$29,4),IF(AND(H125&gt;2003,H125&lt;2006),VLOOKUP(K125,[5]Minimas!$G$15:$L$29,3),VLOOKUP(K125,[5]Minimas!$G$15:$L$29,2)))))))</f>
        <v>SE M73</v>
      </c>
      <c r="W125" s="205">
        <f t="shared" si="36"/>
        <v>213.93548512383441</v>
      </c>
      <c r="X125" s="257">
        <v>43555</v>
      </c>
      <c r="Y125" s="261" t="s">
        <v>805</v>
      </c>
      <c r="Z125" s="261" t="s">
        <v>806</v>
      </c>
      <c r="AA125" s="232"/>
      <c r="AB125" s="230">
        <f>T125-HLOOKUP(V125,[5]Minimas!$C$3:$CD$12,2,FALSE)</f>
        <v>29</v>
      </c>
      <c r="AC125" s="230">
        <f>T125-HLOOKUP(V125,[5]Minimas!$C$3:$CD$12,3,FALSE)</f>
        <v>4</v>
      </c>
      <c r="AD125" s="230">
        <f>T125-HLOOKUP(V125,[5]Minimas!$C$3:$CD$12,4,FALSE)</f>
        <v>-21</v>
      </c>
      <c r="AE125" s="230">
        <f>T125-HLOOKUP(V125,[5]Minimas!$C$3:$CD$12,5,FALSE)</f>
        <v>-46</v>
      </c>
      <c r="AF125" s="230">
        <f>T125-HLOOKUP(V125,[5]Minimas!$C$3:$CD$12,6,FALSE)</f>
        <v>-76</v>
      </c>
      <c r="AG125" s="230">
        <f>T125-HLOOKUP(V125,[5]Minimas!$C$3:$CD$12,7,FALSE)</f>
        <v>-96</v>
      </c>
      <c r="AH125" s="230">
        <f>T125-HLOOKUP(V125,[5]Minimas!$C$3:$CD$12,8,FALSE)</f>
        <v>-116</v>
      </c>
      <c r="AI125" s="230">
        <f>T125-HLOOKUP(V125,[5]Minimas!$C$3:$CD$12,9,FALSE)</f>
        <v>-136</v>
      </c>
      <c r="AJ125" s="230">
        <f>T125-HLOOKUP(V125,[5]Minimas!$C$3:$CD$12,10,FALSE)</f>
        <v>-151</v>
      </c>
      <c r="AK125" s="231" t="str">
        <f t="shared" si="41"/>
        <v>DPT +</v>
      </c>
      <c r="AL125" s="232"/>
      <c r="AM125" s="232" t="str">
        <f t="shared" si="31"/>
        <v>DPT +</v>
      </c>
      <c r="AN125" s="232">
        <f t="shared" si="42"/>
        <v>4</v>
      </c>
      <c r="AO125" s="232"/>
      <c r="AP125" s="485"/>
      <c r="AQ125" s="485"/>
      <c r="AR125" s="485"/>
      <c r="AS125" s="485"/>
      <c r="AT125" s="485"/>
      <c r="AU125" s="485"/>
      <c r="AV125" s="485"/>
      <c r="AW125" s="485"/>
      <c r="AX125" s="485"/>
      <c r="AY125" s="485"/>
      <c r="AZ125" s="485"/>
      <c r="BA125" s="485"/>
      <c r="BB125" s="485"/>
      <c r="BC125" s="485"/>
      <c r="BD125" s="485"/>
      <c r="BE125" s="485"/>
      <c r="BF125" s="485"/>
      <c r="BG125" s="485"/>
      <c r="BH125" s="485"/>
      <c r="BI125" s="485"/>
      <c r="BJ125" s="485"/>
      <c r="BK125" s="485"/>
      <c r="BL125" s="485"/>
      <c r="BM125" s="485"/>
      <c r="BN125" s="485"/>
      <c r="BO125" s="485"/>
      <c r="BP125" s="485"/>
      <c r="BQ125" s="485"/>
      <c r="BR125" s="485"/>
      <c r="BS125" s="485"/>
      <c r="BT125" s="485"/>
      <c r="BU125" s="485"/>
      <c r="BV125" s="485"/>
      <c r="BW125" s="485"/>
      <c r="BX125" s="485"/>
      <c r="BY125" s="485"/>
      <c r="BZ125" s="485"/>
      <c r="CA125" s="485"/>
      <c r="CB125" s="485"/>
      <c r="CC125" s="485"/>
      <c r="CD125" s="485"/>
      <c r="CE125" s="485"/>
      <c r="CF125" s="485"/>
      <c r="CG125" s="485"/>
      <c r="CH125" s="485"/>
      <c r="CI125" s="485"/>
      <c r="CJ125" s="485"/>
      <c r="CK125" s="485"/>
      <c r="CL125" s="485"/>
      <c r="CM125" s="485"/>
      <c r="CN125" s="485"/>
      <c r="CO125" s="485"/>
      <c r="CP125" s="485"/>
      <c r="CQ125" s="485"/>
      <c r="CR125" s="485"/>
      <c r="CS125" s="485"/>
      <c r="CT125" s="485"/>
      <c r="CU125" s="485"/>
      <c r="CV125" s="485"/>
      <c r="CW125" s="485"/>
      <c r="CX125" s="485"/>
      <c r="CY125" s="485"/>
      <c r="CZ125" s="485"/>
      <c r="DA125" s="485"/>
      <c r="DB125" s="485"/>
      <c r="DC125" s="485"/>
      <c r="DD125" s="485"/>
      <c r="DE125" s="485"/>
      <c r="DF125" s="485"/>
      <c r="DG125" s="485"/>
      <c r="DH125" s="485"/>
      <c r="DI125" s="485"/>
      <c r="DJ125" s="485"/>
      <c r="DK125" s="485"/>
      <c r="DL125" s="485"/>
      <c r="DM125" s="485"/>
      <c r="DN125" s="485"/>
      <c r="DO125" s="485"/>
      <c r="DP125" s="485"/>
      <c r="DQ125" s="485"/>
      <c r="DR125" s="485"/>
      <c r="DS125" s="485"/>
      <c r="DT125" s="485"/>
    </row>
    <row r="126" spans="1:124" s="5" customFormat="1" ht="30" customHeight="1" x14ac:dyDescent="0.25">
      <c r="B126" s="689" t="s">
        <v>543</v>
      </c>
      <c r="C126" s="166">
        <v>365904</v>
      </c>
      <c r="D126" s="171"/>
      <c r="E126" s="476" t="s">
        <v>40</v>
      </c>
      <c r="F126" s="143" t="s">
        <v>465</v>
      </c>
      <c r="G126" s="144" t="s">
        <v>466</v>
      </c>
      <c r="H126" s="145">
        <v>1978</v>
      </c>
      <c r="I126" s="172" t="s">
        <v>324</v>
      </c>
      <c r="J126" s="168" t="s">
        <v>44</v>
      </c>
      <c r="K126" s="147">
        <v>71.900000000000006</v>
      </c>
      <c r="L126" s="118">
        <v>68</v>
      </c>
      <c r="M126" s="118">
        <v>-71</v>
      </c>
      <c r="N126" s="118">
        <v>-72</v>
      </c>
      <c r="O126" s="242">
        <f t="shared" si="33"/>
        <v>68</v>
      </c>
      <c r="P126" s="118">
        <v>90</v>
      </c>
      <c r="Q126" s="118">
        <v>95</v>
      </c>
      <c r="R126" s="118">
        <v>-100</v>
      </c>
      <c r="S126" s="202">
        <f t="shared" si="34"/>
        <v>95</v>
      </c>
      <c r="T126" s="203">
        <f>IF(E126="","",IF(OR(O126=0,S126=0),0,O126+S126))</f>
        <v>163</v>
      </c>
      <c r="U126" s="204" t="str">
        <f t="shared" si="40"/>
        <v>DPT + 3</v>
      </c>
      <c r="V126" s="204" t="str">
        <f>IF(E126=0," ",IF(E126="H",IF(H126&lt;1999,VLOOKUP(K126,[29]Minimas!$A$15:$F$29,6),IF(AND(H126&gt;1998,H126&lt;2002),VLOOKUP(K126,[29]Minimas!$A$15:$F$29,5),IF(AND(H126&gt;2001,H126&lt;2004),VLOOKUP(K126,[29]Minimas!$A$15:$F$29,4),IF(AND(H126&gt;2003,H126&lt;2006),VLOOKUP(K126,[29]Minimas!$A$15:$F$29,3),VLOOKUP(K126,[29]Minimas!$A$15:$F$29,2))))),IF(H126&lt;1999,VLOOKUP(K126,[29]Minimas!$G$15:$L$29,6),IF(AND(H126&gt;1998,H126&lt;2002),VLOOKUP(K126,[29]Minimas!$G$15:$L$29,5),IF(AND(H126&gt;2001,H126&lt;2004),VLOOKUP(K126,[29]Minimas!$G$15:$L$29,4),IF(AND(H126&gt;2003,H126&lt;2006),VLOOKUP(K126,[29]Minimas!$G$15:$L$29,3),VLOOKUP(K126,[29]Minimas!$G$15:$L$29,2)))))))</f>
        <v>SE M73</v>
      </c>
      <c r="W126" s="205">
        <f t="shared" si="36"/>
        <v>211.41534050760998</v>
      </c>
      <c r="X126" s="257">
        <v>43491</v>
      </c>
      <c r="Y126" s="261" t="s">
        <v>696</v>
      </c>
      <c r="Z126" s="261" t="s">
        <v>700</v>
      </c>
      <c r="AA126" s="232"/>
      <c r="AB126" s="230">
        <f>T126-HLOOKUP(V126,Minimas!$C$3:$CD$12,2,FALSE)</f>
        <v>28</v>
      </c>
      <c r="AC126" s="230">
        <f>T126-HLOOKUP(V126,Minimas!$C$3:$CD$12,3,FALSE)</f>
        <v>3</v>
      </c>
      <c r="AD126" s="230">
        <f>T126-HLOOKUP(V126,Minimas!$C$3:$CD$12,4,FALSE)</f>
        <v>-22</v>
      </c>
      <c r="AE126" s="230">
        <f>T126-HLOOKUP(V126,Minimas!$C$3:$CD$12,5,FALSE)</f>
        <v>-47</v>
      </c>
      <c r="AF126" s="230">
        <f>T126-HLOOKUP(V126,Minimas!$C$3:$CD$12,6,FALSE)</f>
        <v>-77</v>
      </c>
      <c r="AG126" s="230">
        <f>T126-HLOOKUP(V126,Minimas!$C$3:$CD$12,7,FALSE)</f>
        <v>-97</v>
      </c>
      <c r="AH126" s="230">
        <f>T126-HLOOKUP(V126,Minimas!$C$3:$CD$12,8,FALSE)</f>
        <v>-117</v>
      </c>
      <c r="AI126" s="230">
        <f>T126-HLOOKUP(V126,Minimas!$C$3:$CD$12,9,FALSE)</f>
        <v>-137</v>
      </c>
      <c r="AJ126" s="230">
        <f>T126-HLOOKUP(V126,Minimas!$C$3:$CD$12,10,FALSE)</f>
        <v>-152</v>
      </c>
      <c r="AK126" s="231" t="str">
        <f t="shared" si="41"/>
        <v>DPT +</v>
      </c>
      <c r="AL126" s="232"/>
      <c r="AM126" s="232" t="str">
        <f t="shared" si="31"/>
        <v>DPT +</v>
      </c>
      <c r="AN126" s="232">
        <f t="shared" si="42"/>
        <v>3</v>
      </c>
      <c r="AO126" s="232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  <c r="BF126" s="38"/>
      <c r="BG126" s="38"/>
      <c r="BH126" s="38"/>
      <c r="BI126" s="38"/>
      <c r="BJ126" s="38"/>
      <c r="BK126" s="38"/>
      <c r="BL126" s="38"/>
      <c r="BM126" s="38"/>
      <c r="BN126" s="38"/>
      <c r="BO126" s="38"/>
      <c r="BP126" s="38"/>
      <c r="BQ126" s="38"/>
      <c r="BR126" s="38"/>
      <c r="BS126" s="38"/>
      <c r="BT126" s="38"/>
      <c r="BU126" s="38"/>
      <c r="BV126" s="38"/>
      <c r="BW126" s="38"/>
      <c r="BX126" s="38"/>
      <c r="BY126" s="38"/>
      <c r="BZ126" s="38"/>
      <c r="CA126" s="38"/>
      <c r="CB126" s="38"/>
      <c r="CC126" s="38"/>
      <c r="CD126" s="38"/>
      <c r="CE126" s="38"/>
      <c r="CF126" s="38"/>
      <c r="CG126" s="38"/>
      <c r="CH126" s="38"/>
      <c r="CI126" s="38"/>
      <c r="CJ126" s="38"/>
      <c r="CK126" s="38"/>
      <c r="CL126" s="38"/>
      <c r="CM126" s="38"/>
      <c r="CN126" s="38"/>
      <c r="CO126" s="38"/>
      <c r="CP126" s="38"/>
      <c r="CQ126" s="38"/>
      <c r="CR126" s="38"/>
      <c r="CS126" s="38"/>
      <c r="CT126" s="38"/>
      <c r="CU126" s="38"/>
      <c r="CV126" s="38"/>
      <c r="CW126" s="38"/>
      <c r="CX126" s="38"/>
      <c r="CY126" s="38"/>
      <c r="CZ126" s="38"/>
      <c r="DA126" s="38"/>
      <c r="DB126" s="38"/>
      <c r="DC126" s="38"/>
      <c r="DD126" s="38"/>
      <c r="DE126" s="38"/>
      <c r="DF126" s="38"/>
      <c r="DG126" s="38"/>
      <c r="DH126" s="38"/>
      <c r="DI126" s="38"/>
      <c r="DJ126" s="38"/>
      <c r="DK126" s="38"/>
      <c r="DL126" s="38"/>
      <c r="DM126" s="38"/>
      <c r="DN126" s="38"/>
      <c r="DO126" s="38"/>
      <c r="DP126" s="38"/>
      <c r="DQ126" s="38"/>
      <c r="DR126" s="38"/>
      <c r="DS126" s="38"/>
      <c r="DT126" s="38"/>
    </row>
    <row r="127" spans="1:124" s="5" customFormat="1" ht="30" customHeight="1" x14ac:dyDescent="0.25">
      <c r="A127" s="484"/>
      <c r="B127" s="136" t="s">
        <v>543</v>
      </c>
      <c r="C127" s="166">
        <v>418922</v>
      </c>
      <c r="D127" s="171"/>
      <c r="E127" s="476" t="s">
        <v>40</v>
      </c>
      <c r="F127" s="143" t="s">
        <v>358</v>
      </c>
      <c r="G127" s="144" t="s">
        <v>359</v>
      </c>
      <c r="H127" s="145">
        <v>1980</v>
      </c>
      <c r="I127" s="172" t="s">
        <v>170</v>
      </c>
      <c r="J127" s="146" t="s">
        <v>44</v>
      </c>
      <c r="K127" s="147">
        <v>72.3</v>
      </c>
      <c r="L127" s="118">
        <v>68</v>
      </c>
      <c r="M127" s="118">
        <v>72</v>
      </c>
      <c r="N127" s="118">
        <v>-75</v>
      </c>
      <c r="O127" s="242">
        <f t="shared" si="33"/>
        <v>72</v>
      </c>
      <c r="P127" s="118">
        <v>83</v>
      </c>
      <c r="Q127" s="118">
        <v>87</v>
      </c>
      <c r="R127" s="118">
        <v>91</v>
      </c>
      <c r="S127" s="202">
        <f t="shared" si="34"/>
        <v>91</v>
      </c>
      <c r="T127" s="203">
        <f>IF(E127="","",O127+S127)</f>
        <v>163</v>
      </c>
      <c r="U127" s="204" t="str">
        <f t="shared" si="40"/>
        <v>DPT + 3</v>
      </c>
      <c r="V127" s="204" t="str">
        <f>IF(E127=0," ",IF(E127="H",IF(H127&lt;1999,VLOOKUP(K127,[27]Minimas!$A$15:$F$29,6),IF(AND(H127&gt;1998,H127&lt;2002),VLOOKUP(K127,[27]Minimas!$A$15:$F$29,5),IF(AND(H127&gt;2001,H127&lt;2004),VLOOKUP(K127,[27]Minimas!$A$15:$F$29,4),IF(AND(H127&gt;2003,H127&lt;2006),VLOOKUP(K127,[27]Minimas!$A$15:$F$29,3),VLOOKUP(K127,[27]Minimas!$A$15:$F$29,2))))),IF(H127&lt;1999,VLOOKUP(K127,[27]Minimas!$G$15:$L$29,6),IF(AND(H127&gt;1998,H127&lt;2002),VLOOKUP(K127,[27]Minimas!$G$15:$L$29,5),IF(AND(H127&gt;2001,H127&lt;2004),VLOOKUP(K127,[27]Minimas!$G$15:$L$29,4),IF(AND(H127&gt;2003,H127&lt;2006),VLOOKUP(K127,[27]Minimas!$G$15:$L$29,3),VLOOKUP(K127,[27]Minimas!$G$15:$L$29,2)))))))</f>
        <v>SE M73</v>
      </c>
      <c r="W127" s="205">
        <f t="shared" si="36"/>
        <v>210.73492450838367</v>
      </c>
      <c r="X127" s="257">
        <v>43506</v>
      </c>
      <c r="Y127" s="261" t="s">
        <v>660</v>
      </c>
      <c r="Z127" s="261" t="s">
        <v>661</v>
      </c>
      <c r="AA127" s="232"/>
      <c r="AB127" s="230">
        <f>T127-HLOOKUP(V127,Minimas!$C$3:$CD$12,2,FALSE)</f>
        <v>28</v>
      </c>
      <c r="AC127" s="230">
        <f>T127-HLOOKUP(V127,Minimas!$C$3:$CD$12,3,FALSE)</f>
        <v>3</v>
      </c>
      <c r="AD127" s="230">
        <f>T127-HLOOKUP(V127,Minimas!$C$3:$CD$12,4,FALSE)</f>
        <v>-22</v>
      </c>
      <c r="AE127" s="230">
        <f>T127-HLOOKUP(V127,Minimas!$C$3:$CD$12,5,FALSE)</f>
        <v>-47</v>
      </c>
      <c r="AF127" s="230">
        <f>T127-HLOOKUP(V127,Minimas!$C$3:$CD$12,6,FALSE)</f>
        <v>-77</v>
      </c>
      <c r="AG127" s="230">
        <f>T127-HLOOKUP(V127,Minimas!$C$3:$CD$12,7,FALSE)</f>
        <v>-97</v>
      </c>
      <c r="AH127" s="230">
        <f>T127-HLOOKUP(V127,Minimas!$C$3:$CD$12,8,FALSE)</f>
        <v>-117</v>
      </c>
      <c r="AI127" s="230">
        <f>T127-HLOOKUP(V127,Minimas!$C$3:$CD$12,9,FALSE)</f>
        <v>-137</v>
      </c>
      <c r="AJ127" s="230">
        <f>T127-HLOOKUP(V127,Minimas!$C$3:$CD$12,10,FALSE)</f>
        <v>-152</v>
      </c>
      <c r="AK127" s="231" t="str">
        <f t="shared" si="41"/>
        <v>DPT +</v>
      </c>
      <c r="AL127" s="232"/>
      <c r="AM127" s="232" t="str">
        <f t="shared" si="31"/>
        <v>DPT +</v>
      </c>
      <c r="AN127" s="232">
        <f t="shared" si="42"/>
        <v>3</v>
      </c>
      <c r="AO127" s="232"/>
      <c r="AP127" s="485"/>
      <c r="AQ127" s="485"/>
      <c r="AR127" s="485"/>
      <c r="AS127" s="485"/>
      <c r="AT127" s="485"/>
      <c r="AU127" s="485"/>
      <c r="AV127" s="485"/>
      <c r="AW127" s="485"/>
      <c r="AX127" s="485"/>
      <c r="AY127" s="485"/>
      <c r="AZ127" s="485"/>
      <c r="BA127" s="485"/>
      <c r="BB127" s="485"/>
      <c r="BC127" s="485"/>
      <c r="BD127" s="485"/>
      <c r="BE127" s="485"/>
      <c r="BF127" s="485"/>
      <c r="BG127" s="485"/>
      <c r="BH127" s="485"/>
      <c r="BI127" s="485"/>
      <c r="BJ127" s="485"/>
      <c r="BK127" s="485"/>
      <c r="BL127" s="485"/>
      <c r="BM127" s="485"/>
      <c r="BN127" s="485"/>
      <c r="BO127" s="485"/>
      <c r="BP127" s="485"/>
      <c r="BQ127" s="485"/>
      <c r="BR127" s="485"/>
      <c r="BS127" s="485"/>
      <c r="BT127" s="485"/>
      <c r="BU127" s="485"/>
      <c r="BV127" s="485"/>
      <c r="BW127" s="485"/>
      <c r="BX127" s="485"/>
      <c r="BY127" s="485"/>
      <c r="BZ127" s="485"/>
      <c r="CA127" s="485"/>
      <c r="CB127" s="485"/>
      <c r="CC127" s="485"/>
      <c r="CD127" s="485"/>
      <c r="CE127" s="485"/>
      <c r="CF127" s="485"/>
      <c r="CG127" s="485"/>
      <c r="CH127" s="485"/>
      <c r="CI127" s="485"/>
      <c r="CJ127" s="485"/>
      <c r="CK127" s="485"/>
      <c r="CL127" s="485"/>
      <c r="CM127" s="485"/>
      <c r="CN127" s="485"/>
      <c r="CO127" s="485"/>
      <c r="CP127" s="485"/>
      <c r="CQ127" s="485"/>
      <c r="CR127" s="485"/>
      <c r="CS127" s="485"/>
      <c r="CT127" s="485"/>
      <c r="CU127" s="485"/>
      <c r="CV127" s="485"/>
      <c r="CW127" s="485"/>
      <c r="CX127" s="485"/>
      <c r="CY127" s="485"/>
      <c r="CZ127" s="485"/>
      <c r="DA127" s="485"/>
      <c r="DB127" s="485"/>
      <c r="DC127" s="485"/>
      <c r="DD127" s="485"/>
      <c r="DE127" s="485"/>
      <c r="DF127" s="485"/>
      <c r="DG127" s="485"/>
      <c r="DH127" s="485"/>
      <c r="DI127" s="485"/>
      <c r="DJ127" s="485"/>
      <c r="DK127" s="485"/>
      <c r="DL127" s="485"/>
      <c r="DM127" s="485"/>
      <c r="DN127" s="485"/>
      <c r="DO127" s="485"/>
      <c r="DP127" s="485"/>
      <c r="DQ127" s="485"/>
      <c r="DR127" s="485"/>
      <c r="DS127" s="485"/>
      <c r="DT127" s="485"/>
    </row>
    <row r="128" spans="1:124" s="5" customFormat="1" ht="30" customHeight="1" x14ac:dyDescent="0.25">
      <c r="B128" s="524" t="s">
        <v>543</v>
      </c>
      <c r="C128" s="820">
        <v>445665</v>
      </c>
      <c r="D128" s="710"/>
      <c r="E128" s="476" t="s">
        <v>40</v>
      </c>
      <c r="F128" s="544" t="s">
        <v>264</v>
      </c>
      <c r="G128" s="551" t="s">
        <v>262</v>
      </c>
      <c r="H128" s="215">
        <v>1992</v>
      </c>
      <c r="I128" s="569" t="s">
        <v>322</v>
      </c>
      <c r="J128" s="476"/>
      <c r="K128" s="847">
        <v>72.8</v>
      </c>
      <c r="L128" s="118">
        <v>60</v>
      </c>
      <c r="M128" s="118">
        <v>64</v>
      </c>
      <c r="N128" s="118">
        <v>67</v>
      </c>
      <c r="O128" s="604">
        <f t="shared" si="33"/>
        <v>67</v>
      </c>
      <c r="P128" s="118">
        <v>90</v>
      </c>
      <c r="Q128" s="118">
        <v>93</v>
      </c>
      <c r="R128" s="118">
        <v>96</v>
      </c>
      <c r="S128" s="601">
        <f t="shared" si="34"/>
        <v>96</v>
      </c>
      <c r="T128" s="608">
        <f>IF(E128="","",IF(OR(O128=0,S128=0),0,O128+S128))</f>
        <v>163</v>
      </c>
      <c r="U128" s="612" t="str">
        <f t="shared" si="40"/>
        <v>DPT + 3</v>
      </c>
      <c r="V128" s="612" t="str">
        <f>IF(E128=0," ",IF(E128="H",IF(H128&lt;1999,VLOOKUP(K128,[3]Minimas!$A$15:$F$29,6),IF(AND(H128&gt;1998,H128&lt;2002),VLOOKUP(K128,[3]Minimas!$A$15:$F$29,5),IF(AND(H128&gt;2001,H128&lt;2004),VLOOKUP(K128,[3]Minimas!$A$15:$F$29,4),IF(AND(H128&gt;2003,H128&lt;2006),VLOOKUP(K128,[3]Minimas!$A$15:$F$29,3),VLOOKUP(K128,[3]Minimas!$A$15:$F$29,2))))),IF(H128&lt;1999,VLOOKUP(K128,[3]Minimas!$G$15:$L$29,6),IF(AND(H128&gt;1998,H128&lt;2002),VLOOKUP(K128,[3]Minimas!$G$15:$L$29,5),IF(AND(H128&gt;2001,H128&lt;2004),VLOOKUP(K128,[3]Minimas!$G$15:$L$29,4),IF(AND(H128&gt;2003,H128&lt;2006),VLOOKUP(K128,[3]Minimas!$G$15:$L$29,3),VLOOKUP(K128,[3]Minimas!$G$15:$L$29,2)))))))</f>
        <v>SE M73</v>
      </c>
      <c r="W128" s="614">
        <f t="shared" si="36"/>
        <v>209.89860430051436</v>
      </c>
      <c r="X128" s="257">
        <v>43610</v>
      </c>
      <c r="Y128" s="261" t="s">
        <v>892</v>
      </c>
      <c r="Z128" s="261" t="s">
        <v>829</v>
      </c>
      <c r="AA128" s="232"/>
      <c r="AB128" s="230">
        <f>T128-HLOOKUP(V128,[3]Minimas!$C$3:$CD$12,2,FALSE)</f>
        <v>28</v>
      </c>
      <c r="AC128" s="230">
        <f>T128-HLOOKUP(V128,[3]Minimas!$C$3:$CD$12,3,FALSE)</f>
        <v>3</v>
      </c>
      <c r="AD128" s="230">
        <f>T128-HLOOKUP(V128,[3]Minimas!$C$3:$CD$12,4,FALSE)</f>
        <v>-22</v>
      </c>
      <c r="AE128" s="230">
        <f>T128-HLOOKUP(V128,[3]Minimas!$C$3:$CD$12,5,FALSE)</f>
        <v>-47</v>
      </c>
      <c r="AF128" s="230">
        <f>T128-HLOOKUP(V128,[3]Minimas!$C$3:$CD$12,6,FALSE)</f>
        <v>-77</v>
      </c>
      <c r="AG128" s="230">
        <f>T128-HLOOKUP(V128,[3]Minimas!$C$3:$CD$12,7,FALSE)</f>
        <v>-97</v>
      </c>
      <c r="AH128" s="230">
        <f>T128-HLOOKUP(V128,[3]Minimas!$C$3:$CD$12,8,FALSE)</f>
        <v>-117</v>
      </c>
      <c r="AI128" s="230">
        <f>T128-HLOOKUP(V128,[3]Minimas!$C$3:$CD$12,9,FALSE)</f>
        <v>-137</v>
      </c>
      <c r="AJ128" s="230">
        <f>T128-HLOOKUP(V128,[3]Minimas!$C$3:$CD$12,10,FALSE)</f>
        <v>-152</v>
      </c>
      <c r="AK128" s="231" t="str">
        <f t="shared" si="41"/>
        <v>DPT +</v>
      </c>
      <c r="AL128" s="232"/>
      <c r="AM128" s="232" t="str">
        <f t="shared" si="31"/>
        <v>DPT +</v>
      </c>
      <c r="AN128" s="232">
        <f t="shared" si="42"/>
        <v>3</v>
      </c>
      <c r="AO128" s="232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  <c r="BF128" s="38"/>
      <c r="BG128" s="38"/>
      <c r="BH128" s="38"/>
      <c r="BI128" s="38"/>
      <c r="BJ128" s="38"/>
      <c r="BK128" s="38"/>
      <c r="BL128" s="38"/>
      <c r="BM128" s="38"/>
      <c r="BN128" s="38"/>
      <c r="BO128" s="38"/>
      <c r="BP128" s="38"/>
      <c r="BQ128" s="38"/>
      <c r="BR128" s="38"/>
      <c r="BS128" s="38"/>
      <c r="BT128" s="38"/>
      <c r="BU128" s="38"/>
      <c r="BV128" s="38"/>
      <c r="BW128" s="38"/>
      <c r="BX128" s="38"/>
      <c r="BY128" s="38"/>
      <c r="BZ128" s="38"/>
      <c r="CA128" s="38"/>
      <c r="CB128" s="38"/>
      <c r="CC128" s="38"/>
      <c r="CD128" s="38"/>
      <c r="CE128" s="38"/>
      <c r="CF128" s="38"/>
      <c r="CG128" s="38"/>
      <c r="CH128" s="38"/>
      <c r="CI128" s="38"/>
      <c r="CJ128" s="38"/>
      <c r="CK128" s="38"/>
      <c r="CL128" s="38"/>
      <c r="CM128" s="38"/>
      <c r="CN128" s="38"/>
      <c r="CO128" s="38"/>
      <c r="CP128" s="38"/>
      <c r="CQ128" s="38"/>
      <c r="CR128" s="38"/>
      <c r="CS128" s="38"/>
      <c r="CT128" s="38"/>
      <c r="CU128" s="38"/>
      <c r="CV128" s="38"/>
      <c r="CW128" s="38"/>
      <c r="CX128" s="38"/>
      <c r="CY128" s="38"/>
      <c r="CZ128" s="38"/>
      <c r="DA128" s="38"/>
      <c r="DB128" s="38"/>
      <c r="DC128" s="38"/>
      <c r="DD128" s="38"/>
      <c r="DE128" s="38"/>
      <c r="DF128" s="38"/>
      <c r="DG128" s="38"/>
      <c r="DH128" s="38"/>
      <c r="DI128" s="38"/>
      <c r="DJ128" s="38"/>
      <c r="DK128" s="38"/>
      <c r="DL128" s="38"/>
      <c r="DM128" s="38"/>
      <c r="DN128" s="38"/>
      <c r="DO128" s="38"/>
      <c r="DP128" s="38"/>
      <c r="DQ128" s="38"/>
      <c r="DR128" s="38"/>
      <c r="DS128" s="38"/>
      <c r="DT128" s="38"/>
    </row>
    <row r="129" spans="1:124" s="5" customFormat="1" ht="30" customHeight="1" x14ac:dyDescent="0.25">
      <c r="B129" s="136" t="s">
        <v>543</v>
      </c>
      <c r="C129" s="116">
        <v>443728</v>
      </c>
      <c r="D129" s="119"/>
      <c r="E129" s="175" t="s">
        <v>40</v>
      </c>
      <c r="F129" s="124" t="s">
        <v>360</v>
      </c>
      <c r="G129" s="125" t="s">
        <v>458</v>
      </c>
      <c r="H129" s="156">
        <v>1986</v>
      </c>
      <c r="I129" s="127" t="s">
        <v>610</v>
      </c>
      <c r="J129" s="104"/>
      <c r="K129" s="126">
        <v>72.5</v>
      </c>
      <c r="L129" s="109">
        <v>68</v>
      </c>
      <c r="M129" s="160">
        <v>-71</v>
      </c>
      <c r="N129" s="109">
        <v>72</v>
      </c>
      <c r="O129" s="242">
        <f t="shared" si="33"/>
        <v>72</v>
      </c>
      <c r="P129" s="160">
        <v>-88</v>
      </c>
      <c r="Q129" s="109">
        <v>90</v>
      </c>
      <c r="R129" s="160">
        <v>-92</v>
      </c>
      <c r="S129" s="202">
        <f t="shared" si="34"/>
        <v>90</v>
      </c>
      <c r="T129" s="203">
        <f>IF(E129="","",IF(OR(O129=0,S129=0),0,O129+S129))</f>
        <v>162</v>
      </c>
      <c r="U129" s="204" t="str">
        <f t="shared" si="40"/>
        <v>DPT + 2</v>
      </c>
      <c r="V129" s="204" t="str">
        <f>IF(E129=0," ",IF(E129="H",IF(H129&lt;1999,VLOOKUP(K129,Minimas!$A$15:$F$29,6),IF(AND(H129&gt;1998,H129&lt;2002),VLOOKUP(K129,Minimas!$A$15:$F$29,5),IF(AND(H129&gt;2001,H129&lt;2004),VLOOKUP(K129,Minimas!$A$15:$F$29,4),IF(AND(H129&gt;2003,H129&lt;2006),VLOOKUP(K129,Minimas!$A$15:$F$29,3),VLOOKUP(K129,Minimas!$A$15:$F$29,2))))),IF(H129&lt;1999,VLOOKUP(K129,Minimas!$G$15:$L$29,6),IF(AND(H129&gt;1998,H129&lt;2002),VLOOKUP(K129,Minimas!$G$15:$L$29,5),IF(AND(H129&gt;2001,H129&lt;2004),VLOOKUP(K129,Minimas!$G$15:$L$29,4),IF(AND(H129&gt;2003,H129&lt;2006),VLOOKUP(K129,Minimas!$G$15:$L$29,3),VLOOKUP(K129,Minimas!$G$15:$L$29,2)))))))</f>
        <v>SE M73</v>
      </c>
      <c r="W129" s="205">
        <f t="shared" si="36"/>
        <v>209.10773280584093</v>
      </c>
      <c r="X129" s="257">
        <v>43484</v>
      </c>
      <c r="Y129" s="261" t="s">
        <v>630</v>
      </c>
      <c r="Z129" s="261" t="s">
        <v>581</v>
      </c>
      <c r="AA129" s="232"/>
      <c r="AB129" s="230">
        <f>T129-HLOOKUP(V129,Minimas!$C$3:$CD$12,2,FALSE)</f>
        <v>27</v>
      </c>
      <c r="AC129" s="230">
        <f>T129-HLOOKUP(V129,Minimas!$C$3:$CD$12,3,FALSE)</f>
        <v>2</v>
      </c>
      <c r="AD129" s="230">
        <f>T129-HLOOKUP(V129,Minimas!$C$3:$CD$12,4,FALSE)</f>
        <v>-23</v>
      </c>
      <c r="AE129" s="230">
        <f>T129-HLOOKUP(V129,Minimas!$C$3:$CD$12,5,FALSE)</f>
        <v>-48</v>
      </c>
      <c r="AF129" s="230">
        <f>T129-HLOOKUP(V129,Minimas!$C$3:$CD$12,6,FALSE)</f>
        <v>-78</v>
      </c>
      <c r="AG129" s="230">
        <f>T129-HLOOKUP(V129,Minimas!$C$3:$CD$12,7,FALSE)</f>
        <v>-98</v>
      </c>
      <c r="AH129" s="230">
        <f>T129-HLOOKUP(V129,Minimas!$C$3:$CD$12,8,FALSE)</f>
        <v>-118</v>
      </c>
      <c r="AI129" s="230">
        <f>T129-HLOOKUP(V129,Minimas!$C$3:$CD$12,9,FALSE)</f>
        <v>-138</v>
      </c>
      <c r="AJ129" s="230">
        <f>T129-HLOOKUP(V129,Minimas!$C$3:$CD$12,10,FALSE)</f>
        <v>-153</v>
      </c>
      <c r="AK129" s="231" t="str">
        <f t="shared" si="41"/>
        <v>DPT +</v>
      </c>
      <c r="AL129" s="232"/>
      <c r="AM129" s="232" t="str">
        <f t="shared" si="31"/>
        <v>DPT +</v>
      </c>
      <c r="AN129" s="232">
        <f t="shared" si="42"/>
        <v>2</v>
      </c>
      <c r="AO129" s="232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  <c r="BF129" s="38"/>
      <c r="BG129" s="38"/>
      <c r="BH129" s="38"/>
      <c r="BI129" s="38"/>
      <c r="BJ129" s="38"/>
      <c r="BK129" s="38"/>
      <c r="BL129" s="38"/>
      <c r="BM129" s="38"/>
      <c r="BN129" s="38"/>
      <c r="BO129" s="38"/>
      <c r="BP129" s="38"/>
      <c r="BQ129" s="38"/>
      <c r="BR129" s="38"/>
      <c r="BS129" s="38"/>
      <c r="BT129" s="38"/>
      <c r="BU129" s="38"/>
      <c r="BV129" s="38"/>
      <c r="BW129" s="38"/>
      <c r="BX129" s="38"/>
      <c r="BY129" s="38"/>
      <c r="BZ129" s="38"/>
      <c r="CA129" s="38"/>
      <c r="CB129" s="38"/>
      <c r="CC129" s="38"/>
      <c r="CD129" s="38"/>
      <c r="CE129" s="38"/>
      <c r="CF129" s="38"/>
      <c r="CG129" s="38"/>
      <c r="CH129" s="38"/>
      <c r="CI129" s="38"/>
      <c r="CJ129" s="38"/>
      <c r="CK129" s="38"/>
      <c r="CL129" s="38"/>
      <c r="CM129" s="38"/>
      <c r="CN129" s="38"/>
      <c r="CO129" s="38"/>
      <c r="CP129" s="38"/>
      <c r="CQ129" s="38"/>
      <c r="CR129" s="38"/>
      <c r="CS129" s="38"/>
      <c r="CT129" s="38"/>
      <c r="CU129" s="38"/>
      <c r="CV129" s="38"/>
      <c r="CW129" s="38"/>
      <c r="CX129" s="38"/>
      <c r="CY129" s="38"/>
      <c r="CZ129" s="38"/>
      <c r="DA129" s="38"/>
      <c r="DB129" s="38"/>
      <c r="DC129" s="38"/>
      <c r="DD129" s="38"/>
      <c r="DE129" s="38"/>
      <c r="DF129" s="38"/>
      <c r="DG129" s="38"/>
      <c r="DH129" s="38"/>
      <c r="DI129" s="38"/>
      <c r="DJ129" s="38"/>
      <c r="DK129" s="38"/>
      <c r="DL129" s="38"/>
      <c r="DM129" s="38"/>
      <c r="DN129" s="38"/>
      <c r="DO129" s="38"/>
      <c r="DP129" s="38"/>
      <c r="DQ129" s="38"/>
      <c r="DR129" s="38"/>
      <c r="DS129" s="38"/>
      <c r="DT129" s="38"/>
    </row>
    <row r="130" spans="1:124" s="5" customFormat="1" ht="30" customHeight="1" x14ac:dyDescent="0.25">
      <c r="B130" s="136" t="s">
        <v>543</v>
      </c>
      <c r="C130" s="166">
        <v>75093</v>
      </c>
      <c r="D130" s="171"/>
      <c r="E130" s="476" t="s">
        <v>40</v>
      </c>
      <c r="F130" s="143" t="s">
        <v>259</v>
      </c>
      <c r="G130" s="144" t="s">
        <v>260</v>
      </c>
      <c r="H130" s="145">
        <v>1976</v>
      </c>
      <c r="I130" s="172" t="s">
        <v>670</v>
      </c>
      <c r="J130" s="146" t="s">
        <v>44</v>
      </c>
      <c r="K130" s="147">
        <v>73</v>
      </c>
      <c r="L130" s="118">
        <v>65</v>
      </c>
      <c r="M130" s="118">
        <v>-75</v>
      </c>
      <c r="N130" s="118">
        <v>75</v>
      </c>
      <c r="O130" s="242">
        <f t="shared" si="33"/>
        <v>75</v>
      </c>
      <c r="P130" s="118">
        <v>85</v>
      </c>
      <c r="Q130" s="118">
        <v>-95</v>
      </c>
      <c r="R130" s="118">
        <v>-95</v>
      </c>
      <c r="S130" s="202">
        <f t="shared" si="34"/>
        <v>85</v>
      </c>
      <c r="T130" s="203">
        <f>IF(E130="","",O130+S130)</f>
        <v>160</v>
      </c>
      <c r="U130" s="204" t="str">
        <f t="shared" si="40"/>
        <v>DPT + 0</v>
      </c>
      <c r="V130" s="204" t="str">
        <f>IF(E130=0," ",IF(E130="H",IF(H130&lt;1999,VLOOKUP(K130,[26]Minimas!$A$15:$F$29,6),IF(AND(H130&gt;1998,H130&lt;2002),VLOOKUP(K130,[26]Minimas!$A$15:$F$29,5),IF(AND(H130&gt;2001,H130&lt;2004),VLOOKUP(K130,[26]Minimas!$A$15:$F$29,4),IF(AND(H130&gt;2003,H130&lt;2006),VLOOKUP(K130,[26]Minimas!$A$15:$F$29,3),VLOOKUP(K130,[26]Minimas!$A$15:$F$29,2))))),IF(H130&lt;1999,VLOOKUP(K130,[26]Minimas!$G$15:$L$29,6),IF(AND(H130&gt;1998,H130&lt;2002),VLOOKUP(K130,[26]Minimas!$G$15:$L$29,5),IF(AND(H130&gt;2001,H130&lt;2004),VLOOKUP(K130,[26]Minimas!$G$15:$L$29,4),IF(AND(H130&gt;2003,H130&lt;2006),VLOOKUP(K130,[26]Minimas!$G$15:$L$29,3),VLOOKUP(K130,[26]Minimas!$G$15:$L$29,2)))))))</f>
        <v>SE M73</v>
      </c>
      <c r="W130" s="205">
        <f t="shared" si="36"/>
        <v>205.71132942792781</v>
      </c>
      <c r="X130" s="257">
        <v>43506</v>
      </c>
      <c r="Y130" s="261" t="s">
        <v>660</v>
      </c>
      <c r="Z130" s="261" t="s">
        <v>661</v>
      </c>
      <c r="AA130" s="232"/>
      <c r="AB130" s="230">
        <f>T130-HLOOKUP(V130,Minimas!$C$3:$CD$12,2,FALSE)</f>
        <v>25</v>
      </c>
      <c r="AC130" s="230">
        <f>T130-HLOOKUP(V130,Minimas!$C$3:$CD$12,3,FALSE)</f>
        <v>0</v>
      </c>
      <c r="AD130" s="230">
        <f>T130-HLOOKUP(V130,Minimas!$C$3:$CD$12,4,FALSE)</f>
        <v>-25</v>
      </c>
      <c r="AE130" s="230">
        <f>T130-HLOOKUP(V130,Minimas!$C$3:$CD$12,5,FALSE)</f>
        <v>-50</v>
      </c>
      <c r="AF130" s="230">
        <f>T130-HLOOKUP(V130,Minimas!$C$3:$CD$12,6,FALSE)</f>
        <v>-80</v>
      </c>
      <c r="AG130" s="230">
        <f>T130-HLOOKUP(V130,Minimas!$C$3:$CD$12,7,FALSE)</f>
        <v>-100</v>
      </c>
      <c r="AH130" s="230">
        <f>T130-HLOOKUP(V130,Minimas!$C$3:$CD$12,8,FALSE)</f>
        <v>-120</v>
      </c>
      <c r="AI130" s="230">
        <f>T130-HLOOKUP(V130,Minimas!$C$3:$CD$12,9,FALSE)</f>
        <v>-140</v>
      </c>
      <c r="AJ130" s="230">
        <f>T130-HLOOKUP(V130,Minimas!$C$3:$CD$12,10,FALSE)</f>
        <v>-155</v>
      </c>
      <c r="AK130" s="231" t="str">
        <f t="shared" si="41"/>
        <v>DPT +</v>
      </c>
      <c r="AL130" s="232"/>
      <c r="AM130" s="232" t="str">
        <f t="shared" ref="AM130:AM160" si="43">IF(AK130="","",AK130)</f>
        <v>DPT +</v>
      </c>
      <c r="AN130" s="232">
        <f t="shared" si="42"/>
        <v>0</v>
      </c>
      <c r="AO130" s="232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  <c r="BF130" s="38"/>
      <c r="BG130" s="38"/>
      <c r="BH130" s="38"/>
      <c r="BI130" s="38"/>
      <c r="BJ130" s="38"/>
      <c r="BK130" s="38"/>
      <c r="BL130" s="38"/>
      <c r="BM130" s="38"/>
      <c r="BN130" s="38"/>
      <c r="BO130" s="38"/>
      <c r="BP130" s="38"/>
      <c r="BQ130" s="38"/>
      <c r="BR130" s="38"/>
      <c r="BS130" s="38"/>
      <c r="BT130" s="38"/>
      <c r="BU130" s="38"/>
      <c r="BV130" s="38"/>
      <c r="BW130" s="38"/>
      <c r="BX130" s="38"/>
      <c r="BY130" s="38"/>
      <c r="BZ130" s="38"/>
      <c r="CA130" s="38"/>
      <c r="CB130" s="38"/>
      <c r="CC130" s="38"/>
      <c r="CD130" s="38"/>
      <c r="CE130" s="38"/>
      <c r="CF130" s="38"/>
      <c r="CG130" s="38"/>
      <c r="CH130" s="38"/>
      <c r="CI130" s="38"/>
      <c r="CJ130" s="38"/>
      <c r="CK130" s="38"/>
      <c r="CL130" s="38"/>
      <c r="CM130" s="38"/>
      <c r="CN130" s="38"/>
      <c r="CO130" s="38"/>
      <c r="CP130" s="38"/>
      <c r="CQ130" s="38"/>
      <c r="CR130" s="38"/>
      <c r="CS130" s="38"/>
      <c r="CT130" s="38"/>
      <c r="CU130" s="38"/>
      <c r="CV130" s="38"/>
      <c r="CW130" s="38"/>
      <c r="CX130" s="38"/>
      <c r="CY130" s="38"/>
      <c r="CZ130" s="38"/>
      <c r="DA130" s="38"/>
      <c r="DB130" s="38"/>
      <c r="DC130" s="38"/>
      <c r="DD130" s="38"/>
      <c r="DE130" s="38"/>
      <c r="DF130" s="38"/>
      <c r="DG130" s="38"/>
      <c r="DH130" s="38"/>
      <c r="DI130" s="38"/>
      <c r="DJ130" s="38"/>
      <c r="DK130" s="38"/>
      <c r="DL130" s="38"/>
      <c r="DM130" s="38"/>
      <c r="DN130" s="38"/>
      <c r="DO130" s="38"/>
      <c r="DP130" s="38"/>
      <c r="DQ130" s="38"/>
      <c r="DR130" s="38"/>
      <c r="DS130" s="38"/>
      <c r="DT130" s="38"/>
    </row>
    <row r="131" spans="1:124" s="5" customFormat="1" ht="30" customHeight="1" x14ac:dyDescent="0.25">
      <c r="B131" s="685" t="s">
        <v>543</v>
      </c>
      <c r="C131" s="470">
        <v>366512</v>
      </c>
      <c r="D131" s="243"/>
      <c r="E131" s="478" t="s">
        <v>40</v>
      </c>
      <c r="F131" s="245" t="s">
        <v>362</v>
      </c>
      <c r="G131" s="150" t="s">
        <v>363</v>
      </c>
      <c r="H131" s="246">
        <v>1987</v>
      </c>
      <c r="I131" s="247" t="s">
        <v>173</v>
      </c>
      <c r="J131" s="244" t="s">
        <v>44</v>
      </c>
      <c r="K131" s="190">
        <v>72.099999999999994</v>
      </c>
      <c r="L131" s="154">
        <v>65</v>
      </c>
      <c r="M131" s="154">
        <v>70</v>
      </c>
      <c r="N131" s="154">
        <v>-75</v>
      </c>
      <c r="O131" s="242">
        <f t="shared" si="33"/>
        <v>70</v>
      </c>
      <c r="P131" s="118">
        <v>85</v>
      </c>
      <c r="Q131" s="118">
        <v>-90</v>
      </c>
      <c r="R131" s="118">
        <v>-90</v>
      </c>
      <c r="S131" s="202">
        <f t="shared" si="34"/>
        <v>85</v>
      </c>
      <c r="T131" s="203">
        <f>IF(E131="","",IF(OR(O131=0,S131=0),0,O131+S131))</f>
        <v>155</v>
      </c>
      <c r="U131" s="204" t="str">
        <f t="shared" si="40"/>
        <v>DEB 20</v>
      </c>
      <c r="V131" s="204" t="str">
        <f>IF(E131=0," ",IF(E131="H",IF(H131&lt;1999,VLOOKUP(K131,[25]Minimas!$A$15:$F$29,6),IF(AND(H131&gt;1998,H131&lt;2002),VLOOKUP(K131,[25]Minimas!$A$15:$F$29,5),IF(AND(H131&gt;2001,H131&lt;2004),VLOOKUP(K131,[25]Minimas!$A$15:$F$29,4),IF(AND(H131&gt;2003,H131&lt;2006),VLOOKUP(K131,[25]Minimas!$A$15:$F$29,3),VLOOKUP(K131,[25]Minimas!$A$15:$F$29,2))))),IF(H131&lt;1999,VLOOKUP(K131,[25]Minimas!$G$15:$L$29,6),IF(AND(H131&gt;1998,H131&lt;2002),VLOOKUP(K131,[25]Minimas!$G$15:$L$29,5),IF(AND(H131&gt;2001,H131&lt;2004),VLOOKUP(K131,[25]Minimas!$G$15:$L$29,4),IF(AND(H131&gt;2003,H131&lt;2006),VLOOKUP(K131,[25]Minimas!$G$15:$L$29,3),VLOOKUP(K131,[25]Minimas!$G$15:$L$29,2)))))))</f>
        <v>SE M73</v>
      </c>
      <c r="W131" s="205">
        <f t="shared" si="36"/>
        <v>200.71440303015319</v>
      </c>
      <c r="X131" s="257">
        <v>43492</v>
      </c>
      <c r="Y131" s="261" t="s">
        <v>525</v>
      </c>
      <c r="Z131" s="261" t="s">
        <v>695</v>
      </c>
      <c r="AA131" s="232"/>
      <c r="AB131" s="230">
        <f>T131-HLOOKUP(V131,Minimas!$C$3:$CD$12,2,FALSE)</f>
        <v>20</v>
      </c>
      <c r="AC131" s="230">
        <f>T131-HLOOKUP(V131,Minimas!$C$3:$CD$12,3,FALSE)</f>
        <v>-5</v>
      </c>
      <c r="AD131" s="230">
        <f>T131-HLOOKUP(V131,Minimas!$C$3:$CD$12,4,FALSE)</f>
        <v>-30</v>
      </c>
      <c r="AE131" s="230">
        <f>T131-HLOOKUP(V131,Minimas!$C$3:$CD$12,5,FALSE)</f>
        <v>-55</v>
      </c>
      <c r="AF131" s="230">
        <f>T131-HLOOKUP(V131,Minimas!$C$3:$CD$12,6,FALSE)</f>
        <v>-85</v>
      </c>
      <c r="AG131" s="230">
        <f>T131-HLOOKUP(V131,Minimas!$C$3:$CD$12,7,FALSE)</f>
        <v>-105</v>
      </c>
      <c r="AH131" s="230">
        <f>T131-HLOOKUP(V131,Minimas!$C$3:$CD$12,8,FALSE)</f>
        <v>-125</v>
      </c>
      <c r="AI131" s="230">
        <f>T131-HLOOKUP(V131,Minimas!$C$3:$CD$12,9,FALSE)</f>
        <v>-145</v>
      </c>
      <c r="AJ131" s="230">
        <f>T131-HLOOKUP(V131,Minimas!$C$3:$CD$12,10,FALSE)</f>
        <v>-160</v>
      </c>
      <c r="AK131" s="231" t="str">
        <f t="shared" si="41"/>
        <v>DEB</v>
      </c>
      <c r="AL131" s="232"/>
      <c r="AM131" s="232" t="str">
        <f t="shared" si="43"/>
        <v>DEB</v>
      </c>
      <c r="AN131" s="232">
        <f t="shared" si="42"/>
        <v>20</v>
      </c>
      <c r="AO131" s="232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  <c r="BF131" s="38"/>
      <c r="BG131" s="38"/>
      <c r="BH131" s="38"/>
      <c r="BI131" s="38"/>
      <c r="BJ131" s="38"/>
      <c r="BK131" s="38"/>
      <c r="BL131" s="38"/>
      <c r="BM131" s="38"/>
      <c r="BN131" s="38"/>
      <c r="BO131" s="38"/>
      <c r="BP131" s="38"/>
      <c r="BQ131" s="38"/>
      <c r="BR131" s="38"/>
      <c r="BS131" s="38"/>
      <c r="BT131" s="38"/>
      <c r="BU131" s="38"/>
      <c r="BV131" s="38"/>
      <c r="BW131" s="38"/>
      <c r="BX131" s="38"/>
      <c r="BY131" s="38"/>
      <c r="BZ131" s="38"/>
      <c r="CA131" s="38"/>
      <c r="CB131" s="38"/>
      <c r="CC131" s="38"/>
      <c r="CD131" s="38"/>
      <c r="CE131" s="38"/>
      <c r="CF131" s="38"/>
      <c r="CG131" s="38"/>
      <c r="CH131" s="38"/>
      <c r="CI131" s="38"/>
      <c r="CJ131" s="38"/>
      <c r="CK131" s="38"/>
      <c r="CL131" s="38"/>
      <c r="CM131" s="38"/>
      <c r="CN131" s="38"/>
      <c r="CO131" s="38"/>
      <c r="CP131" s="38"/>
      <c r="CQ131" s="38"/>
      <c r="CR131" s="38"/>
      <c r="CS131" s="38"/>
      <c r="CT131" s="38"/>
      <c r="CU131" s="38"/>
      <c r="CV131" s="38"/>
      <c r="CW131" s="38"/>
      <c r="CX131" s="38"/>
      <c r="CY131" s="38"/>
      <c r="CZ131" s="38"/>
      <c r="DA131" s="38"/>
      <c r="DB131" s="38"/>
      <c r="DC131" s="38"/>
      <c r="DD131" s="38"/>
      <c r="DE131" s="38"/>
      <c r="DF131" s="38"/>
      <c r="DG131" s="38"/>
      <c r="DH131" s="38"/>
      <c r="DI131" s="38"/>
      <c r="DJ131" s="38"/>
      <c r="DK131" s="38"/>
      <c r="DL131" s="38"/>
      <c r="DM131" s="38"/>
      <c r="DN131" s="38"/>
      <c r="DO131" s="38"/>
      <c r="DP131" s="38"/>
      <c r="DQ131" s="38"/>
      <c r="DR131" s="38"/>
      <c r="DS131" s="38"/>
      <c r="DT131" s="38"/>
    </row>
    <row r="132" spans="1:124" s="5" customFormat="1" ht="30" customHeight="1" x14ac:dyDescent="0.3">
      <c r="B132" s="136" t="s">
        <v>543</v>
      </c>
      <c r="C132" s="472">
        <v>435285</v>
      </c>
      <c r="D132" s="196"/>
      <c r="E132" s="476" t="s">
        <v>40</v>
      </c>
      <c r="F132" s="196" t="s">
        <v>533</v>
      </c>
      <c r="G132" s="196" t="s">
        <v>532</v>
      </c>
      <c r="H132" s="228">
        <v>1992</v>
      </c>
      <c r="I132" s="127" t="s">
        <v>155</v>
      </c>
      <c r="J132" s="104" t="s">
        <v>44</v>
      </c>
      <c r="K132" s="229">
        <v>68.5</v>
      </c>
      <c r="L132" s="227">
        <v>-61</v>
      </c>
      <c r="M132" s="226">
        <v>61</v>
      </c>
      <c r="N132" s="227">
        <v>-63</v>
      </c>
      <c r="O132" s="250">
        <f t="shared" si="33"/>
        <v>61</v>
      </c>
      <c r="P132" s="227">
        <v>-85</v>
      </c>
      <c r="Q132" s="226">
        <v>85</v>
      </c>
      <c r="R132" s="227">
        <v>-88</v>
      </c>
      <c r="S132" s="202">
        <f t="shared" si="34"/>
        <v>85</v>
      </c>
      <c r="T132" s="203">
        <f>IF(E132="","",IF(OR(O132=0,S132=0),0,O132+S132))</f>
        <v>146</v>
      </c>
      <c r="U132" s="204" t="str">
        <f t="shared" si="40"/>
        <v>DEB 11</v>
      </c>
      <c r="V132" s="204" t="str">
        <f>IF(E132=0," ",IF(E132="H",IF(H132&lt;1999,VLOOKUP(K132,Minimas!$A$15:$F$29,6),IF(AND(H132&gt;1998,H132&lt;2002),VLOOKUP(K132,Minimas!$A$15:$F$29,5),IF(AND(H132&gt;2001,H132&lt;2004),VLOOKUP(K132,Minimas!$A$15:$F$29,4),IF(AND(H132&gt;2003,H132&lt;2006),VLOOKUP(K132,Minimas!$A$15:$F$29,3),VLOOKUP(K132,Minimas!$A$15:$F$29,2))))),IF(H132&lt;1999,VLOOKUP(K132,Minimas!$G$15:$L$29,6),IF(AND(H132&gt;1998,H132&lt;2002),VLOOKUP(K132,Minimas!$G$15:$L$29,5),IF(AND(H132&gt;2001,H132&lt;2004),VLOOKUP(K132,Minimas!$G$15:$L$29,4),IF(AND(H132&gt;2003,H132&lt;2006),VLOOKUP(K132,Minimas!$G$15:$L$29,3),VLOOKUP(K132,Minimas!$G$15:$L$29,2)))))))</f>
        <v>SE M73</v>
      </c>
      <c r="W132" s="205">
        <f t="shared" si="36"/>
        <v>194.93820182811086</v>
      </c>
      <c r="X132" s="184">
        <v>43435</v>
      </c>
      <c r="Y132" s="284" t="s">
        <v>526</v>
      </c>
      <c r="Z132" s="284" t="s">
        <v>514</v>
      </c>
      <c r="AA132" s="232"/>
      <c r="AB132" s="230">
        <f>T132-HLOOKUP(V132,Minimas!$C$3:$CD$12,2,FALSE)</f>
        <v>11</v>
      </c>
      <c r="AC132" s="230">
        <f>T132-HLOOKUP(V132,Minimas!$C$3:$CD$12,3,FALSE)</f>
        <v>-14</v>
      </c>
      <c r="AD132" s="230">
        <f>T132-HLOOKUP(V132,Minimas!$C$3:$CD$12,4,FALSE)</f>
        <v>-39</v>
      </c>
      <c r="AE132" s="230">
        <f>T132-HLOOKUP(V132,Minimas!$C$3:$CD$12,5,FALSE)</f>
        <v>-64</v>
      </c>
      <c r="AF132" s="230">
        <f>T132-HLOOKUP(V132,Minimas!$C$3:$CD$12,6,FALSE)</f>
        <v>-94</v>
      </c>
      <c r="AG132" s="230">
        <f>T132-HLOOKUP(V132,Minimas!$C$3:$CD$12,7,FALSE)</f>
        <v>-114</v>
      </c>
      <c r="AH132" s="230">
        <f>T132-HLOOKUP(V132,Minimas!$C$3:$CD$12,8,FALSE)</f>
        <v>-134</v>
      </c>
      <c r="AI132" s="230">
        <f>T132-HLOOKUP(V132,Minimas!$C$3:$CD$12,9,FALSE)</f>
        <v>-154</v>
      </c>
      <c r="AJ132" s="230">
        <f>T132-HLOOKUP(V132,Minimas!$C$3:$CD$12,10,FALSE)</f>
        <v>-169</v>
      </c>
      <c r="AK132" s="231" t="str">
        <f t="shared" si="41"/>
        <v>DEB</v>
      </c>
      <c r="AL132" s="232"/>
      <c r="AM132" s="232" t="str">
        <f t="shared" si="43"/>
        <v>DEB</v>
      </c>
      <c r="AN132" s="232">
        <f t="shared" si="42"/>
        <v>11</v>
      </c>
      <c r="AO132" s="232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  <c r="BF132" s="38"/>
      <c r="BG132" s="38"/>
      <c r="BH132" s="38"/>
      <c r="BI132" s="38"/>
      <c r="BJ132" s="38"/>
      <c r="BK132" s="38"/>
      <c r="BL132" s="38"/>
      <c r="BM132" s="38"/>
      <c r="BN132" s="38"/>
      <c r="BO132" s="38"/>
      <c r="BP132" s="38"/>
      <c r="BQ132" s="38"/>
      <c r="BR132" s="38"/>
      <c r="BS132" s="38"/>
      <c r="BT132" s="38"/>
      <c r="BU132" s="38"/>
      <c r="BV132" s="38"/>
      <c r="BW132" s="38"/>
      <c r="BX132" s="38"/>
      <c r="BY132" s="38"/>
      <c r="BZ132" s="38"/>
      <c r="CA132" s="38"/>
      <c r="CB132" s="38"/>
      <c r="CC132" s="38"/>
      <c r="CD132" s="38"/>
      <c r="CE132" s="38"/>
      <c r="CF132" s="38"/>
      <c r="CG132" s="38"/>
      <c r="CH132" s="38"/>
      <c r="CI132" s="38"/>
      <c r="CJ132" s="38"/>
      <c r="CK132" s="38"/>
      <c r="CL132" s="38"/>
      <c r="CM132" s="38"/>
      <c r="CN132" s="38"/>
      <c r="CO132" s="38"/>
      <c r="CP132" s="38"/>
      <c r="CQ132" s="38"/>
      <c r="CR132" s="38"/>
      <c r="CS132" s="38"/>
      <c r="CT132" s="38"/>
      <c r="CU132" s="38"/>
      <c r="CV132" s="38"/>
      <c r="CW132" s="38"/>
      <c r="CX132" s="38"/>
      <c r="CY132" s="38"/>
      <c r="CZ132" s="38"/>
      <c r="DA132" s="38"/>
      <c r="DB132" s="38"/>
      <c r="DC132" s="38"/>
      <c r="DD132" s="38"/>
      <c r="DE132" s="38"/>
      <c r="DF132" s="38"/>
      <c r="DG132" s="38"/>
      <c r="DH132" s="38"/>
      <c r="DI132" s="38"/>
      <c r="DJ132" s="38"/>
      <c r="DK132" s="38"/>
      <c r="DL132" s="38"/>
      <c r="DM132" s="38"/>
      <c r="DN132" s="38"/>
      <c r="DO132" s="38"/>
      <c r="DP132" s="38"/>
      <c r="DQ132" s="38"/>
      <c r="DR132" s="38"/>
      <c r="DS132" s="38"/>
      <c r="DT132" s="38"/>
    </row>
    <row r="133" spans="1:124" s="5" customFormat="1" ht="30" customHeight="1" x14ac:dyDescent="0.3">
      <c r="A133" s="484"/>
      <c r="B133" s="136" t="s">
        <v>543</v>
      </c>
      <c r="C133" s="116">
        <v>441232</v>
      </c>
      <c r="D133" s="119"/>
      <c r="E133" s="175" t="s">
        <v>40</v>
      </c>
      <c r="F133" s="124" t="s">
        <v>459</v>
      </c>
      <c r="G133" s="125" t="s">
        <v>311</v>
      </c>
      <c r="H133" s="156">
        <v>1994</v>
      </c>
      <c r="I133" s="127" t="s">
        <v>184</v>
      </c>
      <c r="J133" s="104" t="s">
        <v>44</v>
      </c>
      <c r="K133" s="126">
        <v>72</v>
      </c>
      <c r="L133" s="133">
        <v>60</v>
      </c>
      <c r="M133" s="133">
        <v>65</v>
      </c>
      <c r="N133" s="130">
        <v>-70</v>
      </c>
      <c r="O133" s="242">
        <f t="shared" si="33"/>
        <v>65</v>
      </c>
      <c r="P133" s="133">
        <v>80</v>
      </c>
      <c r="Q133" s="130">
        <v>-85</v>
      </c>
      <c r="R133" s="130">
        <v>-85</v>
      </c>
      <c r="S133" s="202">
        <f t="shared" si="34"/>
        <v>80</v>
      </c>
      <c r="T133" s="203">
        <f>IF(E133="","",IF(OR(O133=0,S133=0),0,O133+S133))</f>
        <v>145</v>
      </c>
      <c r="U133" s="204" t="str">
        <f t="shared" si="40"/>
        <v>DEB 10</v>
      </c>
      <c r="V133" s="204" t="str">
        <f>IF(E133=0," ",IF(E133="H",IF(H133&lt;1999,VLOOKUP(K133,Minimas!$A$15:$F$29,6),IF(AND(H133&gt;1998,H133&lt;2002),VLOOKUP(K133,Minimas!$A$15:$F$29,5),IF(AND(H133&gt;2001,H133&lt;2004),VLOOKUP(K133,Minimas!$A$15:$F$29,4),IF(AND(H133&gt;2003,H133&lt;2006),VLOOKUP(K133,Minimas!$A$15:$F$29,3),VLOOKUP(K133,Minimas!$A$15:$F$29,2))))),IF(H133&lt;1999,VLOOKUP(K133,Minimas!$G$15:$L$29,6),IF(AND(H133&gt;1998,H133&lt;2002),VLOOKUP(K133,Minimas!$G$15:$L$29,5),IF(AND(H133&gt;2001,H133&lt;2004),VLOOKUP(K133,Minimas!$G$15:$L$29,4),IF(AND(H133&gt;2003,H133&lt;2006),VLOOKUP(K133,Minimas!$G$15:$L$29,3),VLOOKUP(K133,Minimas!$G$15:$L$29,2)))))))</f>
        <v>SE M73</v>
      </c>
      <c r="W133" s="205">
        <f t="shared" si="36"/>
        <v>187.91668870858351</v>
      </c>
      <c r="X133" s="184">
        <v>43429</v>
      </c>
      <c r="Y133" s="284" t="s">
        <v>509</v>
      </c>
      <c r="Z133" s="284" t="s">
        <v>510</v>
      </c>
      <c r="AA133" s="232"/>
      <c r="AB133" s="230">
        <f>T133-HLOOKUP(V133,Minimas!$C$3:$CD$12,2,FALSE)</f>
        <v>10</v>
      </c>
      <c r="AC133" s="230">
        <f>T133-HLOOKUP(V133,Minimas!$C$3:$CD$12,3,FALSE)</f>
        <v>-15</v>
      </c>
      <c r="AD133" s="230">
        <f>T133-HLOOKUP(V133,Minimas!$C$3:$CD$12,4,FALSE)</f>
        <v>-40</v>
      </c>
      <c r="AE133" s="230">
        <f>T133-HLOOKUP(V133,Minimas!$C$3:$CD$12,5,FALSE)</f>
        <v>-65</v>
      </c>
      <c r="AF133" s="230">
        <f>T133-HLOOKUP(V133,Minimas!$C$3:$CD$12,6,FALSE)</f>
        <v>-95</v>
      </c>
      <c r="AG133" s="230">
        <f>T133-HLOOKUP(V133,Minimas!$C$3:$CD$12,7,FALSE)</f>
        <v>-115</v>
      </c>
      <c r="AH133" s="230">
        <f>T133-HLOOKUP(V133,Minimas!$C$3:$CD$12,8,FALSE)</f>
        <v>-135</v>
      </c>
      <c r="AI133" s="230">
        <f>T133-HLOOKUP(V133,Minimas!$C$3:$CD$12,9,FALSE)</f>
        <v>-155</v>
      </c>
      <c r="AJ133" s="230">
        <f>T133-HLOOKUP(V133,Minimas!$C$3:$CD$12,10,FALSE)</f>
        <v>-170</v>
      </c>
      <c r="AK133" s="231" t="str">
        <f t="shared" si="41"/>
        <v>DEB</v>
      </c>
      <c r="AL133" s="232"/>
      <c r="AM133" s="232" t="str">
        <f t="shared" si="43"/>
        <v>DEB</v>
      </c>
      <c r="AN133" s="232">
        <f t="shared" si="42"/>
        <v>10</v>
      </c>
      <c r="AO133" s="232"/>
      <c r="AP133" s="485"/>
      <c r="AQ133" s="485"/>
      <c r="AR133" s="485"/>
      <c r="AS133" s="485"/>
      <c r="AT133" s="485"/>
      <c r="AU133" s="485"/>
      <c r="AV133" s="485"/>
      <c r="AW133" s="485"/>
      <c r="AX133" s="485"/>
      <c r="AY133" s="485"/>
      <c r="AZ133" s="485"/>
      <c r="BA133" s="485"/>
      <c r="BB133" s="485"/>
      <c r="BC133" s="485"/>
      <c r="BD133" s="485"/>
      <c r="BE133" s="485"/>
      <c r="BF133" s="485"/>
      <c r="BG133" s="485"/>
      <c r="BH133" s="485"/>
      <c r="BI133" s="485"/>
      <c r="BJ133" s="485"/>
      <c r="BK133" s="485"/>
      <c r="BL133" s="485"/>
      <c r="BM133" s="485"/>
      <c r="BN133" s="485"/>
      <c r="BO133" s="485"/>
      <c r="BP133" s="485"/>
      <c r="BQ133" s="485"/>
      <c r="BR133" s="485"/>
      <c r="BS133" s="485"/>
      <c r="BT133" s="485"/>
      <c r="BU133" s="485"/>
      <c r="BV133" s="485"/>
      <c r="BW133" s="485"/>
      <c r="BX133" s="485"/>
      <c r="BY133" s="485"/>
      <c r="BZ133" s="485"/>
      <c r="CA133" s="485"/>
      <c r="CB133" s="485"/>
      <c r="CC133" s="485"/>
      <c r="CD133" s="485"/>
      <c r="CE133" s="485"/>
      <c r="CF133" s="485"/>
      <c r="CG133" s="485"/>
      <c r="CH133" s="485"/>
      <c r="CI133" s="485"/>
      <c r="CJ133" s="485"/>
      <c r="CK133" s="485"/>
      <c r="CL133" s="485"/>
      <c r="CM133" s="485"/>
      <c r="CN133" s="485"/>
      <c r="CO133" s="485"/>
      <c r="CP133" s="485"/>
      <c r="CQ133" s="485"/>
      <c r="CR133" s="485"/>
      <c r="CS133" s="485"/>
      <c r="CT133" s="485"/>
      <c r="CU133" s="485"/>
      <c r="CV133" s="485"/>
      <c r="CW133" s="485"/>
      <c r="CX133" s="485"/>
      <c r="CY133" s="485"/>
      <c r="CZ133" s="485"/>
      <c r="DA133" s="485"/>
      <c r="DB133" s="485"/>
      <c r="DC133" s="485"/>
      <c r="DD133" s="485"/>
      <c r="DE133" s="485"/>
      <c r="DF133" s="485"/>
      <c r="DG133" s="485"/>
      <c r="DH133" s="485"/>
      <c r="DI133" s="485"/>
      <c r="DJ133" s="485"/>
      <c r="DK133" s="485"/>
      <c r="DL133" s="485"/>
      <c r="DM133" s="485"/>
      <c r="DN133" s="485"/>
      <c r="DO133" s="485"/>
      <c r="DP133" s="485"/>
      <c r="DQ133" s="485"/>
      <c r="DR133" s="485"/>
      <c r="DS133" s="485"/>
      <c r="DT133" s="485"/>
    </row>
    <row r="134" spans="1:124" s="5" customFormat="1" ht="30" customHeight="1" x14ac:dyDescent="0.3">
      <c r="B134" s="136" t="s">
        <v>543</v>
      </c>
      <c r="C134" s="173">
        <v>324260</v>
      </c>
      <c r="D134" s="174"/>
      <c r="E134" s="175" t="s">
        <v>40</v>
      </c>
      <c r="F134" s="176" t="s">
        <v>478</v>
      </c>
      <c r="G134" s="177" t="s">
        <v>479</v>
      </c>
      <c r="H134" s="178">
        <v>1996</v>
      </c>
      <c r="I134" s="179" t="s">
        <v>219</v>
      </c>
      <c r="J134" s="104" t="s">
        <v>44</v>
      </c>
      <c r="K134" s="180">
        <v>72</v>
      </c>
      <c r="L134" s="133">
        <v>60</v>
      </c>
      <c r="M134" s="133">
        <v>65</v>
      </c>
      <c r="N134" s="131">
        <v>-70</v>
      </c>
      <c r="O134" s="242">
        <f t="shared" si="33"/>
        <v>65</v>
      </c>
      <c r="P134" s="133">
        <v>75</v>
      </c>
      <c r="Q134" s="131">
        <v>-82</v>
      </c>
      <c r="R134" s="131">
        <v>-82</v>
      </c>
      <c r="S134" s="202">
        <f t="shared" si="34"/>
        <v>75</v>
      </c>
      <c r="T134" s="203">
        <f>IF(E134="","",IF(OR(O134=0,S134=0),0,O134+S134))</f>
        <v>140</v>
      </c>
      <c r="U134" s="204" t="str">
        <f t="shared" si="40"/>
        <v>DEB 5</v>
      </c>
      <c r="V134" s="204" t="str">
        <f>IF(E134=0," ",IF(E134="H",IF(H134&lt;1999,VLOOKUP(K134,Minimas!$A$15:$F$29,6),IF(AND(H134&gt;1998,H134&lt;2002),VLOOKUP(K134,Minimas!$A$15:$F$29,5),IF(AND(H134&gt;2001,H134&lt;2004),VLOOKUP(K134,Minimas!$A$15:$F$29,4),IF(AND(H134&gt;2003,H134&lt;2006),VLOOKUP(K134,Minimas!$A$15:$F$29,3),VLOOKUP(K134,Minimas!$A$15:$F$29,2))))),IF(H134&lt;1999,VLOOKUP(K134,Minimas!$G$15:$L$29,6),IF(AND(H134&gt;1998,H134&lt;2002),VLOOKUP(K134,Minimas!$G$15:$L$29,5),IF(AND(H134&gt;2001,H134&lt;2004),VLOOKUP(K134,Minimas!$G$15:$L$29,4),IF(AND(H134&gt;2003,H134&lt;2006),VLOOKUP(K134,Minimas!$G$15:$L$29,3),VLOOKUP(K134,Minimas!$G$15:$L$29,2)))))))</f>
        <v>SE M73</v>
      </c>
      <c r="W134" s="205">
        <f t="shared" si="36"/>
        <v>181.43680289104614</v>
      </c>
      <c r="X134" s="184">
        <v>43435</v>
      </c>
      <c r="Y134" s="284" t="s">
        <v>509</v>
      </c>
      <c r="Z134" s="284" t="s">
        <v>511</v>
      </c>
      <c r="AA134" s="232"/>
      <c r="AB134" s="230">
        <f>T134-HLOOKUP(V134,Minimas!$C$3:$CD$12,2,FALSE)</f>
        <v>5</v>
      </c>
      <c r="AC134" s="230">
        <f>T134-HLOOKUP(V134,Minimas!$C$3:$CD$12,3,FALSE)</f>
        <v>-20</v>
      </c>
      <c r="AD134" s="230">
        <f>T134-HLOOKUP(V134,Minimas!$C$3:$CD$12,4,FALSE)</f>
        <v>-45</v>
      </c>
      <c r="AE134" s="230">
        <f>T134-HLOOKUP(V134,Minimas!$C$3:$CD$12,5,FALSE)</f>
        <v>-70</v>
      </c>
      <c r="AF134" s="230">
        <f>T134-HLOOKUP(V134,Minimas!$C$3:$CD$12,6,FALSE)</f>
        <v>-100</v>
      </c>
      <c r="AG134" s="230">
        <f>T134-HLOOKUP(V134,Minimas!$C$3:$CD$12,7,FALSE)</f>
        <v>-120</v>
      </c>
      <c r="AH134" s="230">
        <f>T134-HLOOKUP(V134,Minimas!$C$3:$CD$12,8,FALSE)</f>
        <v>-140</v>
      </c>
      <c r="AI134" s="230">
        <f>T134-HLOOKUP(V134,Minimas!$C$3:$CD$12,9,FALSE)</f>
        <v>-160</v>
      </c>
      <c r="AJ134" s="230">
        <f>T134-HLOOKUP(V134,Minimas!$C$3:$CD$12,10,FALSE)</f>
        <v>-175</v>
      </c>
      <c r="AK134" s="231" t="str">
        <f t="shared" si="41"/>
        <v>DEB</v>
      </c>
      <c r="AL134" s="232"/>
      <c r="AM134" s="232" t="str">
        <f t="shared" si="43"/>
        <v>DEB</v>
      </c>
      <c r="AN134" s="232">
        <f t="shared" si="42"/>
        <v>5</v>
      </c>
      <c r="AO134" s="232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  <c r="BF134" s="38"/>
      <c r="BG134" s="38"/>
      <c r="BH134" s="38"/>
      <c r="BI134" s="38"/>
      <c r="BJ134" s="38"/>
      <c r="BK134" s="38"/>
      <c r="BL134" s="38"/>
      <c r="BM134" s="38"/>
      <c r="BN134" s="38"/>
      <c r="BO134" s="38"/>
      <c r="BP134" s="38"/>
      <c r="BQ134" s="38"/>
      <c r="BR134" s="38"/>
      <c r="BS134" s="38"/>
      <c r="BT134" s="38"/>
      <c r="BU134" s="38"/>
      <c r="BV134" s="38"/>
      <c r="BW134" s="38"/>
      <c r="BX134" s="38"/>
      <c r="BY134" s="38"/>
      <c r="BZ134" s="38"/>
      <c r="CA134" s="38"/>
      <c r="CB134" s="38"/>
      <c r="CC134" s="38"/>
      <c r="CD134" s="38"/>
      <c r="CE134" s="38"/>
      <c r="CF134" s="38"/>
      <c r="CG134" s="38"/>
      <c r="CH134" s="38"/>
      <c r="CI134" s="38"/>
      <c r="CJ134" s="38"/>
      <c r="CK134" s="38"/>
      <c r="CL134" s="38"/>
      <c r="CM134" s="38"/>
      <c r="CN134" s="38"/>
      <c r="CO134" s="38"/>
      <c r="CP134" s="38"/>
      <c r="CQ134" s="38"/>
      <c r="CR134" s="38"/>
      <c r="CS134" s="38"/>
      <c r="CT134" s="38"/>
      <c r="CU134" s="38"/>
      <c r="CV134" s="38"/>
      <c r="CW134" s="38"/>
      <c r="CX134" s="38"/>
      <c r="CY134" s="38"/>
      <c r="CZ134" s="38"/>
      <c r="DA134" s="38"/>
      <c r="DB134" s="38"/>
      <c r="DC134" s="38"/>
      <c r="DD134" s="38"/>
      <c r="DE134" s="38"/>
      <c r="DF134" s="38"/>
      <c r="DG134" s="38"/>
      <c r="DH134" s="38"/>
      <c r="DI134" s="38"/>
      <c r="DJ134" s="38"/>
      <c r="DK134" s="38"/>
      <c r="DL134" s="38"/>
      <c r="DM134" s="38"/>
      <c r="DN134" s="38"/>
      <c r="DO134" s="38"/>
      <c r="DP134" s="38"/>
      <c r="DQ134" s="38"/>
      <c r="DR134" s="38"/>
      <c r="DS134" s="38"/>
      <c r="DT134" s="38"/>
    </row>
    <row r="135" spans="1:124" s="5" customFormat="1" ht="30" customHeight="1" x14ac:dyDescent="0.25">
      <c r="A135" s="1"/>
      <c r="B135" s="136" t="s">
        <v>543</v>
      </c>
      <c r="C135" s="166">
        <v>442051</v>
      </c>
      <c r="D135" s="167"/>
      <c r="E135" s="476" t="s">
        <v>40</v>
      </c>
      <c r="F135" s="143" t="s">
        <v>734</v>
      </c>
      <c r="G135" s="144" t="s">
        <v>735</v>
      </c>
      <c r="H135" s="145">
        <v>1992</v>
      </c>
      <c r="I135" s="172" t="s">
        <v>129</v>
      </c>
      <c r="J135" s="146" t="s">
        <v>44</v>
      </c>
      <c r="K135" s="200">
        <v>72.599999999999994</v>
      </c>
      <c r="L135" s="118">
        <v>50</v>
      </c>
      <c r="M135" s="148">
        <v>-60</v>
      </c>
      <c r="N135" s="118">
        <v>60</v>
      </c>
      <c r="O135" s="242">
        <f t="shared" si="33"/>
        <v>60</v>
      </c>
      <c r="P135" s="118">
        <v>60</v>
      </c>
      <c r="Q135" s="118">
        <v>65</v>
      </c>
      <c r="R135" s="118">
        <v>70</v>
      </c>
      <c r="S135" s="202">
        <f t="shared" si="34"/>
        <v>70</v>
      </c>
      <c r="T135" s="203">
        <f>IF(E135="","",O135+S135)</f>
        <v>130</v>
      </c>
      <c r="U135" s="204" t="str">
        <f t="shared" si="40"/>
        <v>DEB -5</v>
      </c>
      <c r="V135" s="204" t="str">
        <f>IF(E135=0," ",IF(E135="H",IF(H135&lt;1999,VLOOKUP(K135,[13]Minimas!$A$15:$F$29,6),IF(AND(H135&gt;1998,H135&lt;2002),VLOOKUP(K135,[13]Minimas!$A$15:$F$29,5),IF(AND(H135&gt;2001,H135&lt;2004),VLOOKUP(K135,[13]Minimas!$A$15:$F$29,4),IF(AND(H135&gt;2003,H135&lt;2006),VLOOKUP(K135,[13]Minimas!$A$15:$F$29,3),VLOOKUP(K135,[13]Minimas!$A$15:$F$29,2))))),IF(H135&lt;1999,VLOOKUP(K135,[13]Minimas!$G$15:$L$29,6),IF(AND(H135&gt;1998,H135&lt;2002),VLOOKUP(K135,[13]Minimas!$G$15:$L$29,5),IF(AND(H135&gt;2001,H135&lt;2004),VLOOKUP(K135,[13]Minimas!$G$15:$L$29,4),IF(AND(H135&gt;2003,H135&lt;2006),VLOOKUP(K135,[13]Minimas!$G$15:$L$29,3),VLOOKUP(K135,[13]Minimas!$G$15:$L$29,2)))))))</f>
        <v>SE M73</v>
      </c>
      <c r="W135" s="205">
        <f t="shared" si="36"/>
        <v>167.66910325220096</v>
      </c>
      <c r="X135" s="257">
        <v>43540</v>
      </c>
      <c r="Y135" s="261" t="s">
        <v>714</v>
      </c>
      <c r="Z135" s="261" t="s">
        <v>704</v>
      </c>
      <c r="AA135" s="463"/>
      <c r="AB135" s="230">
        <f>T135-HLOOKUP(V135,Minimas!$C$3:$CD$12,2,FALSE)</f>
        <v>-5</v>
      </c>
      <c r="AC135" s="230">
        <f>T135-HLOOKUP(V135,Minimas!$C$3:$CD$12,3,FALSE)</f>
        <v>-30</v>
      </c>
      <c r="AD135" s="230">
        <f>T135-HLOOKUP(V135,Minimas!$C$3:$CD$12,4,FALSE)</f>
        <v>-55</v>
      </c>
      <c r="AE135" s="230">
        <f>T135-HLOOKUP(V135,Minimas!$C$3:$CD$12,5,FALSE)</f>
        <v>-80</v>
      </c>
      <c r="AF135" s="230">
        <f>T135-HLOOKUP(V135,Minimas!$C$3:$CD$12,6,FALSE)</f>
        <v>-110</v>
      </c>
      <c r="AG135" s="230">
        <f>T135-HLOOKUP(V135,Minimas!$C$3:$CD$12,7,FALSE)</f>
        <v>-130</v>
      </c>
      <c r="AH135" s="230">
        <f>T135-HLOOKUP(V135,Minimas!$C$3:$CD$12,8,FALSE)</f>
        <v>-150</v>
      </c>
      <c r="AI135" s="230">
        <f>T135-HLOOKUP(V135,Minimas!$C$3:$CD$12,9,FALSE)</f>
        <v>-170</v>
      </c>
      <c r="AJ135" s="230">
        <f>T135-HLOOKUP(V135,Minimas!$C$3:$CD$12,10,FALSE)</f>
        <v>-185</v>
      </c>
      <c r="AK135" s="231" t="str">
        <f t="shared" si="41"/>
        <v>DEB</v>
      </c>
      <c r="AL135" s="232"/>
      <c r="AM135" s="232" t="str">
        <f t="shared" si="43"/>
        <v>DEB</v>
      </c>
      <c r="AN135" s="232">
        <f t="shared" si="42"/>
        <v>-5</v>
      </c>
      <c r="AO135" s="463"/>
      <c r="AP135" s="34"/>
      <c r="AQ135" s="34"/>
      <c r="AR135" s="34"/>
      <c r="AS135" s="34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  <c r="BF135" s="34"/>
      <c r="BG135" s="34"/>
      <c r="BH135" s="34"/>
      <c r="BI135" s="34"/>
      <c r="BJ135" s="34"/>
      <c r="BK135" s="34"/>
      <c r="BL135" s="34"/>
      <c r="BM135" s="34"/>
      <c r="BN135" s="34"/>
      <c r="BO135" s="34"/>
      <c r="BP135" s="34"/>
      <c r="BQ135" s="34"/>
      <c r="BR135" s="34"/>
      <c r="BS135" s="34"/>
      <c r="BT135" s="34"/>
      <c r="BU135" s="34"/>
      <c r="BV135" s="34"/>
      <c r="BW135" s="34"/>
      <c r="BX135" s="34"/>
      <c r="BY135" s="34"/>
      <c r="BZ135" s="34"/>
      <c r="CA135" s="34"/>
      <c r="CB135" s="34"/>
      <c r="CC135" s="34"/>
      <c r="CD135" s="34"/>
      <c r="CE135" s="34"/>
      <c r="CF135" s="34"/>
      <c r="CG135" s="34"/>
      <c r="CH135" s="34"/>
      <c r="CI135" s="34"/>
      <c r="CJ135" s="34"/>
      <c r="CK135" s="34"/>
      <c r="CL135" s="34"/>
      <c r="CM135" s="34"/>
      <c r="CN135" s="34"/>
      <c r="CO135" s="34"/>
      <c r="CP135" s="34"/>
      <c r="CQ135" s="34"/>
      <c r="CR135" s="34"/>
      <c r="CS135" s="34"/>
      <c r="CT135" s="34"/>
      <c r="CU135" s="34"/>
      <c r="CV135" s="34"/>
      <c r="CW135" s="34"/>
      <c r="CX135" s="34"/>
      <c r="CY135" s="34"/>
      <c r="CZ135" s="34"/>
      <c r="DA135" s="34"/>
      <c r="DB135" s="34"/>
      <c r="DC135" s="34"/>
      <c r="DD135" s="34"/>
      <c r="DE135" s="34"/>
      <c r="DF135" s="34"/>
      <c r="DG135" s="34"/>
      <c r="DH135" s="34"/>
      <c r="DI135" s="34"/>
      <c r="DJ135" s="34"/>
      <c r="DK135" s="34"/>
      <c r="DL135" s="34"/>
      <c r="DM135" s="34"/>
      <c r="DN135" s="34"/>
      <c r="DO135" s="34"/>
      <c r="DP135" s="34"/>
      <c r="DQ135" s="34"/>
      <c r="DR135" s="34"/>
      <c r="DS135" s="34"/>
      <c r="DT135" s="34"/>
    </row>
    <row r="136" spans="1:124" s="5" customFormat="1" ht="30" customHeight="1" x14ac:dyDescent="0.3">
      <c r="B136" s="136" t="s">
        <v>543</v>
      </c>
      <c r="C136" s="116">
        <v>273525</v>
      </c>
      <c r="D136" s="119"/>
      <c r="E136" s="175" t="s">
        <v>40</v>
      </c>
      <c r="F136" s="124" t="s">
        <v>364</v>
      </c>
      <c r="G136" s="125" t="s">
        <v>461</v>
      </c>
      <c r="H136" s="156">
        <v>1977</v>
      </c>
      <c r="I136" s="127" t="s">
        <v>198</v>
      </c>
      <c r="J136" s="104" t="s">
        <v>44</v>
      </c>
      <c r="K136" s="126">
        <v>72</v>
      </c>
      <c r="L136" s="133">
        <v>53</v>
      </c>
      <c r="M136" s="133">
        <v>57</v>
      </c>
      <c r="N136" s="133">
        <v>60</v>
      </c>
      <c r="O136" s="242">
        <f t="shared" si="33"/>
        <v>60</v>
      </c>
      <c r="P136" s="133">
        <v>64</v>
      </c>
      <c r="Q136" s="133">
        <v>65</v>
      </c>
      <c r="R136" s="133">
        <v>68</v>
      </c>
      <c r="S136" s="202">
        <f t="shared" si="34"/>
        <v>68</v>
      </c>
      <c r="T136" s="203">
        <f>IF(E136="","",IF(OR(O136=0,S136=0),0,O136+S136))</f>
        <v>128</v>
      </c>
      <c r="U136" s="204" t="str">
        <f t="shared" si="40"/>
        <v>DEB -7</v>
      </c>
      <c r="V136" s="204" t="str">
        <f>IF(E136=0," ",IF(E136="H",IF(H136&lt;1999,VLOOKUP(K136,Minimas!$A$15:$F$29,6),IF(AND(H136&gt;1998,H136&lt;2002),VLOOKUP(K136,Minimas!$A$15:$F$29,5),IF(AND(H136&gt;2001,H136&lt;2004),VLOOKUP(K136,Minimas!$A$15:$F$29,4),IF(AND(H136&gt;2003,H136&lt;2006),VLOOKUP(K136,Minimas!$A$15:$F$29,3),VLOOKUP(K136,Minimas!$A$15:$F$29,2))))),IF(H136&lt;1999,VLOOKUP(K136,Minimas!$G$15:$L$29,6),IF(AND(H136&gt;1998,H136&lt;2002),VLOOKUP(K136,Minimas!$G$15:$L$29,5),IF(AND(H136&gt;2001,H136&lt;2004),VLOOKUP(K136,Minimas!$G$15:$L$29,4),IF(AND(H136&gt;2003,H136&lt;2006),VLOOKUP(K136,Minimas!$G$15:$L$29,3),VLOOKUP(K136,Minimas!$G$15:$L$29,2)))))))</f>
        <v>SE M73</v>
      </c>
      <c r="W136" s="205">
        <f t="shared" si="36"/>
        <v>165.88507692895647</v>
      </c>
      <c r="X136" s="184">
        <v>43429</v>
      </c>
      <c r="Y136" s="284" t="s">
        <v>509</v>
      </c>
      <c r="Z136" s="284" t="s">
        <v>510</v>
      </c>
      <c r="AA136" s="232"/>
      <c r="AB136" s="230">
        <f>T136-HLOOKUP(V136,Minimas!$C$3:$CD$12,2,FALSE)</f>
        <v>-7</v>
      </c>
      <c r="AC136" s="230">
        <f>T136-HLOOKUP(V136,Minimas!$C$3:$CD$12,3,FALSE)</f>
        <v>-32</v>
      </c>
      <c r="AD136" s="230">
        <f>T136-HLOOKUP(V136,Minimas!$C$3:$CD$12,4,FALSE)</f>
        <v>-57</v>
      </c>
      <c r="AE136" s="230">
        <f>T136-HLOOKUP(V136,Minimas!$C$3:$CD$12,5,FALSE)</f>
        <v>-82</v>
      </c>
      <c r="AF136" s="230">
        <f>T136-HLOOKUP(V136,Minimas!$C$3:$CD$12,6,FALSE)</f>
        <v>-112</v>
      </c>
      <c r="AG136" s="230">
        <f>T136-HLOOKUP(V136,Minimas!$C$3:$CD$12,7,FALSE)</f>
        <v>-132</v>
      </c>
      <c r="AH136" s="230">
        <f>T136-HLOOKUP(V136,Minimas!$C$3:$CD$12,8,FALSE)</f>
        <v>-152</v>
      </c>
      <c r="AI136" s="230">
        <f>T136-HLOOKUP(V136,Minimas!$C$3:$CD$12,9,FALSE)</f>
        <v>-172</v>
      </c>
      <c r="AJ136" s="230">
        <f>T136-HLOOKUP(V136,Minimas!$C$3:$CD$12,10,FALSE)</f>
        <v>-187</v>
      </c>
      <c r="AK136" s="231" t="str">
        <f t="shared" si="41"/>
        <v>DEB</v>
      </c>
      <c r="AL136" s="232"/>
      <c r="AM136" s="232" t="str">
        <f t="shared" si="43"/>
        <v>DEB</v>
      </c>
      <c r="AN136" s="232">
        <f t="shared" si="42"/>
        <v>-7</v>
      </c>
      <c r="AO136" s="232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  <c r="BF136" s="38"/>
      <c r="BG136" s="38"/>
      <c r="BH136" s="38"/>
      <c r="BI136" s="38"/>
      <c r="BJ136" s="38"/>
      <c r="BK136" s="38"/>
      <c r="BL136" s="38"/>
      <c r="BM136" s="38"/>
      <c r="BN136" s="38"/>
      <c r="BO136" s="38"/>
      <c r="BP136" s="38"/>
      <c r="BQ136" s="38"/>
      <c r="BR136" s="38"/>
      <c r="BS136" s="38"/>
      <c r="BT136" s="38"/>
      <c r="BU136" s="38"/>
      <c r="BV136" s="38"/>
      <c r="BW136" s="38"/>
      <c r="BX136" s="38"/>
      <c r="BY136" s="38"/>
      <c r="BZ136" s="38"/>
      <c r="CA136" s="38"/>
      <c r="CB136" s="38"/>
      <c r="CC136" s="38"/>
      <c r="CD136" s="38"/>
      <c r="CE136" s="38"/>
      <c r="CF136" s="38"/>
      <c r="CG136" s="38"/>
      <c r="CH136" s="38"/>
      <c r="CI136" s="38"/>
      <c r="CJ136" s="38"/>
      <c r="CK136" s="38"/>
      <c r="CL136" s="38"/>
      <c r="CM136" s="38"/>
      <c r="CN136" s="38"/>
      <c r="CO136" s="38"/>
      <c r="CP136" s="38"/>
      <c r="CQ136" s="38"/>
      <c r="CR136" s="38"/>
      <c r="CS136" s="38"/>
      <c r="CT136" s="38"/>
      <c r="CU136" s="38"/>
      <c r="CV136" s="38"/>
      <c r="CW136" s="38"/>
      <c r="CX136" s="38"/>
      <c r="CY136" s="38"/>
      <c r="CZ136" s="38"/>
      <c r="DA136" s="38"/>
      <c r="DB136" s="38"/>
      <c r="DC136" s="38"/>
      <c r="DD136" s="38"/>
      <c r="DE136" s="38"/>
      <c r="DF136" s="38"/>
      <c r="DG136" s="38"/>
      <c r="DH136" s="38"/>
      <c r="DI136" s="38"/>
      <c r="DJ136" s="38"/>
      <c r="DK136" s="38"/>
      <c r="DL136" s="38"/>
      <c r="DM136" s="38"/>
      <c r="DN136" s="38"/>
      <c r="DO136" s="38"/>
      <c r="DP136" s="38"/>
      <c r="DQ136" s="38"/>
      <c r="DR136" s="38"/>
      <c r="DS136" s="38"/>
      <c r="DT136" s="38"/>
    </row>
    <row r="137" spans="1:124" s="5" customFormat="1" ht="30" customHeight="1" x14ac:dyDescent="0.25">
      <c r="A137" s="1"/>
      <c r="B137" s="136" t="s">
        <v>543</v>
      </c>
      <c r="C137" s="166">
        <v>445974</v>
      </c>
      <c r="D137" s="167"/>
      <c r="E137" s="476" t="s">
        <v>40</v>
      </c>
      <c r="F137" s="143" t="s">
        <v>761</v>
      </c>
      <c r="G137" s="144" t="s">
        <v>762</v>
      </c>
      <c r="H137" s="145">
        <v>1991</v>
      </c>
      <c r="I137" s="172" t="s">
        <v>129</v>
      </c>
      <c r="J137" s="155" t="s">
        <v>44</v>
      </c>
      <c r="K137" s="200">
        <v>68.02</v>
      </c>
      <c r="L137" s="148">
        <v>-45</v>
      </c>
      <c r="M137" s="118">
        <v>45</v>
      </c>
      <c r="N137" s="118">
        <v>50</v>
      </c>
      <c r="O137" s="242">
        <f t="shared" si="33"/>
        <v>50</v>
      </c>
      <c r="P137" s="118">
        <v>55</v>
      </c>
      <c r="Q137" s="118">
        <v>60</v>
      </c>
      <c r="R137" s="118">
        <v>70</v>
      </c>
      <c r="S137" s="202">
        <f t="shared" si="34"/>
        <v>70</v>
      </c>
      <c r="T137" s="203">
        <f>IF(E137="","",O137+S137)</f>
        <v>120</v>
      </c>
      <c r="U137" s="204" t="str">
        <f t="shared" si="40"/>
        <v>DEB -15</v>
      </c>
      <c r="V137" s="204" t="str">
        <f>IF(E137=0," ",IF(E137="H",IF(H137&lt;1999,VLOOKUP(K137,[7]Minimas!$A$15:$F$29,6),IF(AND(H137&gt;1998,H137&lt;2002),VLOOKUP(K137,[7]Minimas!$A$15:$F$29,5),IF(AND(H137&gt;2001,H137&lt;2004),VLOOKUP(K137,[7]Minimas!$A$15:$F$29,4),IF(AND(H137&gt;2003,H137&lt;2006),VLOOKUP(K137,[7]Minimas!$A$15:$F$29,3),VLOOKUP(K137,[7]Minimas!$A$15:$F$29,2))))),IF(H137&lt;1999,VLOOKUP(K137,[7]Minimas!$G$15:$L$29,6),IF(AND(H137&gt;1998,H137&lt;2002),VLOOKUP(K137,[7]Minimas!$G$15:$L$29,5),IF(AND(H137&gt;2001,H137&lt;2004),VLOOKUP(K137,[7]Minimas!$G$15:$L$29,4),IF(AND(H137&gt;2003,H137&lt;2006),VLOOKUP(K137,[7]Minimas!$G$15:$L$29,3),VLOOKUP(K137,[7]Minimas!$G$15:$L$29,2)))))))</f>
        <v>SE M73</v>
      </c>
      <c r="W137" s="205">
        <f t="shared" si="36"/>
        <v>160.91962229789635</v>
      </c>
      <c r="X137" s="257">
        <v>43540</v>
      </c>
      <c r="Y137" s="261" t="s">
        <v>714</v>
      </c>
      <c r="Z137" s="261" t="s">
        <v>704</v>
      </c>
      <c r="AA137" s="463"/>
      <c r="AB137" s="230">
        <f>T137-HLOOKUP(V137,Minimas!$C$3:$CD$12,2,FALSE)</f>
        <v>-15</v>
      </c>
      <c r="AC137" s="230">
        <f>T137-HLOOKUP(V137,Minimas!$C$3:$CD$12,3,FALSE)</f>
        <v>-40</v>
      </c>
      <c r="AD137" s="230">
        <f>T137-HLOOKUP(V137,Minimas!$C$3:$CD$12,4,FALSE)</f>
        <v>-65</v>
      </c>
      <c r="AE137" s="230">
        <f>T137-HLOOKUP(V137,Minimas!$C$3:$CD$12,5,FALSE)</f>
        <v>-90</v>
      </c>
      <c r="AF137" s="230">
        <f>T137-HLOOKUP(V137,Minimas!$C$3:$CD$12,6,FALSE)</f>
        <v>-120</v>
      </c>
      <c r="AG137" s="230">
        <f>T137-HLOOKUP(V137,Minimas!$C$3:$CD$12,7,FALSE)</f>
        <v>-140</v>
      </c>
      <c r="AH137" s="230">
        <f>T137-HLOOKUP(V137,Minimas!$C$3:$CD$12,8,FALSE)</f>
        <v>-160</v>
      </c>
      <c r="AI137" s="230">
        <f>T137-HLOOKUP(V137,Minimas!$C$3:$CD$12,9,FALSE)</f>
        <v>-180</v>
      </c>
      <c r="AJ137" s="230">
        <f>T137-HLOOKUP(V137,Minimas!$C$3:$CD$12,10,FALSE)</f>
        <v>-195</v>
      </c>
      <c r="AK137" s="231" t="str">
        <f t="shared" si="41"/>
        <v>DEB</v>
      </c>
      <c r="AL137" s="232"/>
      <c r="AM137" s="232" t="str">
        <f t="shared" si="43"/>
        <v>DEB</v>
      </c>
      <c r="AN137" s="232">
        <f t="shared" si="42"/>
        <v>-15</v>
      </c>
      <c r="AO137" s="463"/>
      <c r="AP137" s="34"/>
      <c r="AQ137" s="34"/>
      <c r="AR137" s="34"/>
      <c r="AS137" s="34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  <c r="BF137" s="34"/>
      <c r="BG137" s="34"/>
      <c r="BH137" s="34"/>
      <c r="BI137" s="34"/>
      <c r="BJ137" s="34"/>
      <c r="BK137" s="34"/>
      <c r="BL137" s="34"/>
      <c r="BM137" s="34"/>
      <c r="BN137" s="34"/>
      <c r="BO137" s="34"/>
      <c r="BP137" s="34"/>
      <c r="BQ137" s="34"/>
      <c r="BR137" s="34"/>
      <c r="BS137" s="34"/>
      <c r="BT137" s="34"/>
      <c r="BU137" s="34"/>
      <c r="BV137" s="34"/>
      <c r="BW137" s="34"/>
      <c r="BX137" s="34"/>
      <c r="BY137" s="34"/>
      <c r="BZ137" s="34"/>
      <c r="CA137" s="34"/>
      <c r="CB137" s="34"/>
      <c r="CC137" s="34"/>
      <c r="CD137" s="34"/>
      <c r="CE137" s="34"/>
      <c r="CF137" s="34"/>
      <c r="CG137" s="34"/>
      <c r="CH137" s="34"/>
      <c r="CI137" s="34"/>
      <c r="CJ137" s="34"/>
      <c r="CK137" s="34"/>
      <c r="CL137" s="34"/>
      <c r="CM137" s="34"/>
      <c r="CN137" s="34"/>
      <c r="CO137" s="34"/>
      <c r="CP137" s="34"/>
      <c r="CQ137" s="34"/>
      <c r="CR137" s="34"/>
      <c r="CS137" s="34"/>
      <c r="CT137" s="34"/>
      <c r="CU137" s="34"/>
      <c r="CV137" s="34"/>
      <c r="CW137" s="34"/>
      <c r="CX137" s="34"/>
      <c r="CY137" s="34"/>
      <c r="CZ137" s="34"/>
      <c r="DA137" s="34"/>
      <c r="DB137" s="34"/>
      <c r="DC137" s="34"/>
      <c r="DD137" s="34"/>
      <c r="DE137" s="34"/>
      <c r="DF137" s="34"/>
      <c r="DG137" s="34"/>
      <c r="DH137" s="34"/>
      <c r="DI137" s="34"/>
      <c r="DJ137" s="34"/>
      <c r="DK137" s="34"/>
      <c r="DL137" s="34"/>
      <c r="DM137" s="34"/>
      <c r="DN137" s="34"/>
      <c r="DO137" s="34"/>
      <c r="DP137" s="34"/>
      <c r="DQ137" s="34"/>
      <c r="DR137" s="34"/>
      <c r="DS137" s="34"/>
      <c r="DT137" s="34"/>
    </row>
    <row r="138" spans="1:124" s="5" customFormat="1" ht="30" customHeight="1" x14ac:dyDescent="0.25">
      <c r="B138" s="685" t="s">
        <v>543</v>
      </c>
      <c r="C138" s="166">
        <v>431981</v>
      </c>
      <c r="D138" s="167"/>
      <c r="E138" s="476" t="s">
        <v>40</v>
      </c>
      <c r="F138" s="217" t="s">
        <v>680</v>
      </c>
      <c r="G138" s="144" t="s">
        <v>681</v>
      </c>
      <c r="H138" s="218">
        <v>1972</v>
      </c>
      <c r="I138" s="169" t="s">
        <v>394</v>
      </c>
      <c r="J138" s="168" t="s">
        <v>44</v>
      </c>
      <c r="K138" s="147">
        <v>69.099999999999994</v>
      </c>
      <c r="L138" s="118">
        <v>47</v>
      </c>
      <c r="M138" s="118">
        <v>52</v>
      </c>
      <c r="N138" s="118">
        <v>-55</v>
      </c>
      <c r="O138" s="242">
        <f t="shared" si="33"/>
        <v>52</v>
      </c>
      <c r="P138" s="118">
        <v>-62</v>
      </c>
      <c r="Q138" s="118">
        <v>62</v>
      </c>
      <c r="R138" s="118">
        <v>67</v>
      </c>
      <c r="S138" s="202">
        <f t="shared" si="34"/>
        <v>67</v>
      </c>
      <c r="T138" s="203">
        <f>IF(E138="","",IF(OR(O138=0,S138=0),0,O138+S138))</f>
        <v>119</v>
      </c>
      <c r="U138" s="204" t="str">
        <f t="shared" si="40"/>
        <v>DEB -16</v>
      </c>
      <c r="V138" s="204" t="str">
        <f>IF(E138=0," ",IF(E138="H",IF(H138&lt;1999,VLOOKUP(K138,[25]Minimas!$A$15:$F$29,6),IF(AND(H138&gt;1998,H138&lt;2002),VLOOKUP(K138,[25]Minimas!$A$15:$F$29,5),IF(AND(H138&gt;2001,H138&lt;2004),VLOOKUP(K138,[25]Minimas!$A$15:$F$29,4),IF(AND(H138&gt;2003,H138&lt;2006),VLOOKUP(K138,[25]Minimas!$A$15:$F$29,3),VLOOKUP(K138,[25]Minimas!$A$15:$F$29,2))))),IF(H138&lt;1999,VLOOKUP(K138,[25]Minimas!$G$15:$L$29,6),IF(AND(H138&gt;1998,H138&lt;2002),VLOOKUP(K138,[25]Minimas!$G$15:$L$29,5),IF(AND(H138&gt;2001,H138&lt;2004),VLOOKUP(K138,[25]Minimas!$G$15:$L$29,4),IF(AND(H138&gt;2003,H138&lt;2006),VLOOKUP(K138,[25]Minimas!$G$15:$L$29,3),VLOOKUP(K138,[25]Minimas!$G$15:$L$29,2)))))))</f>
        <v>SE M73</v>
      </c>
      <c r="W138" s="205">
        <f t="shared" si="36"/>
        <v>158.04270259695267</v>
      </c>
      <c r="X138" s="257">
        <v>43492</v>
      </c>
      <c r="Y138" s="261" t="s">
        <v>525</v>
      </c>
      <c r="Z138" s="261" t="s">
        <v>695</v>
      </c>
      <c r="AA138" s="232"/>
      <c r="AB138" s="230">
        <f>T138-HLOOKUP(V138,Minimas!$C$3:$CD$12,2,FALSE)</f>
        <v>-16</v>
      </c>
      <c r="AC138" s="230">
        <f>T138-HLOOKUP(V138,Minimas!$C$3:$CD$12,3,FALSE)</f>
        <v>-41</v>
      </c>
      <c r="AD138" s="230">
        <f>T138-HLOOKUP(V138,Minimas!$C$3:$CD$12,4,FALSE)</f>
        <v>-66</v>
      </c>
      <c r="AE138" s="230">
        <f>T138-HLOOKUP(V138,Minimas!$C$3:$CD$12,5,FALSE)</f>
        <v>-91</v>
      </c>
      <c r="AF138" s="230">
        <f>T138-HLOOKUP(V138,Minimas!$C$3:$CD$12,6,FALSE)</f>
        <v>-121</v>
      </c>
      <c r="AG138" s="230">
        <f>T138-HLOOKUP(V138,Minimas!$C$3:$CD$12,7,FALSE)</f>
        <v>-141</v>
      </c>
      <c r="AH138" s="230">
        <f>T138-HLOOKUP(V138,Minimas!$C$3:$CD$12,8,FALSE)</f>
        <v>-161</v>
      </c>
      <c r="AI138" s="230">
        <f>T138-HLOOKUP(V138,Minimas!$C$3:$CD$12,9,FALSE)</f>
        <v>-181</v>
      </c>
      <c r="AJ138" s="230">
        <f>T138-HLOOKUP(V138,Minimas!$C$3:$CD$12,10,FALSE)</f>
        <v>-196</v>
      </c>
      <c r="AK138" s="231" t="str">
        <f t="shared" si="41"/>
        <v>DEB</v>
      </c>
      <c r="AL138" s="232"/>
      <c r="AM138" s="232" t="str">
        <f t="shared" si="43"/>
        <v>DEB</v>
      </c>
      <c r="AN138" s="232">
        <f t="shared" si="42"/>
        <v>-16</v>
      </c>
      <c r="AO138" s="232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  <c r="BF138" s="38"/>
      <c r="BG138" s="38"/>
      <c r="BH138" s="38"/>
      <c r="BI138" s="38"/>
      <c r="BJ138" s="38"/>
      <c r="BK138" s="38"/>
      <c r="BL138" s="38"/>
      <c r="BM138" s="38"/>
      <c r="BN138" s="38"/>
      <c r="BO138" s="38"/>
      <c r="BP138" s="38"/>
      <c r="BQ138" s="38"/>
      <c r="BR138" s="38"/>
      <c r="BS138" s="38"/>
      <c r="BT138" s="38"/>
      <c r="BU138" s="38"/>
      <c r="BV138" s="38"/>
      <c r="BW138" s="38"/>
      <c r="BX138" s="38"/>
      <c r="BY138" s="38"/>
      <c r="BZ138" s="38"/>
      <c r="CA138" s="38"/>
      <c r="CB138" s="38"/>
      <c r="CC138" s="38"/>
      <c r="CD138" s="38"/>
      <c r="CE138" s="38"/>
      <c r="CF138" s="38"/>
      <c r="CG138" s="38"/>
      <c r="CH138" s="38"/>
      <c r="CI138" s="38"/>
      <c r="CJ138" s="38"/>
      <c r="CK138" s="38"/>
      <c r="CL138" s="38"/>
      <c r="CM138" s="38"/>
      <c r="CN138" s="38"/>
      <c r="CO138" s="38"/>
      <c r="CP138" s="38"/>
      <c r="CQ138" s="38"/>
      <c r="CR138" s="38"/>
      <c r="CS138" s="38"/>
      <c r="CT138" s="38"/>
      <c r="CU138" s="38"/>
      <c r="CV138" s="38"/>
      <c r="CW138" s="38"/>
      <c r="CX138" s="38"/>
      <c r="CY138" s="38"/>
      <c r="CZ138" s="38"/>
      <c r="DA138" s="38"/>
      <c r="DB138" s="38"/>
      <c r="DC138" s="38"/>
      <c r="DD138" s="38"/>
      <c r="DE138" s="38"/>
      <c r="DF138" s="38"/>
      <c r="DG138" s="38"/>
      <c r="DH138" s="38"/>
      <c r="DI138" s="38"/>
      <c r="DJ138" s="38"/>
      <c r="DK138" s="38"/>
      <c r="DL138" s="38"/>
      <c r="DM138" s="38"/>
      <c r="DN138" s="38"/>
      <c r="DO138" s="38"/>
      <c r="DP138" s="38"/>
      <c r="DQ138" s="38"/>
      <c r="DR138" s="38"/>
      <c r="DS138" s="38"/>
      <c r="DT138" s="38"/>
    </row>
    <row r="139" spans="1:124" s="5" customFormat="1" ht="30" customHeight="1" x14ac:dyDescent="0.25">
      <c r="A139" s="1"/>
      <c r="B139" s="136" t="s">
        <v>543</v>
      </c>
      <c r="C139" s="166">
        <v>443400</v>
      </c>
      <c r="D139" s="167"/>
      <c r="E139" s="476" t="s">
        <v>40</v>
      </c>
      <c r="F139" s="143" t="s">
        <v>720</v>
      </c>
      <c r="G139" s="144" t="s">
        <v>721</v>
      </c>
      <c r="H139" s="145">
        <v>1987</v>
      </c>
      <c r="I139" s="172" t="s">
        <v>139</v>
      </c>
      <c r="J139" s="146" t="s">
        <v>44</v>
      </c>
      <c r="K139" s="200">
        <v>70.3</v>
      </c>
      <c r="L139" s="118">
        <v>45</v>
      </c>
      <c r="M139" s="118">
        <v>50</v>
      </c>
      <c r="N139" s="118">
        <v>53</v>
      </c>
      <c r="O139" s="242">
        <f t="shared" si="33"/>
        <v>53</v>
      </c>
      <c r="P139" s="118">
        <v>55</v>
      </c>
      <c r="Q139" s="118">
        <v>60</v>
      </c>
      <c r="R139" s="118">
        <v>63</v>
      </c>
      <c r="S139" s="202">
        <f t="shared" si="34"/>
        <v>63</v>
      </c>
      <c r="T139" s="203">
        <f>IF(E139="","",O139+S139)</f>
        <v>116</v>
      </c>
      <c r="U139" s="204" t="str">
        <f t="shared" si="40"/>
        <v>DEB -19</v>
      </c>
      <c r="V139" s="204" t="str">
        <f>IF(E139=0," ",IF(E139="H",IF(H139&lt;1999,VLOOKUP(K139,[18]Minimas!$A$15:$F$29,6),IF(AND(H139&gt;1998,H139&lt;2002),VLOOKUP(K139,[18]Minimas!$A$15:$F$29,5),IF(AND(H139&gt;2001,H139&lt;2004),VLOOKUP(K139,[18]Minimas!$A$15:$F$29,4),IF(AND(H139&gt;2003,H139&lt;2006),VLOOKUP(K139,[18]Minimas!$A$15:$F$29,3),VLOOKUP(K139,[18]Minimas!$A$15:$F$29,2))))),IF(H139&lt;1999,VLOOKUP(K139,[18]Minimas!$G$15:$L$29,6),IF(AND(H139&gt;1998,H139&lt;2002),VLOOKUP(K139,[18]Minimas!$G$15:$L$29,5),IF(AND(H139&gt;2001,H139&lt;2004),VLOOKUP(K139,[18]Minimas!$G$15:$L$29,4),IF(AND(H139&gt;2003,H139&lt;2006),VLOOKUP(K139,[18]Minimas!$G$15:$L$29,3),VLOOKUP(K139,[18]Minimas!$G$15:$L$29,2)))))))</f>
        <v>SE M73</v>
      </c>
      <c r="W139" s="205">
        <f t="shared" si="36"/>
        <v>152.46681459337688</v>
      </c>
      <c r="X139" s="257">
        <v>43540</v>
      </c>
      <c r="Y139" s="261" t="s">
        <v>714</v>
      </c>
      <c r="Z139" s="261" t="s">
        <v>514</v>
      </c>
      <c r="AA139" s="463"/>
      <c r="AB139" s="230">
        <f>T139-HLOOKUP(V139,Minimas!$C$3:$CD$12,2,FALSE)</f>
        <v>-19</v>
      </c>
      <c r="AC139" s="230">
        <f>T139-HLOOKUP(V139,Minimas!$C$3:$CD$12,3,FALSE)</f>
        <v>-44</v>
      </c>
      <c r="AD139" s="230">
        <f>T139-HLOOKUP(V139,Minimas!$C$3:$CD$12,4,FALSE)</f>
        <v>-69</v>
      </c>
      <c r="AE139" s="230">
        <f>T139-HLOOKUP(V139,Minimas!$C$3:$CD$12,5,FALSE)</f>
        <v>-94</v>
      </c>
      <c r="AF139" s="230">
        <f>T139-HLOOKUP(V139,Minimas!$C$3:$CD$12,6,FALSE)</f>
        <v>-124</v>
      </c>
      <c r="AG139" s="230">
        <f>T139-HLOOKUP(V139,Minimas!$C$3:$CD$12,7,FALSE)</f>
        <v>-144</v>
      </c>
      <c r="AH139" s="230">
        <f>T139-HLOOKUP(V139,Minimas!$C$3:$CD$12,8,FALSE)</f>
        <v>-164</v>
      </c>
      <c r="AI139" s="230">
        <f>T139-HLOOKUP(V139,Minimas!$C$3:$CD$12,9,FALSE)</f>
        <v>-184</v>
      </c>
      <c r="AJ139" s="230">
        <f>T139-HLOOKUP(V139,Minimas!$C$3:$CD$12,10,FALSE)</f>
        <v>-199</v>
      </c>
      <c r="AK139" s="231" t="str">
        <f t="shared" si="41"/>
        <v>DEB</v>
      </c>
      <c r="AL139" s="232"/>
      <c r="AM139" s="232" t="str">
        <f t="shared" si="43"/>
        <v>DEB</v>
      </c>
      <c r="AN139" s="232">
        <f t="shared" si="42"/>
        <v>-19</v>
      </c>
      <c r="AO139" s="463"/>
      <c r="AP139" s="34"/>
      <c r="AQ139" s="34"/>
      <c r="AR139" s="34"/>
      <c r="AS139" s="34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  <c r="BF139" s="34"/>
      <c r="BG139" s="34"/>
      <c r="BH139" s="34"/>
      <c r="BI139" s="34"/>
      <c r="BJ139" s="34"/>
      <c r="BK139" s="34"/>
      <c r="BL139" s="34"/>
      <c r="BM139" s="34"/>
      <c r="BN139" s="34"/>
      <c r="BO139" s="34"/>
      <c r="BP139" s="34"/>
      <c r="BQ139" s="34"/>
      <c r="BR139" s="34"/>
      <c r="BS139" s="34"/>
      <c r="BT139" s="34"/>
      <c r="BU139" s="34"/>
      <c r="BV139" s="34"/>
      <c r="BW139" s="34"/>
      <c r="BX139" s="34"/>
      <c r="BY139" s="34"/>
      <c r="BZ139" s="34"/>
      <c r="CA139" s="34"/>
      <c r="CB139" s="34"/>
      <c r="CC139" s="34"/>
      <c r="CD139" s="34"/>
      <c r="CE139" s="34"/>
      <c r="CF139" s="34"/>
      <c r="CG139" s="34"/>
      <c r="CH139" s="34"/>
      <c r="CI139" s="34"/>
      <c r="CJ139" s="34"/>
      <c r="CK139" s="34"/>
      <c r="CL139" s="34"/>
      <c r="CM139" s="34"/>
      <c r="CN139" s="34"/>
      <c r="CO139" s="34"/>
      <c r="CP139" s="34"/>
      <c r="CQ139" s="34"/>
      <c r="CR139" s="34"/>
      <c r="CS139" s="34"/>
      <c r="CT139" s="34"/>
      <c r="CU139" s="34"/>
      <c r="CV139" s="34"/>
      <c r="CW139" s="34"/>
      <c r="CX139" s="34"/>
      <c r="CY139" s="34"/>
      <c r="CZ139" s="34"/>
      <c r="DA139" s="34"/>
      <c r="DB139" s="34"/>
      <c r="DC139" s="34"/>
      <c r="DD139" s="34"/>
      <c r="DE139" s="34"/>
      <c r="DF139" s="34"/>
      <c r="DG139" s="34"/>
      <c r="DH139" s="34"/>
      <c r="DI139" s="34"/>
      <c r="DJ139" s="34"/>
      <c r="DK139" s="34"/>
      <c r="DL139" s="34"/>
      <c r="DM139" s="34"/>
      <c r="DN139" s="34"/>
      <c r="DO139" s="34"/>
      <c r="DP139" s="34"/>
      <c r="DQ139" s="34"/>
      <c r="DR139" s="34"/>
      <c r="DS139" s="34"/>
      <c r="DT139" s="34"/>
    </row>
    <row r="140" spans="1:124" s="5" customFormat="1" ht="30" customHeight="1" x14ac:dyDescent="0.25">
      <c r="A140" s="484"/>
      <c r="B140" s="695" t="s">
        <v>543</v>
      </c>
      <c r="C140" s="471">
        <v>449982</v>
      </c>
      <c r="D140" s="717"/>
      <c r="E140" s="479" t="s">
        <v>40</v>
      </c>
      <c r="F140" s="731" t="s">
        <v>799</v>
      </c>
      <c r="G140" s="308" t="s">
        <v>800</v>
      </c>
      <c r="H140" s="742">
        <v>1993</v>
      </c>
      <c r="I140" s="754" t="s">
        <v>195</v>
      </c>
      <c r="J140" s="765" t="s">
        <v>44</v>
      </c>
      <c r="K140" s="588">
        <v>71.3</v>
      </c>
      <c r="L140" s="791">
        <v>-55</v>
      </c>
      <c r="M140" s="334">
        <v>55</v>
      </c>
      <c r="N140" s="797">
        <v>-58</v>
      </c>
      <c r="O140" s="805">
        <f t="shared" si="33"/>
        <v>55</v>
      </c>
      <c r="P140" s="336">
        <v>55</v>
      </c>
      <c r="Q140" s="336">
        <v>60</v>
      </c>
      <c r="R140" s="808">
        <v>-65</v>
      </c>
      <c r="S140" s="805">
        <f t="shared" si="34"/>
        <v>60</v>
      </c>
      <c r="T140" s="811">
        <f t="shared" ref="T140:T145" si="44">IF(E140="","",IF(OR(O140=0,S140=0),0,O140+S140))</f>
        <v>115</v>
      </c>
      <c r="U140" s="309" t="str">
        <f t="shared" si="40"/>
        <v>DEB -20</v>
      </c>
      <c r="V140" s="310" t="str">
        <f>IF(E140=0," ",IF(E140="H",IF(H140&lt;1999,VLOOKUP(K140,[5]Minimas!$A$15:$F$29,6),IF(AND(H140&gt;1998,H140&lt;2002),VLOOKUP(K140,[5]Minimas!$A$15:$F$29,5),IF(AND(H140&gt;2001,H140&lt;2004),VLOOKUP(K140,[5]Minimas!$A$15:$F$29,4),IF(AND(H140&gt;2003,H140&lt;2006),VLOOKUP(K140,[5]Minimas!$A$15:$F$29,3),VLOOKUP(K140,[5]Minimas!$A$15:$F$29,2))))),IF(H140&lt;1999,VLOOKUP(K140,[5]Minimas!$G$15:$L$29,6),IF(AND(H140&gt;1998,H140&lt;2002),VLOOKUP(K140,[5]Minimas!$G$15:$L$29,5),IF(AND(H140&gt;2001,H140&lt;2004),VLOOKUP(K140,[5]Minimas!$G$15:$L$29,4),IF(AND(H140&gt;2003,H140&lt;2006),VLOOKUP(K140,[5]Minimas!$G$15:$L$29,3),VLOOKUP(K140,[5]Minimas!$G$15:$L$29,2)))))))</f>
        <v>SE M73</v>
      </c>
      <c r="W140" s="311">
        <f t="shared" si="36"/>
        <v>149.89181865313481</v>
      </c>
      <c r="X140" s="257">
        <v>43555</v>
      </c>
      <c r="Y140" s="261" t="s">
        <v>805</v>
      </c>
      <c r="Z140" s="261" t="s">
        <v>806</v>
      </c>
      <c r="AA140" s="232"/>
      <c r="AB140" s="230">
        <f>T140-HLOOKUP(V140,[5]Minimas!$C$3:$CD$12,2,FALSE)</f>
        <v>-20</v>
      </c>
      <c r="AC140" s="230">
        <f>T140-HLOOKUP(V140,[5]Minimas!$C$3:$CD$12,3,FALSE)</f>
        <v>-45</v>
      </c>
      <c r="AD140" s="230">
        <f>T140-HLOOKUP(V140,[5]Minimas!$C$3:$CD$12,4,FALSE)</f>
        <v>-70</v>
      </c>
      <c r="AE140" s="230">
        <f>T140-HLOOKUP(V140,[5]Minimas!$C$3:$CD$12,5,FALSE)</f>
        <v>-95</v>
      </c>
      <c r="AF140" s="230">
        <f>T140-HLOOKUP(V140,[5]Minimas!$C$3:$CD$12,6,FALSE)</f>
        <v>-125</v>
      </c>
      <c r="AG140" s="230">
        <f>T140-HLOOKUP(V140,[5]Minimas!$C$3:$CD$12,7,FALSE)</f>
        <v>-145</v>
      </c>
      <c r="AH140" s="230">
        <f>T140-HLOOKUP(V140,[5]Minimas!$C$3:$CD$12,8,FALSE)</f>
        <v>-165</v>
      </c>
      <c r="AI140" s="230">
        <f>T140-HLOOKUP(V140,[5]Minimas!$C$3:$CD$12,9,FALSE)</f>
        <v>-185</v>
      </c>
      <c r="AJ140" s="230">
        <f>T140-HLOOKUP(V140,[5]Minimas!$C$3:$CD$12,10,FALSE)</f>
        <v>-200</v>
      </c>
      <c r="AK140" s="231" t="str">
        <f t="shared" si="41"/>
        <v>DEB</v>
      </c>
      <c r="AL140" s="232"/>
      <c r="AM140" s="232" t="str">
        <f t="shared" si="43"/>
        <v>DEB</v>
      </c>
      <c r="AN140" s="232">
        <f t="shared" si="42"/>
        <v>-20</v>
      </c>
      <c r="AO140" s="232"/>
      <c r="AP140" s="485"/>
      <c r="AQ140" s="485"/>
      <c r="AR140" s="485"/>
      <c r="AS140" s="485"/>
      <c r="AT140" s="485"/>
      <c r="AU140" s="485"/>
      <c r="AV140" s="485"/>
      <c r="AW140" s="485"/>
      <c r="AX140" s="485"/>
      <c r="AY140" s="485"/>
      <c r="AZ140" s="485"/>
      <c r="BA140" s="485"/>
      <c r="BB140" s="485"/>
      <c r="BC140" s="485"/>
      <c r="BD140" s="485"/>
      <c r="BE140" s="485"/>
      <c r="BF140" s="485"/>
      <c r="BG140" s="485"/>
      <c r="BH140" s="485"/>
      <c r="BI140" s="485"/>
      <c r="BJ140" s="485"/>
      <c r="BK140" s="485"/>
      <c r="BL140" s="485"/>
      <c r="BM140" s="485"/>
      <c r="BN140" s="485"/>
      <c r="BO140" s="485"/>
      <c r="BP140" s="485"/>
      <c r="BQ140" s="485"/>
      <c r="BR140" s="485"/>
      <c r="BS140" s="485"/>
      <c r="BT140" s="485"/>
      <c r="BU140" s="485"/>
      <c r="BV140" s="485"/>
      <c r="BW140" s="485"/>
      <c r="BX140" s="485"/>
      <c r="BY140" s="485"/>
      <c r="BZ140" s="485"/>
      <c r="CA140" s="485"/>
      <c r="CB140" s="485"/>
      <c r="CC140" s="485"/>
      <c r="CD140" s="485"/>
      <c r="CE140" s="485"/>
      <c r="CF140" s="485"/>
      <c r="CG140" s="485"/>
      <c r="CH140" s="485"/>
      <c r="CI140" s="485"/>
      <c r="CJ140" s="485"/>
      <c r="CK140" s="485"/>
      <c r="CL140" s="485"/>
      <c r="CM140" s="485"/>
      <c r="CN140" s="485"/>
      <c r="CO140" s="485"/>
      <c r="CP140" s="485"/>
      <c r="CQ140" s="485"/>
      <c r="CR140" s="485"/>
      <c r="CS140" s="485"/>
      <c r="CT140" s="485"/>
      <c r="CU140" s="485"/>
      <c r="CV140" s="485"/>
      <c r="CW140" s="485"/>
      <c r="CX140" s="485"/>
      <c r="CY140" s="485"/>
      <c r="CZ140" s="485"/>
      <c r="DA140" s="485"/>
      <c r="DB140" s="485"/>
      <c r="DC140" s="485"/>
      <c r="DD140" s="485"/>
      <c r="DE140" s="485"/>
      <c r="DF140" s="485"/>
      <c r="DG140" s="485"/>
      <c r="DH140" s="485"/>
      <c r="DI140" s="485"/>
      <c r="DJ140" s="485"/>
      <c r="DK140" s="485"/>
      <c r="DL140" s="485"/>
      <c r="DM140" s="485"/>
      <c r="DN140" s="485"/>
      <c r="DO140" s="485"/>
      <c r="DP140" s="485"/>
      <c r="DQ140" s="485"/>
      <c r="DR140" s="485"/>
      <c r="DS140" s="485"/>
      <c r="DT140" s="485"/>
    </row>
    <row r="141" spans="1:124" s="5" customFormat="1" ht="30" customHeight="1" x14ac:dyDescent="0.25">
      <c r="B141" s="694" t="s">
        <v>543</v>
      </c>
      <c r="C141" s="821">
        <v>182173</v>
      </c>
      <c r="D141" s="864"/>
      <c r="E141" s="479" t="s">
        <v>40</v>
      </c>
      <c r="F141" s="731" t="s">
        <v>712</v>
      </c>
      <c r="G141" s="308" t="s">
        <v>428</v>
      </c>
      <c r="H141" s="742">
        <v>1940</v>
      </c>
      <c r="I141" s="754" t="s">
        <v>170</v>
      </c>
      <c r="J141" s="765" t="s">
        <v>44</v>
      </c>
      <c r="K141" s="342">
        <v>72.2</v>
      </c>
      <c r="L141" s="333">
        <v>35</v>
      </c>
      <c r="M141" s="334">
        <v>38</v>
      </c>
      <c r="N141" s="334">
        <v>-40</v>
      </c>
      <c r="O141" s="804">
        <f t="shared" si="33"/>
        <v>38</v>
      </c>
      <c r="P141" s="336">
        <v>50</v>
      </c>
      <c r="Q141" s="336">
        <v>52</v>
      </c>
      <c r="R141" s="336">
        <v>-55</v>
      </c>
      <c r="S141" s="804">
        <f t="shared" si="34"/>
        <v>52</v>
      </c>
      <c r="T141" s="810">
        <f t="shared" si="44"/>
        <v>90</v>
      </c>
      <c r="U141" s="812" t="str">
        <f t="shared" si="40"/>
        <v>DEB -45</v>
      </c>
      <c r="V141" s="813" t="str">
        <f>IF(E141=0," ",IF(E141="H",IF(H141&lt;1999,VLOOKUP(K141,[28]Minimas!$A$15:$F$29,6),IF(AND(H141&gt;1998,H141&lt;2002),VLOOKUP(K141,[28]Minimas!$A$15:$F$29,5),IF(AND(H141&gt;2001,H141&lt;2004),VLOOKUP(K141,[28]Minimas!$A$15:$F$29,4),IF(AND(H141&gt;2003,H141&lt;2006),VLOOKUP(K141,[28]Minimas!$A$15:$F$29,3),VLOOKUP(K141,[28]Minimas!$A$15:$F$29,2))))),IF(H141&lt;1999,VLOOKUP(K141,[28]Minimas!$G$15:$L$29,6),IF(AND(H141&gt;1998,H141&lt;2002),VLOOKUP(K141,[28]Minimas!$G$15:$L$29,5),IF(AND(H141&gt;2001,H141&lt;2004),VLOOKUP(K141,[28]Minimas!$G$15:$L$29,4),IF(AND(H141&gt;2003,H141&lt;2006),VLOOKUP(K141,[28]Minimas!$G$15:$L$29,3),VLOOKUP(K141,[28]Minimas!$G$15:$L$29,2)))))))</f>
        <v>SE M73</v>
      </c>
      <c r="W141" s="816">
        <f t="shared" si="36"/>
        <v>116.45010150848739</v>
      </c>
      <c r="X141" s="257">
        <v>43526</v>
      </c>
      <c r="Y141" s="261" t="s">
        <v>705</v>
      </c>
      <c r="Z141" s="261" t="s">
        <v>711</v>
      </c>
      <c r="AA141" s="232"/>
      <c r="AB141" s="230">
        <f>T141-HLOOKUP(V141,[28]Minimas!$C$3:$CD$12,2,FALSE)</f>
        <v>-45</v>
      </c>
      <c r="AC141" s="230">
        <f>T141-HLOOKUP(V141,[28]Minimas!$C$3:$CD$12,3,FALSE)</f>
        <v>-70</v>
      </c>
      <c r="AD141" s="230">
        <f>T141-HLOOKUP(V141,[28]Minimas!$C$3:$CD$12,4,FALSE)</f>
        <v>-95</v>
      </c>
      <c r="AE141" s="230">
        <f>T141-HLOOKUP(V141,[28]Minimas!$C$3:$CD$12,5,FALSE)</f>
        <v>-120</v>
      </c>
      <c r="AF141" s="230">
        <f>T141-HLOOKUP(V141,[28]Minimas!$C$3:$CD$12,6,FALSE)</f>
        <v>-150</v>
      </c>
      <c r="AG141" s="230">
        <f>T141-HLOOKUP(V141,[28]Minimas!$C$3:$CD$12,7,FALSE)</f>
        <v>-170</v>
      </c>
      <c r="AH141" s="230">
        <f>T141-HLOOKUP(V141,[28]Minimas!$C$3:$CD$12,8,FALSE)</f>
        <v>-190</v>
      </c>
      <c r="AI141" s="230">
        <f>T141-HLOOKUP(V141,[28]Minimas!$C$3:$CD$12,9,FALSE)</f>
        <v>-210</v>
      </c>
      <c r="AJ141" s="230">
        <f>T141-HLOOKUP(V141,[28]Minimas!$C$3:$CD$12,10,FALSE)</f>
        <v>-225</v>
      </c>
      <c r="AK141" s="231" t="str">
        <f t="shared" si="41"/>
        <v>DEB</v>
      </c>
      <c r="AL141" s="232"/>
      <c r="AM141" s="232" t="str">
        <f t="shared" si="43"/>
        <v>DEB</v>
      </c>
      <c r="AN141" s="232">
        <f t="shared" si="42"/>
        <v>-45</v>
      </c>
      <c r="AO141" s="232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  <c r="BF141" s="38"/>
      <c r="BG141" s="38"/>
      <c r="BH141" s="38"/>
      <c r="BI141" s="38"/>
      <c r="BJ141" s="38"/>
      <c r="BK141" s="38"/>
      <c r="BL141" s="38"/>
      <c r="BM141" s="38"/>
      <c r="BN141" s="38"/>
      <c r="BO141" s="38"/>
      <c r="BP141" s="38"/>
      <c r="BQ141" s="38"/>
      <c r="BR141" s="38"/>
      <c r="BS141" s="38"/>
      <c r="BT141" s="38"/>
      <c r="BU141" s="38"/>
      <c r="BV141" s="38"/>
      <c r="BW141" s="38"/>
      <c r="BX141" s="38"/>
      <c r="BY141" s="38"/>
      <c r="BZ141" s="38"/>
      <c r="CA141" s="38"/>
      <c r="CB141" s="38"/>
      <c r="CC141" s="38"/>
      <c r="CD141" s="38"/>
      <c r="CE141" s="38"/>
      <c r="CF141" s="38"/>
      <c r="CG141" s="38"/>
      <c r="CH141" s="38"/>
      <c r="CI141" s="38"/>
      <c r="CJ141" s="38"/>
      <c r="CK141" s="38"/>
      <c r="CL141" s="38"/>
      <c r="CM141" s="38"/>
      <c r="CN141" s="38"/>
      <c r="CO141" s="38"/>
      <c r="CP141" s="38"/>
      <c r="CQ141" s="38"/>
      <c r="CR141" s="38"/>
      <c r="CS141" s="38"/>
      <c r="CT141" s="38"/>
      <c r="CU141" s="38"/>
      <c r="CV141" s="38"/>
      <c r="CW141" s="38"/>
      <c r="CX141" s="38"/>
      <c r="CY141" s="38"/>
      <c r="CZ141" s="38"/>
      <c r="DA141" s="38"/>
      <c r="DB141" s="38"/>
      <c r="DC141" s="38"/>
      <c r="DD141" s="38"/>
      <c r="DE141" s="38"/>
      <c r="DF141" s="38"/>
      <c r="DG141" s="38"/>
      <c r="DH141" s="38"/>
      <c r="DI141" s="38"/>
      <c r="DJ141" s="38"/>
      <c r="DK141" s="38"/>
      <c r="DL141" s="38"/>
      <c r="DM141" s="38"/>
      <c r="DN141" s="38"/>
      <c r="DO141" s="38"/>
      <c r="DP141" s="38"/>
      <c r="DQ141" s="38"/>
      <c r="DR141" s="38"/>
      <c r="DS141" s="38"/>
      <c r="DT141" s="38"/>
    </row>
    <row r="142" spans="1:124" s="5" customFormat="1" ht="30" customHeight="1" x14ac:dyDescent="0.25">
      <c r="B142" s="695" t="s">
        <v>543</v>
      </c>
      <c r="C142" s="471">
        <v>431576</v>
      </c>
      <c r="D142" s="717"/>
      <c r="E142" s="479" t="s">
        <v>40</v>
      </c>
      <c r="F142" s="731" t="s">
        <v>794</v>
      </c>
      <c r="G142" s="308" t="s">
        <v>795</v>
      </c>
      <c r="H142" s="742">
        <v>1977</v>
      </c>
      <c r="I142" s="754" t="s">
        <v>796</v>
      </c>
      <c r="J142" s="765" t="s">
        <v>44</v>
      </c>
      <c r="K142" s="588">
        <v>72.5</v>
      </c>
      <c r="L142" s="791">
        <v>-68</v>
      </c>
      <c r="M142" s="334">
        <v>68</v>
      </c>
      <c r="N142" s="797">
        <v>-71</v>
      </c>
      <c r="O142" s="805">
        <f t="shared" si="33"/>
        <v>68</v>
      </c>
      <c r="P142" s="808">
        <v>-102</v>
      </c>
      <c r="Q142" s="808">
        <v>-102</v>
      </c>
      <c r="R142" s="808">
        <v>-102</v>
      </c>
      <c r="S142" s="805">
        <f t="shared" si="34"/>
        <v>0</v>
      </c>
      <c r="T142" s="811">
        <f t="shared" si="44"/>
        <v>0</v>
      </c>
      <c r="U142" s="309" t="str">
        <f t="shared" si="40"/>
        <v>DEB -135</v>
      </c>
      <c r="V142" s="310" t="str">
        <f>IF(E142=0," ",IF(E142="H",IF(H142&lt;1999,VLOOKUP(K142,[5]Minimas!$A$15:$F$29,6),IF(AND(H142&gt;1998,H142&lt;2002),VLOOKUP(K142,[5]Minimas!$A$15:$F$29,5),IF(AND(H142&gt;2001,H142&lt;2004),VLOOKUP(K142,[5]Minimas!$A$15:$F$29,4),IF(AND(H142&gt;2003,H142&lt;2006),VLOOKUP(K142,[5]Minimas!$A$15:$F$29,3),VLOOKUP(K142,[5]Minimas!$A$15:$F$29,2))))),IF(H142&lt;1999,VLOOKUP(K142,[5]Minimas!$G$15:$L$29,6),IF(AND(H142&gt;1998,H142&lt;2002),VLOOKUP(K142,[5]Minimas!$G$15:$L$29,5),IF(AND(H142&gt;2001,H142&lt;2004),VLOOKUP(K142,[5]Minimas!$G$15:$L$29,4),IF(AND(H142&gt;2003,H142&lt;2006),VLOOKUP(K142,[5]Minimas!$G$15:$L$29,3),VLOOKUP(K142,[5]Minimas!$G$15:$L$29,2)))))))</f>
        <v>SE M73</v>
      </c>
      <c r="W142" s="311">
        <f t="shared" si="36"/>
        <v>0</v>
      </c>
      <c r="X142" s="257">
        <v>43555</v>
      </c>
      <c r="Y142" s="261" t="s">
        <v>805</v>
      </c>
      <c r="Z142" s="261" t="s">
        <v>806</v>
      </c>
      <c r="AA142" s="232"/>
      <c r="AB142" s="230">
        <f>T142-HLOOKUP(V142,[5]Minimas!$C$3:$CD$12,2,FALSE)</f>
        <v>-135</v>
      </c>
      <c r="AC142" s="230">
        <f>T142-HLOOKUP(V142,[5]Minimas!$C$3:$CD$12,3,FALSE)</f>
        <v>-160</v>
      </c>
      <c r="AD142" s="230">
        <f>T142-HLOOKUP(V142,[5]Minimas!$C$3:$CD$12,4,FALSE)</f>
        <v>-185</v>
      </c>
      <c r="AE142" s="230">
        <f>T142-HLOOKUP(V142,[5]Minimas!$C$3:$CD$12,5,FALSE)</f>
        <v>-210</v>
      </c>
      <c r="AF142" s="230">
        <f>T142-HLOOKUP(V142,[5]Minimas!$C$3:$CD$12,6,FALSE)</f>
        <v>-240</v>
      </c>
      <c r="AG142" s="230">
        <f>T142-HLOOKUP(V142,[5]Minimas!$C$3:$CD$12,7,FALSE)</f>
        <v>-260</v>
      </c>
      <c r="AH142" s="230">
        <f>T142-HLOOKUP(V142,[5]Minimas!$C$3:$CD$12,8,FALSE)</f>
        <v>-280</v>
      </c>
      <c r="AI142" s="230">
        <f>T142-HLOOKUP(V142,[5]Minimas!$C$3:$CD$12,9,FALSE)</f>
        <v>-300</v>
      </c>
      <c r="AJ142" s="230">
        <f>T142-HLOOKUP(V142,[5]Minimas!$C$3:$CD$12,10,FALSE)</f>
        <v>-315</v>
      </c>
      <c r="AK142" s="231" t="str">
        <f t="shared" si="41"/>
        <v>DEB</v>
      </c>
      <c r="AL142" s="232"/>
      <c r="AM142" s="232" t="str">
        <f t="shared" si="43"/>
        <v>DEB</v>
      </c>
      <c r="AN142" s="232">
        <f t="shared" si="42"/>
        <v>-135</v>
      </c>
      <c r="AO142" s="232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  <c r="BF142" s="38"/>
      <c r="BG142" s="38"/>
      <c r="BH142" s="38"/>
      <c r="BI142" s="38"/>
      <c r="BJ142" s="38"/>
      <c r="BK142" s="38"/>
      <c r="BL142" s="38"/>
      <c r="BM142" s="38"/>
      <c r="BN142" s="38"/>
      <c r="BO142" s="38"/>
      <c r="BP142" s="38"/>
      <c r="BQ142" s="38"/>
      <c r="BR142" s="38"/>
      <c r="BS142" s="38"/>
      <c r="BT142" s="38"/>
      <c r="BU142" s="38"/>
      <c r="BV142" s="38"/>
      <c r="BW142" s="38"/>
      <c r="BX142" s="38"/>
      <c r="BY142" s="38"/>
      <c r="BZ142" s="38"/>
      <c r="CA142" s="38"/>
      <c r="CB142" s="38"/>
      <c r="CC142" s="38"/>
      <c r="CD142" s="38"/>
      <c r="CE142" s="38"/>
      <c r="CF142" s="38"/>
      <c r="CG142" s="38"/>
      <c r="CH142" s="38"/>
      <c r="CI142" s="38"/>
      <c r="CJ142" s="38"/>
      <c r="CK142" s="38"/>
      <c r="CL142" s="38"/>
      <c r="CM142" s="38"/>
      <c r="CN142" s="38"/>
      <c r="CO142" s="38"/>
      <c r="CP142" s="38"/>
      <c r="CQ142" s="38"/>
      <c r="CR142" s="38"/>
      <c r="CS142" s="38"/>
      <c r="CT142" s="38"/>
      <c r="CU142" s="38"/>
      <c r="CV142" s="38"/>
      <c r="CW142" s="38"/>
      <c r="CX142" s="38"/>
      <c r="CY142" s="38"/>
      <c r="CZ142" s="38"/>
      <c r="DA142" s="38"/>
      <c r="DB142" s="38"/>
      <c r="DC142" s="38"/>
      <c r="DD142" s="38"/>
      <c r="DE142" s="38"/>
      <c r="DF142" s="38"/>
      <c r="DG142" s="38"/>
      <c r="DH142" s="38"/>
      <c r="DI142" s="38"/>
      <c r="DJ142" s="38"/>
      <c r="DK142" s="38"/>
      <c r="DL142" s="38"/>
      <c r="DM142" s="38"/>
      <c r="DN142" s="38"/>
      <c r="DO142" s="38"/>
      <c r="DP142" s="38"/>
      <c r="DQ142" s="38"/>
      <c r="DR142" s="38"/>
      <c r="DS142" s="38"/>
      <c r="DT142" s="38"/>
    </row>
    <row r="143" spans="1:124" s="5" customFormat="1" ht="30" customHeight="1" x14ac:dyDescent="0.3">
      <c r="B143" s="515" t="s">
        <v>543</v>
      </c>
      <c r="C143" s="525">
        <v>413847</v>
      </c>
      <c r="D143" s="532"/>
      <c r="E143" s="406" t="s">
        <v>40</v>
      </c>
      <c r="F143" s="414" t="s">
        <v>368</v>
      </c>
      <c r="G143" s="415" t="s">
        <v>369</v>
      </c>
      <c r="H143" s="416">
        <v>1988</v>
      </c>
      <c r="I143" s="750" t="s">
        <v>173</v>
      </c>
      <c r="J143" s="578" t="s">
        <v>44</v>
      </c>
      <c r="K143" s="581">
        <v>72.7</v>
      </c>
      <c r="L143" s="590">
        <v>-85</v>
      </c>
      <c r="M143" s="457">
        <v>85</v>
      </c>
      <c r="N143" s="457">
        <v>90</v>
      </c>
      <c r="O143" s="490">
        <f t="shared" si="33"/>
        <v>90</v>
      </c>
      <c r="P143" s="590">
        <v>-120</v>
      </c>
      <c r="Q143" s="597">
        <v>-120</v>
      </c>
      <c r="R143" s="597">
        <v>-125</v>
      </c>
      <c r="S143" s="490">
        <f t="shared" si="34"/>
        <v>0</v>
      </c>
      <c r="T143" s="489">
        <f t="shared" si="44"/>
        <v>0</v>
      </c>
      <c r="U143" s="48" t="str">
        <f t="shared" si="40"/>
        <v>DEB -135</v>
      </c>
      <c r="V143" s="48" t="str">
        <f>IF(E143=0," ",IF(E143="H",IF(H143&lt;1999,VLOOKUP(K143,Minimas!$A$15:$F$29,6),IF(AND(H143&gt;1998,H143&lt;2002),VLOOKUP(K143,Minimas!$A$15:$F$29,5),IF(AND(H143&gt;2001,H143&lt;2004),VLOOKUP(K143,Minimas!$A$15:$F$29,4),IF(AND(H143&gt;2003,H143&lt;2006),VLOOKUP(K143,Minimas!$A$15:$F$29,3),VLOOKUP(K143,Minimas!$A$15:$F$29,2))))),IF(H143&lt;1999,VLOOKUP(K143,Minimas!$G$15:$L$29,6),IF(AND(H143&gt;1998,H143&lt;2002),VLOOKUP(K143,Minimas!$G$15:$L$29,5),IF(AND(H143&gt;2001,H143&lt;2004),VLOOKUP(K143,Minimas!$G$15:$L$29,4),IF(AND(H143&gt;2003,H143&lt;2006),VLOOKUP(K143,Minimas!$G$15:$L$29,3),VLOOKUP(K143,Minimas!$G$15:$L$29,2)))))))</f>
        <v>SE M73</v>
      </c>
      <c r="W143" s="49">
        <f t="shared" si="36"/>
        <v>0</v>
      </c>
      <c r="X143" s="184">
        <v>43401</v>
      </c>
      <c r="Y143" s="284" t="s">
        <v>507</v>
      </c>
      <c r="Z143" s="284" t="s">
        <v>506</v>
      </c>
      <c r="AA143" s="232"/>
      <c r="AB143" s="230">
        <f>T143-HLOOKUP(V143,Minimas!$C$3:$CD$12,2,FALSE)</f>
        <v>-135</v>
      </c>
      <c r="AC143" s="230">
        <f>T143-HLOOKUP(V143,Minimas!$C$3:$CD$12,3,FALSE)</f>
        <v>-160</v>
      </c>
      <c r="AD143" s="230">
        <f>T143-HLOOKUP(V143,Minimas!$C$3:$CD$12,4,FALSE)</f>
        <v>-185</v>
      </c>
      <c r="AE143" s="230">
        <f>T143-HLOOKUP(V143,Minimas!$C$3:$CD$12,5,FALSE)</f>
        <v>-210</v>
      </c>
      <c r="AF143" s="230">
        <f>T143-HLOOKUP(V143,Minimas!$C$3:$CD$12,6,FALSE)</f>
        <v>-240</v>
      </c>
      <c r="AG143" s="230">
        <f>T143-HLOOKUP(V143,Minimas!$C$3:$CD$12,7,FALSE)</f>
        <v>-260</v>
      </c>
      <c r="AH143" s="230">
        <f>T143-HLOOKUP(V143,Minimas!$C$3:$CD$12,8,FALSE)</f>
        <v>-280</v>
      </c>
      <c r="AI143" s="230">
        <f>T143-HLOOKUP(V143,Minimas!$C$3:$CD$12,9,FALSE)</f>
        <v>-300</v>
      </c>
      <c r="AJ143" s="230">
        <f>T143-HLOOKUP(V143,Minimas!$C$3:$CD$12,10,FALSE)</f>
        <v>-315</v>
      </c>
      <c r="AK143" s="231" t="str">
        <f t="shared" si="41"/>
        <v>DEB</v>
      </c>
      <c r="AL143" s="232"/>
      <c r="AM143" s="232" t="str">
        <f t="shared" si="43"/>
        <v>DEB</v>
      </c>
      <c r="AN143" s="232">
        <f t="shared" si="42"/>
        <v>-135</v>
      </c>
      <c r="AO143" s="232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  <c r="BF143" s="38"/>
      <c r="BG143" s="38"/>
      <c r="BH143" s="38"/>
      <c r="BI143" s="38"/>
      <c r="BJ143" s="38"/>
      <c r="BK143" s="38"/>
      <c r="BL143" s="38"/>
      <c r="BM143" s="38"/>
      <c r="BN143" s="38"/>
      <c r="BO143" s="38"/>
      <c r="BP143" s="38"/>
      <c r="BQ143" s="38"/>
      <c r="BR143" s="38"/>
      <c r="BS143" s="38"/>
      <c r="BT143" s="38"/>
      <c r="BU143" s="38"/>
      <c r="BV143" s="38"/>
      <c r="BW143" s="38"/>
      <c r="BX143" s="38"/>
      <c r="BY143" s="38"/>
      <c r="BZ143" s="38"/>
      <c r="CA143" s="38"/>
      <c r="CB143" s="38"/>
      <c r="CC143" s="38"/>
      <c r="CD143" s="38"/>
      <c r="CE143" s="38"/>
      <c r="CF143" s="38"/>
      <c r="CG143" s="38"/>
      <c r="CH143" s="38"/>
      <c r="CI143" s="38"/>
      <c r="CJ143" s="38"/>
      <c r="CK143" s="38"/>
      <c r="CL143" s="38"/>
      <c r="CM143" s="38"/>
      <c r="CN143" s="38"/>
      <c r="CO143" s="38"/>
      <c r="CP143" s="38"/>
      <c r="CQ143" s="38"/>
      <c r="CR143" s="38"/>
      <c r="CS143" s="38"/>
      <c r="CT143" s="38"/>
      <c r="CU143" s="38"/>
      <c r="CV143" s="38"/>
      <c r="CW143" s="38"/>
      <c r="CX143" s="38"/>
      <c r="CY143" s="38"/>
      <c r="CZ143" s="38"/>
      <c r="DA143" s="38"/>
      <c r="DB143" s="38"/>
      <c r="DC143" s="38"/>
      <c r="DD143" s="38"/>
      <c r="DE143" s="38"/>
      <c r="DF143" s="38"/>
      <c r="DG143" s="38"/>
      <c r="DH143" s="38"/>
      <c r="DI143" s="38"/>
      <c r="DJ143" s="38"/>
      <c r="DK143" s="38"/>
      <c r="DL143" s="38"/>
      <c r="DM143" s="38"/>
      <c r="DN143" s="38"/>
      <c r="DO143" s="38"/>
      <c r="DP143" s="38"/>
      <c r="DQ143" s="38"/>
      <c r="DR143" s="38"/>
      <c r="DS143" s="38"/>
      <c r="DT143" s="38"/>
    </row>
    <row r="144" spans="1:124" s="5" customFormat="1" ht="30" customHeight="1" x14ac:dyDescent="0.25">
      <c r="B144" s="515" t="s">
        <v>543</v>
      </c>
      <c r="C144" s="468">
        <v>418160</v>
      </c>
      <c r="D144" s="313"/>
      <c r="E144" s="315" t="s">
        <v>40</v>
      </c>
      <c r="F144" s="368" t="s">
        <v>493</v>
      </c>
      <c r="G144" s="491" t="s">
        <v>658</v>
      </c>
      <c r="H144" s="559">
        <v>1987</v>
      </c>
      <c r="I144" s="314" t="s">
        <v>214</v>
      </c>
      <c r="J144" s="497" t="s">
        <v>243</v>
      </c>
      <c r="K144" s="294">
        <v>76.599999999999994</v>
      </c>
      <c r="L144" s="295">
        <v>115</v>
      </c>
      <c r="M144" s="296">
        <v>120</v>
      </c>
      <c r="N144" s="451">
        <v>-125</v>
      </c>
      <c r="O144" s="490">
        <f t="shared" si="33"/>
        <v>120</v>
      </c>
      <c r="P144" s="295">
        <v>130</v>
      </c>
      <c r="Q144" s="296">
        <v>140</v>
      </c>
      <c r="R144" s="451">
        <v>-150</v>
      </c>
      <c r="S144" s="490">
        <f t="shared" si="34"/>
        <v>140</v>
      </c>
      <c r="T144" s="489">
        <f t="shared" si="44"/>
        <v>260</v>
      </c>
      <c r="U144" s="48" t="str">
        <f t="shared" si="40"/>
        <v>FED + 10</v>
      </c>
      <c r="V144" s="48" t="str">
        <f>IF(E144=0," ",IF(E144="H",IF(H144&lt;1999,VLOOKUP(K144,Minimas!$A$15:$F$29,6),IF(AND(H144&gt;1998,H144&lt;2002),VLOOKUP(K144,Minimas!$A$15:$F$29,5),IF(AND(H144&gt;2001,H144&lt;2004),VLOOKUP(K144,Minimas!$A$15:$F$29,4),IF(AND(H144&gt;2003,H144&lt;2006),VLOOKUP(K144,Minimas!$A$15:$F$29,3),VLOOKUP(K144,Minimas!$A$15:$F$29,2))))),IF(H144&lt;1999,VLOOKUP(K144,Minimas!$G$15:$L$29,6),IF(AND(H144&gt;1998,H144&lt;2002),VLOOKUP(K144,Minimas!$G$15:$L$29,5),IF(AND(H144&gt;2001,H144&lt;2004),VLOOKUP(K144,Minimas!$G$15:$L$29,4),IF(AND(H144&gt;2003,H144&lt;2006),VLOOKUP(K144,Minimas!$G$15:$L$29,3),VLOOKUP(K144,Minimas!$G$15:$L$29,2)))))))</f>
        <v>SE M81</v>
      </c>
      <c r="W144" s="49">
        <f t="shared" si="36"/>
        <v>325.43354907411361</v>
      </c>
      <c r="X144" s="257">
        <v>43498</v>
      </c>
      <c r="Y144" s="261" t="s">
        <v>655</v>
      </c>
      <c r="Z144" s="261" t="s">
        <v>511</v>
      </c>
      <c r="AA144" s="232"/>
      <c r="AB144" s="230">
        <f>T144-HLOOKUP(V144,Minimas!$C$3:$CD$12,2,FALSE)</f>
        <v>115</v>
      </c>
      <c r="AC144" s="230">
        <f>T144-HLOOKUP(V144,Minimas!$C$3:$CD$12,3,FALSE)</f>
        <v>90</v>
      </c>
      <c r="AD144" s="230">
        <f>T144-HLOOKUP(V144,Minimas!$C$3:$CD$12,4,FALSE)</f>
        <v>65</v>
      </c>
      <c r="AE144" s="230">
        <f>T144-HLOOKUP(V144,Minimas!$C$3:$CD$12,5,FALSE)</f>
        <v>40</v>
      </c>
      <c r="AF144" s="230">
        <f>T144-HLOOKUP(V144,Minimas!$C$3:$CD$12,6,FALSE)</f>
        <v>10</v>
      </c>
      <c r="AG144" s="230">
        <f>T144-HLOOKUP(V144,Minimas!$C$3:$CD$12,7,FALSE)</f>
        <v>-15</v>
      </c>
      <c r="AH144" s="230">
        <f>T144-HLOOKUP(V144,Minimas!$C$3:$CD$12,8,FALSE)</f>
        <v>-35</v>
      </c>
      <c r="AI144" s="230">
        <f>T144-HLOOKUP(V144,Minimas!$C$3:$CD$12,9,FALSE)</f>
        <v>-60</v>
      </c>
      <c r="AJ144" s="230">
        <f>T144-HLOOKUP(V144,Minimas!$C$3:$CD$12,10,FALSE)</f>
        <v>-75</v>
      </c>
      <c r="AK144" s="231" t="str">
        <f t="shared" si="41"/>
        <v>FED +</v>
      </c>
      <c r="AL144" s="232"/>
      <c r="AM144" s="232" t="str">
        <f t="shared" si="43"/>
        <v>FED +</v>
      </c>
      <c r="AN144" s="232">
        <f t="shared" si="42"/>
        <v>10</v>
      </c>
      <c r="AO144" s="232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  <c r="BF144" s="38"/>
      <c r="BG144" s="38"/>
      <c r="BH144" s="38"/>
      <c r="BI144" s="38"/>
      <c r="BJ144" s="38"/>
      <c r="BK144" s="38"/>
      <c r="BL144" s="38"/>
      <c r="BM144" s="38"/>
      <c r="BN144" s="38"/>
      <c r="BO144" s="38"/>
      <c r="BP144" s="38"/>
      <c r="BQ144" s="38"/>
      <c r="BR144" s="38"/>
      <c r="BS144" s="38"/>
      <c r="BT144" s="38"/>
      <c r="BU144" s="38"/>
      <c r="BV144" s="38"/>
      <c r="BW144" s="38"/>
      <c r="BX144" s="38"/>
      <c r="BY144" s="38"/>
      <c r="BZ144" s="38"/>
      <c r="CA144" s="38"/>
      <c r="CB144" s="38"/>
      <c r="CC144" s="38"/>
      <c r="CD144" s="38"/>
      <c r="CE144" s="38"/>
      <c r="CF144" s="38"/>
      <c r="CG144" s="38"/>
      <c r="CH144" s="38"/>
      <c r="CI144" s="38"/>
      <c r="CJ144" s="38"/>
      <c r="CK144" s="38"/>
      <c r="CL144" s="38"/>
      <c r="CM144" s="38"/>
      <c r="CN144" s="38"/>
      <c r="CO144" s="38"/>
      <c r="CP144" s="38"/>
      <c r="CQ144" s="38"/>
      <c r="CR144" s="38"/>
      <c r="CS144" s="38"/>
      <c r="CT144" s="38"/>
      <c r="CU144" s="38"/>
      <c r="CV144" s="38"/>
      <c r="CW144" s="38"/>
      <c r="CX144" s="38"/>
      <c r="CY144" s="38"/>
      <c r="CZ144" s="38"/>
      <c r="DA144" s="38"/>
      <c r="DB144" s="38"/>
      <c r="DC144" s="38"/>
      <c r="DD144" s="38"/>
      <c r="DE144" s="38"/>
      <c r="DF144" s="38"/>
      <c r="DG144" s="38"/>
      <c r="DH144" s="38"/>
      <c r="DI144" s="38"/>
      <c r="DJ144" s="38"/>
      <c r="DK144" s="38"/>
      <c r="DL144" s="38"/>
      <c r="DM144" s="38"/>
      <c r="DN144" s="38"/>
      <c r="DO144" s="38"/>
      <c r="DP144" s="38"/>
      <c r="DQ144" s="38"/>
      <c r="DR144" s="38"/>
      <c r="DS144" s="38"/>
      <c r="DT144" s="38"/>
    </row>
    <row r="145" spans="1:124" s="5" customFormat="1" ht="30" customHeight="1" x14ac:dyDescent="0.25">
      <c r="B145" s="515" t="s">
        <v>543</v>
      </c>
      <c r="C145" s="525">
        <v>425932</v>
      </c>
      <c r="D145" s="539"/>
      <c r="E145" s="399" t="s">
        <v>40</v>
      </c>
      <c r="F145" s="423" t="s">
        <v>603</v>
      </c>
      <c r="G145" s="415" t="s">
        <v>351</v>
      </c>
      <c r="H145" s="424">
        <v>1991</v>
      </c>
      <c r="I145" s="750" t="s">
        <v>587</v>
      </c>
      <c r="J145" s="290" t="s">
        <v>44</v>
      </c>
      <c r="K145" s="581">
        <v>73.400000000000006</v>
      </c>
      <c r="L145" s="456">
        <v>100</v>
      </c>
      <c r="M145" s="457">
        <v>105</v>
      </c>
      <c r="N145" s="457">
        <v>110</v>
      </c>
      <c r="O145" s="490">
        <f t="shared" si="33"/>
        <v>110</v>
      </c>
      <c r="P145" s="456">
        <v>130</v>
      </c>
      <c r="Q145" s="596">
        <v>-135</v>
      </c>
      <c r="R145" s="457">
        <v>135</v>
      </c>
      <c r="S145" s="490">
        <f t="shared" si="34"/>
        <v>135</v>
      </c>
      <c r="T145" s="489">
        <f t="shared" si="44"/>
        <v>245</v>
      </c>
      <c r="U145" s="48" t="str">
        <f t="shared" si="40"/>
        <v>IRG + 25</v>
      </c>
      <c r="V145" s="48" t="str">
        <f>IF(E145=0," ",IF(E145="H",IF(H145&lt;1999,VLOOKUP(K145,Minimas!$A$15:$F$29,6),IF(AND(H145&gt;1998,H145&lt;2002),VLOOKUP(K145,Minimas!$A$15:$F$29,5),IF(AND(H145&gt;2001,H145&lt;2004),VLOOKUP(K145,Minimas!$A$15:$F$29,4),IF(AND(H145&gt;2003,H145&lt;2006),VLOOKUP(K145,Minimas!$A$15:$F$29,3),VLOOKUP(K145,Minimas!$A$15:$F$29,2))))),IF(H145&lt;1999,VLOOKUP(K145,Minimas!$G$15:$L$29,6),IF(AND(H145&gt;1998,H145&lt;2002),VLOOKUP(K145,Minimas!$G$15:$L$29,5),IF(AND(H145&gt;2001,H145&lt;2004),VLOOKUP(K145,Minimas!$G$15:$L$29,4),IF(AND(H145&gt;2003,H145&lt;2006),VLOOKUP(K145,Minimas!$G$15:$L$29,3),VLOOKUP(K145,Minimas!$G$15:$L$29,2)))))))</f>
        <v>SE M81</v>
      </c>
      <c r="W145" s="49">
        <f t="shared" si="36"/>
        <v>314.01387567282438</v>
      </c>
      <c r="X145" s="257">
        <v>43484</v>
      </c>
      <c r="Y145" s="261" t="s">
        <v>630</v>
      </c>
      <c r="Z145" s="261" t="s">
        <v>581</v>
      </c>
      <c r="AA145" s="232"/>
      <c r="AB145" s="230">
        <f>T145-HLOOKUP(V145,Minimas!$C$3:$CD$12,2,FALSE)</f>
        <v>100</v>
      </c>
      <c r="AC145" s="230">
        <f>T145-HLOOKUP(V145,Minimas!$C$3:$CD$12,3,FALSE)</f>
        <v>75</v>
      </c>
      <c r="AD145" s="230">
        <f>T145-HLOOKUP(V145,Minimas!$C$3:$CD$12,4,FALSE)</f>
        <v>50</v>
      </c>
      <c r="AE145" s="230">
        <f>T145-HLOOKUP(V145,Minimas!$C$3:$CD$12,5,FALSE)</f>
        <v>25</v>
      </c>
      <c r="AF145" s="230">
        <f>T145-HLOOKUP(V145,Minimas!$C$3:$CD$12,6,FALSE)</f>
        <v>-5</v>
      </c>
      <c r="AG145" s="230">
        <f>T145-HLOOKUP(V145,Minimas!$C$3:$CD$12,7,FALSE)</f>
        <v>-30</v>
      </c>
      <c r="AH145" s="230">
        <f>T145-HLOOKUP(V145,Minimas!$C$3:$CD$12,8,FALSE)</f>
        <v>-50</v>
      </c>
      <c r="AI145" s="230">
        <f>T145-HLOOKUP(V145,Minimas!$C$3:$CD$12,9,FALSE)</f>
        <v>-75</v>
      </c>
      <c r="AJ145" s="230">
        <f>T145-HLOOKUP(V145,Minimas!$C$3:$CD$12,10,FALSE)</f>
        <v>-90</v>
      </c>
      <c r="AK145" s="231" t="str">
        <f t="shared" si="41"/>
        <v>IRG +</v>
      </c>
      <c r="AL145" s="232"/>
      <c r="AM145" s="232" t="str">
        <f t="shared" si="43"/>
        <v>IRG +</v>
      </c>
      <c r="AN145" s="232">
        <f t="shared" si="42"/>
        <v>25</v>
      </c>
      <c r="AO145" s="232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  <c r="BF145" s="38"/>
      <c r="BG145" s="38"/>
      <c r="BH145" s="38"/>
      <c r="BI145" s="38"/>
      <c r="BJ145" s="38"/>
      <c r="BK145" s="38"/>
      <c r="BL145" s="38"/>
      <c r="BM145" s="38"/>
      <c r="BN145" s="38"/>
      <c r="BO145" s="38"/>
      <c r="BP145" s="38"/>
      <c r="BQ145" s="38"/>
      <c r="BR145" s="38"/>
      <c r="BS145" s="38"/>
      <c r="BT145" s="38"/>
      <c r="BU145" s="38"/>
      <c r="BV145" s="38"/>
      <c r="BW145" s="38"/>
      <c r="BX145" s="38"/>
      <c r="BY145" s="38"/>
      <c r="BZ145" s="38"/>
      <c r="CA145" s="38"/>
      <c r="CB145" s="38"/>
      <c r="CC145" s="38"/>
      <c r="CD145" s="38"/>
      <c r="CE145" s="38"/>
      <c r="CF145" s="38"/>
      <c r="CG145" s="38"/>
      <c r="CH145" s="38"/>
      <c r="CI145" s="38"/>
      <c r="CJ145" s="38"/>
      <c r="CK145" s="38"/>
      <c r="CL145" s="38"/>
      <c r="CM145" s="38"/>
      <c r="CN145" s="38"/>
      <c r="CO145" s="38"/>
      <c r="CP145" s="38"/>
      <c r="CQ145" s="38"/>
      <c r="CR145" s="38"/>
      <c r="CS145" s="38"/>
      <c r="CT145" s="38"/>
      <c r="CU145" s="38"/>
      <c r="CV145" s="38"/>
      <c r="CW145" s="38"/>
      <c r="CX145" s="38"/>
      <c r="CY145" s="38"/>
      <c r="CZ145" s="38"/>
      <c r="DA145" s="38"/>
      <c r="DB145" s="38"/>
      <c r="DC145" s="38"/>
      <c r="DD145" s="38"/>
      <c r="DE145" s="38"/>
      <c r="DF145" s="38"/>
      <c r="DG145" s="38"/>
      <c r="DH145" s="38"/>
      <c r="DI145" s="38"/>
      <c r="DJ145" s="38"/>
      <c r="DK145" s="38"/>
      <c r="DL145" s="38"/>
      <c r="DM145" s="38"/>
      <c r="DN145" s="38"/>
      <c r="DO145" s="38"/>
      <c r="DP145" s="38"/>
      <c r="DQ145" s="38"/>
      <c r="DR145" s="38"/>
      <c r="DS145" s="38"/>
      <c r="DT145" s="38"/>
    </row>
    <row r="146" spans="1:124" s="5" customFormat="1" ht="30" customHeight="1" x14ac:dyDescent="0.25">
      <c r="A146" s="1"/>
      <c r="B146" s="692" t="s">
        <v>543</v>
      </c>
      <c r="C146" s="468">
        <v>407294</v>
      </c>
      <c r="D146" s="867"/>
      <c r="E146" s="315" t="s">
        <v>40</v>
      </c>
      <c r="F146" s="826" t="s">
        <v>370</v>
      </c>
      <c r="G146" s="829" t="s">
        <v>450</v>
      </c>
      <c r="H146" s="292">
        <v>1997</v>
      </c>
      <c r="I146" s="873" t="s">
        <v>317</v>
      </c>
      <c r="J146" s="290" t="s">
        <v>44</v>
      </c>
      <c r="K146" s="488">
        <v>79.5</v>
      </c>
      <c r="L146" s="300">
        <v>103</v>
      </c>
      <c r="M146" s="301">
        <v>110</v>
      </c>
      <c r="N146" s="853">
        <v>-116</v>
      </c>
      <c r="O146" s="880">
        <v>110</v>
      </c>
      <c r="P146" s="300">
        <v>135</v>
      </c>
      <c r="Q146" s="853">
        <v>-140</v>
      </c>
      <c r="R146" s="853">
        <v>-140</v>
      </c>
      <c r="S146" s="880">
        <v>135</v>
      </c>
      <c r="T146" s="856">
        <v>245</v>
      </c>
      <c r="U146" s="48" t="str">
        <f t="shared" si="40"/>
        <v>IRG + 25</v>
      </c>
      <c r="V146" s="48" t="str">
        <f>IF(E146=0," ",IF(E146="H",IF(H146&lt;1999,VLOOKUP(K146,[10]Minimas!$A$15:$F$29,6),IF(AND(H146&gt;1998,H146&lt;2002),VLOOKUP(K146,[10]Minimas!$A$15:$F$29,5),IF(AND(H146&gt;2001,H146&lt;2004),VLOOKUP(K146,[10]Minimas!$A$15:$F$29,4),IF(AND(H146&gt;2003,H146&lt;2006),VLOOKUP(K146,[10]Minimas!$A$15:$F$29,3),VLOOKUP(K146,[10]Minimas!$A$15:$F$29,2))))),IF(H146&lt;1999,VLOOKUP(K146,[10]Minimas!$G$15:$L$29,6),IF(AND(H146&gt;1998,H146&lt;2002),VLOOKUP(K146,[10]Minimas!$G$15:$L$29,5),IF(AND(H146&gt;2001,H146&lt;2004),VLOOKUP(K146,[10]Minimas!$G$15:$L$29,4),IF(AND(H146&gt;2003,H146&lt;2006),VLOOKUP(K146,[10]Minimas!$G$15:$L$29,3),VLOOKUP(K146,[10]Minimas!$G$15:$L$29,2)))))))</f>
        <v>SE M81</v>
      </c>
      <c r="W146" s="361">
        <v>300.68511680991099</v>
      </c>
      <c r="X146" s="257">
        <v>43560</v>
      </c>
      <c r="Y146" s="261" t="s">
        <v>849</v>
      </c>
      <c r="Z146" s="261" t="s">
        <v>850</v>
      </c>
      <c r="AA146" s="232"/>
      <c r="AB146" s="230">
        <f>T146-HLOOKUP(V146,[10]Minimas!$C$3:$CD$12,2,FALSE)</f>
        <v>100</v>
      </c>
      <c r="AC146" s="230">
        <f>T146-HLOOKUP(V146,[10]Minimas!$C$3:$CD$12,3,FALSE)</f>
        <v>75</v>
      </c>
      <c r="AD146" s="230">
        <f>T146-HLOOKUP(V146,[10]Minimas!$C$3:$CD$12,4,FALSE)</f>
        <v>50</v>
      </c>
      <c r="AE146" s="230">
        <f>T146-HLOOKUP(V146,[10]Minimas!$C$3:$CD$12,5,FALSE)</f>
        <v>25</v>
      </c>
      <c r="AF146" s="230">
        <f>T146-HLOOKUP(V146,[10]Minimas!$C$3:$CD$12,6,FALSE)</f>
        <v>-5</v>
      </c>
      <c r="AG146" s="230">
        <f>T146-HLOOKUP(V146,[10]Minimas!$C$3:$CD$12,7,FALSE)</f>
        <v>-30</v>
      </c>
      <c r="AH146" s="230">
        <f>T146-HLOOKUP(V146,[10]Minimas!$C$3:$CD$12,8,FALSE)</f>
        <v>-50</v>
      </c>
      <c r="AI146" s="230">
        <f>T146-HLOOKUP(V146,[10]Minimas!$C$3:$CD$12,9,FALSE)</f>
        <v>-75</v>
      </c>
      <c r="AJ146" s="230">
        <f>T146-HLOOKUP(V146,[10]Minimas!$C$3:$CD$12,10,FALSE)</f>
        <v>-90</v>
      </c>
      <c r="AK146" s="231" t="str">
        <f t="shared" si="41"/>
        <v>IRG +</v>
      </c>
      <c r="AL146" s="232"/>
      <c r="AM146" s="232" t="str">
        <f t="shared" si="43"/>
        <v>IRG +</v>
      </c>
      <c r="AN146" s="232">
        <f t="shared" si="42"/>
        <v>25</v>
      </c>
      <c r="AO146" s="462"/>
      <c r="AP146" s="484"/>
      <c r="AQ146" s="484"/>
      <c r="AR146" s="484"/>
      <c r="AS146" s="484"/>
      <c r="AT146" s="484"/>
      <c r="AU146" s="484"/>
      <c r="AV146" s="484"/>
      <c r="AW146" s="484"/>
      <c r="AX146" s="484"/>
      <c r="AY146" s="484"/>
      <c r="AZ146" s="484"/>
      <c r="BA146" s="484"/>
      <c r="BB146" s="484"/>
      <c r="BC146" s="484"/>
      <c r="BD146" s="484"/>
      <c r="BE146" s="484"/>
      <c r="BF146" s="484"/>
      <c r="BG146" s="484"/>
      <c r="BH146" s="484"/>
      <c r="BI146" s="484"/>
      <c r="BJ146" s="484"/>
      <c r="BK146" s="484"/>
      <c r="BL146" s="484"/>
      <c r="BM146" s="484"/>
      <c r="BN146" s="484"/>
      <c r="BO146" s="484"/>
      <c r="BP146" s="484"/>
      <c r="BQ146" s="484"/>
      <c r="BR146" s="484"/>
      <c r="BS146" s="484"/>
      <c r="BT146" s="484"/>
      <c r="BU146" s="484"/>
      <c r="BV146" s="484"/>
      <c r="BW146" s="484"/>
      <c r="BX146" s="484"/>
      <c r="BY146" s="484"/>
      <c r="BZ146" s="484"/>
      <c r="CA146" s="484"/>
      <c r="CB146" s="484"/>
      <c r="CC146" s="484"/>
      <c r="CD146" s="484"/>
      <c r="CE146" s="484"/>
      <c r="CF146" s="484"/>
      <c r="CG146" s="484"/>
      <c r="CH146" s="484"/>
      <c r="CI146" s="484"/>
      <c r="CJ146" s="484"/>
      <c r="CK146" s="484"/>
      <c r="CL146" s="484"/>
      <c r="CM146" s="484"/>
      <c r="CN146" s="484"/>
      <c r="CO146" s="484"/>
      <c r="CP146" s="484"/>
      <c r="CQ146" s="484"/>
      <c r="CR146" s="484"/>
      <c r="CS146" s="484"/>
      <c r="CT146" s="484"/>
      <c r="CU146" s="484"/>
      <c r="CV146" s="484"/>
      <c r="CW146" s="484"/>
      <c r="CX146" s="484"/>
      <c r="CY146" s="484"/>
      <c r="CZ146" s="484"/>
      <c r="DA146" s="484"/>
      <c r="DB146" s="484"/>
      <c r="DC146" s="484"/>
      <c r="DD146" s="484"/>
      <c r="DE146" s="484"/>
      <c r="DF146" s="484"/>
      <c r="DG146" s="484"/>
      <c r="DH146" s="484"/>
      <c r="DI146" s="484"/>
      <c r="DJ146" s="484"/>
      <c r="DK146" s="484"/>
      <c r="DL146" s="484"/>
      <c r="DM146" s="484"/>
      <c r="DN146" s="484"/>
      <c r="DO146" s="484"/>
      <c r="DP146" s="484"/>
      <c r="DQ146" s="484"/>
      <c r="DR146" s="1"/>
      <c r="DS146" s="1"/>
      <c r="DT146" s="1"/>
    </row>
    <row r="147" spans="1:124" s="5" customFormat="1" ht="30" customHeight="1" x14ac:dyDescent="0.5">
      <c r="B147" s="515" t="s">
        <v>543</v>
      </c>
      <c r="C147" s="527">
        <v>86808</v>
      </c>
      <c r="D147" s="535"/>
      <c r="E147" s="722" t="s">
        <v>40</v>
      </c>
      <c r="F147" s="729" t="s">
        <v>239</v>
      </c>
      <c r="G147" s="736" t="s">
        <v>240</v>
      </c>
      <c r="H147" s="534">
        <v>1989</v>
      </c>
      <c r="I147" s="839" t="s">
        <v>214</v>
      </c>
      <c r="J147" s="766" t="s">
        <v>44</v>
      </c>
      <c r="K147" s="589">
        <v>78.900000000000006</v>
      </c>
      <c r="L147" s="591">
        <v>100</v>
      </c>
      <c r="M147" s="595">
        <v>105</v>
      </c>
      <c r="N147" s="595">
        <v>110</v>
      </c>
      <c r="O147" s="501">
        <f t="shared" ref="O147:O160" si="45">IF(E147="","",IF(MAXA(L147:N147)&lt;=0,0,MAXA(L147:N147)))</f>
        <v>110</v>
      </c>
      <c r="P147" s="795">
        <v>113</v>
      </c>
      <c r="Q147" s="795">
        <v>120</v>
      </c>
      <c r="R147" s="795">
        <v>125</v>
      </c>
      <c r="S147" s="501">
        <f t="shared" ref="S147:S160" si="46">IF(E147="","",IF(MAXA(P147:R147)&lt;=0,0,MAXA(P147:R147)))</f>
        <v>125</v>
      </c>
      <c r="T147" s="502">
        <f t="shared" ref="T147:T157" si="47">IF(E147="","",IF(OR(O147=0,S147=0),0,O147+S147))</f>
        <v>235</v>
      </c>
      <c r="U147" s="48" t="str">
        <f t="shared" si="40"/>
        <v>IRG + 15</v>
      </c>
      <c r="V147" s="48" t="str">
        <f>IF(E147=0," ",IF(E147="H",IF(H147&lt;1999,VLOOKUP(K147,Minimas!$A$15:$F$29,6),IF(AND(H147&gt;1998,H147&lt;2002),VLOOKUP(K147,Minimas!$A$15:$F$29,5),IF(AND(H147&gt;2001,H147&lt;2004),VLOOKUP(K147,Minimas!$A$15:$F$29,4),IF(AND(H147&gt;2003,H147&lt;2006),VLOOKUP(K147,Minimas!$A$15:$F$29,3),VLOOKUP(K147,Minimas!$A$15:$F$29,2))))),IF(H147&lt;1999,VLOOKUP(K147,Minimas!$G$15:$L$29,6),IF(AND(H147&gt;1998,H147&lt;2002),VLOOKUP(K147,Minimas!$G$15:$L$29,5),IF(AND(H147&gt;2001,H147&lt;2004),VLOOKUP(K147,Minimas!$G$15:$L$29,4),IF(AND(H147&gt;2003,H147&lt;2006),VLOOKUP(K147,Minimas!$G$15:$L$29,3),VLOOKUP(K147,Minimas!$G$15:$L$29,2)))))))</f>
        <v>SE M81</v>
      </c>
      <c r="W147" s="49">
        <f t="shared" ref="W147:W160" si="48">IF(E147=" "," ",IF(E147="H",10^(0.75194503*LOG(K147/175.508)^2)*T147,IF(E147="F",10^(0.783497476* LOG(K147/153.655)^2)*T147,"")))</f>
        <v>289.55002706499835</v>
      </c>
      <c r="X147" s="184">
        <v>43386</v>
      </c>
      <c r="Y147" s="186" t="s">
        <v>503</v>
      </c>
      <c r="Z147" s="879" t="s">
        <v>517</v>
      </c>
      <c r="AA147" s="232"/>
      <c r="AB147" s="230">
        <f>T147-HLOOKUP(V147,Minimas!$C$3:$CD$12,2,FALSE)</f>
        <v>90</v>
      </c>
      <c r="AC147" s="230">
        <f>T147-HLOOKUP(V147,Minimas!$C$3:$CD$12,3,FALSE)</f>
        <v>65</v>
      </c>
      <c r="AD147" s="230">
        <f>T147-HLOOKUP(V147,Minimas!$C$3:$CD$12,4,FALSE)</f>
        <v>40</v>
      </c>
      <c r="AE147" s="230">
        <f>T147-HLOOKUP(V147,Minimas!$C$3:$CD$12,5,FALSE)</f>
        <v>15</v>
      </c>
      <c r="AF147" s="230">
        <f>T147-HLOOKUP(V147,Minimas!$C$3:$CD$12,6,FALSE)</f>
        <v>-15</v>
      </c>
      <c r="AG147" s="230">
        <f>T147-HLOOKUP(V147,Minimas!$C$3:$CD$12,7,FALSE)</f>
        <v>-40</v>
      </c>
      <c r="AH147" s="230">
        <f>T147-HLOOKUP(V147,Minimas!$C$3:$CD$12,8,FALSE)</f>
        <v>-60</v>
      </c>
      <c r="AI147" s="230">
        <f>T147-HLOOKUP(V147,Minimas!$C$3:$CD$12,9,FALSE)</f>
        <v>-85</v>
      </c>
      <c r="AJ147" s="230">
        <f>T147-HLOOKUP(V147,Minimas!$C$3:$CD$12,10,FALSE)</f>
        <v>-100</v>
      </c>
      <c r="AK147" s="231" t="str">
        <f t="shared" si="41"/>
        <v>IRG +</v>
      </c>
      <c r="AL147" s="232"/>
      <c r="AM147" s="232" t="str">
        <f t="shared" si="43"/>
        <v>IRG +</v>
      </c>
      <c r="AN147" s="232">
        <f t="shared" si="42"/>
        <v>15</v>
      </c>
      <c r="AO147" s="232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  <c r="BF147" s="38"/>
      <c r="BG147" s="38"/>
      <c r="BH147" s="38"/>
      <c r="BI147" s="38"/>
      <c r="BJ147" s="38"/>
      <c r="BK147" s="38"/>
      <c r="BL147" s="38"/>
      <c r="BM147" s="38"/>
      <c r="BN147" s="38"/>
      <c r="BO147" s="38"/>
      <c r="BP147" s="38"/>
      <c r="BQ147" s="38"/>
      <c r="BR147" s="38"/>
      <c r="BS147" s="38"/>
      <c r="BT147" s="38"/>
      <c r="BU147" s="38"/>
      <c r="BV147" s="38"/>
      <c r="BW147" s="38"/>
      <c r="BX147" s="38"/>
      <c r="BY147" s="38"/>
      <c r="BZ147" s="38"/>
      <c r="CA147" s="38"/>
      <c r="CB147" s="38"/>
      <c r="CC147" s="38"/>
      <c r="CD147" s="38"/>
      <c r="CE147" s="38"/>
      <c r="CF147" s="38"/>
      <c r="CG147" s="38"/>
      <c r="CH147" s="38"/>
      <c r="CI147" s="38"/>
      <c r="CJ147" s="38"/>
      <c r="CK147" s="38"/>
      <c r="CL147" s="38"/>
      <c r="CM147" s="38"/>
      <c r="CN147" s="38"/>
      <c r="CO147" s="38"/>
      <c r="CP147" s="38"/>
      <c r="CQ147" s="38"/>
      <c r="CR147" s="38"/>
      <c r="CS147" s="38"/>
      <c r="CT147" s="38"/>
      <c r="CU147" s="38"/>
      <c r="CV147" s="38"/>
      <c r="CW147" s="38"/>
      <c r="CX147" s="38"/>
      <c r="CY147" s="38"/>
      <c r="CZ147" s="38"/>
      <c r="DA147" s="38"/>
      <c r="DB147" s="38"/>
      <c r="DC147" s="38"/>
      <c r="DD147" s="485"/>
      <c r="DE147" s="485"/>
      <c r="DF147" s="485"/>
      <c r="DG147" s="485"/>
      <c r="DH147" s="485"/>
      <c r="DI147" s="485"/>
      <c r="DJ147" s="485"/>
      <c r="DK147" s="485"/>
      <c r="DL147" s="485"/>
      <c r="DM147" s="485"/>
      <c r="DN147" s="485"/>
      <c r="DO147" s="485"/>
      <c r="DP147" s="485"/>
      <c r="DQ147" s="485"/>
      <c r="DR147" s="485"/>
      <c r="DS147" s="485"/>
      <c r="DT147" s="485"/>
    </row>
    <row r="148" spans="1:124" s="5" customFormat="1" ht="30" customHeight="1" x14ac:dyDescent="0.25">
      <c r="B148" s="515" t="s">
        <v>543</v>
      </c>
      <c r="C148" s="525">
        <v>431518</v>
      </c>
      <c r="D148" s="539"/>
      <c r="E148" s="406" t="s">
        <v>40</v>
      </c>
      <c r="F148" s="423" t="s">
        <v>390</v>
      </c>
      <c r="G148" s="415" t="s">
        <v>304</v>
      </c>
      <c r="H148" s="380">
        <v>1995</v>
      </c>
      <c r="I148" s="425" t="s">
        <v>170</v>
      </c>
      <c r="J148" s="493" t="s">
        <v>44</v>
      </c>
      <c r="K148" s="581">
        <v>81</v>
      </c>
      <c r="L148" s="456">
        <v>100</v>
      </c>
      <c r="M148" s="457">
        <v>105</v>
      </c>
      <c r="N148" s="596">
        <v>-110</v>
      </c>
      <c r="O148" s="490">
        <f t="shared" si="45"/>
        <v>105</v>
      </c>
      <c r="P148" s="456">
        <v>130</v>
      </c>
      <c r="Q148" s="596">
        <v>-135</v>
      </c>
      <c r="R148" s="596">
        <v>-140</v>
      </c>
      <c r="S148" s="490">
        <f t="shared" si="46"/>
        <v>130</v>
      </c>
      <c r="T148" s="489">
        <f t="shared" si="47"/>
        <v>235</v>
      </c>
      <c r="U148" s="48" t="str">
        <f t="shared" si="40"/>
        <v>IRG + 15</v>
      </c>
      <c r="V148" s="48" t="str">
        <f>IF(E148=0," ",IF(E148="H",IF(H148&lt;1999,VLOOKUP(K148,Minimas!$A$15:$F$29,6),IF(AND(H148&gt;1998,H148&lt;2002),VLOOKUP(K148,Minimas!$A$15:$F$29,5),IF(AND(H148&gt;2001,H148&lt;2004),VLOOKUP(K148,Minimas!$A$15:$F$29,4),IF(AND(H148&gt;2003,H148&lt;2006),VLOOKUP(K148,Minimas!$A$15:$F$29,3),VLOOKUP(K148,Minimas!$A$15:$F$29,2))))),IF(H148&lt;1999,VLOOKUP(K148,Minimas!$G$15:$L$29,6),IF(AND(H148&gt;1998,H148&lt;2002),VLOOKUP(K148,Minimas!$G$15:$L$29,5),IF(AND(H148&gt;2001,H148&lt;2004),VLOOKUP(K148,Minimas!$G$15:$L$29,4),IF(AND(H148&gt;2003,H148&lt;2006),VLOOKUP(K148,Minimas!$G$15:$L$29,3),VLOOKUP(K148,Minimas!$G$15:$L$29,2)))))))</f>
        <v>SE M81</v>
      </c>
      <c r="W148" s="49">
        <f t="shared" si="48"/>
        <v>285.66986260018916</v>
      </c>
      <c r="X148" s="257">
        <v>43484</v>
      </c>
      <c r="Y148" s="261" t="s">
        <v>630</v>
      </c>
      <c r="Z148" s="261" t="s">
        <v>581</v>
      </c>
      <c r="AA148" s="232"/>
      <c r="AB148" s="230">
        <f>T148-HLOOKUP(V148,Minimas!$C$3:$CD$12,2,FALSE)</f>
        <v>90</v>
      </c>
      <c r="AC148" s="230">
        <f>T148-HLOOKUP(V148,Minimas!$C$3:$CD$12,3,FALSE)</f>
        <v>65</v>
      </c>
      <c r="AD148" s="230">
        <f>T148-HLOOKUP(V148,Minimas!$C$3:$CD$12,4,FALSE)</f>
        <v>40</v>
      </c>
      <c r="AE148" s="230">
        <f>T148-HLOOKUP(V148,Minimas!$C$3:$CD$12,5,FALSE)</f>
        <v>15</v>
      </c>
      <c r="AF148" s="230">
        <f>T148-HLOOKUP(V148,Minimas!$C$3:$CD$12,6,FALSE)</f>
        <v>-15</v>
      </c>
      <c r="AG148" s="230">
        <f>T148-HLOOKUP(V148,Minimas!$C$3:$CD$12,7,FALSE)</f>
        <v>-40</v>
      </c>
      <c r="AH148" s="230">
        <f>T148-HLOOKUP(V148,Minimas!$C$3:$CD$12,8,FALSE)</f>
        <v>-60</v>
      </c>
      <c r="AI148" s="230">
        <f>T148-HLOOKUP(V148,Minimas!$C$3:$CD$12,9,FALSE)</f>
        <v>-85</v>
      </c>
      <c r="AJ148" s="230">
        <f>T148-HLOOKUP(V148,Minimas!$C$3:$CD$12,10,FALSE)</f>
        <v>-100</v>
      </c>
      <c r="AK148" s="231" t="str">
        <f t="shared" si="41"/>
        <v>IRG +</v>
      </c>
      <c r="AL148" s="232"/>
      <c r="AM148" s="232" t="str">
        <f t="shared" si="43"/>
        <v>IRG +</v>
      </c>
      <c r="AN148" s="232">
        <f t="shared" si="42"/>
        <v>15</v>
      </c>
      <c r="AO148" s="232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  <c r="BF148" s="38"/>
      <c r="BG148" s="38"/>
      <c r="BH148" s="38"/>
      <c r="BI148" s="38"/>
      <c r="BJ148" s="38"/>
      <c r="BK148" s="38"/>
      <c r="BL148" s="38"/>
      <c r="BM148" s="38"/>
      <c r="BN148" s="38"/>
      <c r="BO148" s="38"/>
      <c r="BP148" s="38"/>
      <c r="BQ148" s="38"/>
      <c r="BR148" s="38"/>
      <c r="BS148" s="38"/>
      <c r="BT148" s="38"/>
      <c r="BU148" s="38"/>
      <c r="BV148" s="38"/>
      <c r="BW148" s="38"/>
      <c r="BX148" s="38"/>
      <c r="BY148" s="38"/>
      <c r="BZ148" s="38"/>
      <c r="CA148" s="38"/>
      <c r="CB148" s="38"/>
      <c r="CC148" s="38"/>
      <c r="CD148" s="38"/>
      <c r="CE148" s="38"/>
      <c r="CF148" s="38"/>
      <c r="CG148" s="38"/>
      <c r="CH148" s="38"/>
      <c r="CI148" s="38"/>
      <c r="CJ148" s="38"/>
      <c r="CK148" s="38"/>
      <c r="CL148" s="38"/>
      <c r="CM148" s="38"/>
      <c r="CN148" s="38"/>
      <c r="CO148" s="38"/>
      <c r="CP148" s="38"/>
      <c r="CQ148" s="38"/>
      <c r="CR148" s="38"/>
      <c r="CS148" s="38"/>
      <c r="CT148" s="38"/>
      <c r="CU148" s="38"/>
      <c r="CV148" s="38"/>
      <c r="CW148" s="38"/>
      <c r="CX148" s="38"/>
      <c r="CY148" s="38"/>
      <c r="CZ148" s="38"/>
      <c r="DA148" s="38"/>
      <c r="DB148" s="38"/>
      <c r="DC148" s="38"/>
      <c r="DD148" s="38"/>
      <c r="DE148" s="38"/>
      <c r="DF148" s="38"/>
      <c r="DG148" s="38"/>
      <c r="DH148" s="38"/>
      <c r="DI148" s="38"/>
      <c r="DJ148" s="38"/>
      <c r="DK148" s="38"/>
      <c r="DL148" s="38"/>
      <c r="DM148" s="38"/>
      <c r="DN148" s="38"/>
      <c r="DO148" s="38"/>
      <c r="DP148" s="38"/>
      <c r="DQ148" s="38"/>
      <c r="DR148" s="38"/>
      <c r="DS148" s="38"/>
      <c r="DT148" s="38"/>
    </row>
    <row r="149" spans="1:124" s="5" customFormat="1" ht="30" customHeight="1" x14ac:dyDescent="0.25">
      <c r="B149" s="515" t="s">
        <v>543</v>
      </c>
      <c r="C149" s="499">
        <v>446011</v>
      </c>
      <c r="D149" s="496"/>
      <c r="E149" s="315" t="s">
        <v>40</v>
      </c>
      <c r="F149" s="368" t="s">
        <v>483</v>
      </c>
      <c r="G149" s="491" t="s">
        <v>335</v>
      </c>
      <c r="H149" s="559">
        <v>1988</v>
      </c>
      <c r="I149" s="330" t="s">
        <v>546</v>
      </c>
      <c r="J149" s="331" t="s">
        <v>44</v>
      </c>
      <c r="K149" s="297">
        <v>80.900000000000006</v>
      </c>
      <c r="L149" s="300">
        <v>102</v>
      </c>
      <c r="M149" s="449">
        <v>-106</v>
      </c>
      <c r="N149" s="301">
        <v>106</v>
      </c>
      <c r="O149" s="802">
        <f t="shared" si="45"/>
        <v>106</v>
      </c>
      <c r="P149" s="300">
        <v>122</v>
      </c>
      <c r="Q149" s="449">
        <v>-126</v>
      </c>
      <c r="R149" s="301">
        <v>126</v>
      </c>
      <c r="S149" s="52">
        <f t="shared" si="46"/>
        <v>126</v>
      </c>
      <c r="T149" s="51">
        <f t="shared" si="47"/>
        <v>232</v>
      </c>
      <c r="U149" s="48" t="str">
        <f t="shared" si="40"/>
        <v>IRG + 12</v>
      </c>
      <c r="V149" s="48" t="str">
        <f>IF(E149=0," ",IF(E149="H",IF(H149&lt;1999,VLOOKUP(K149,Minimas!$A$15:$F$29,6),IF(AND(H149&gt;1998,H149&lt;2002),VLOOKUP(K149,Minimas!$A$15:$F$29,5),IF(AND(H149&gt;2001,H149&lt;2004),VLOOKUP(K149,Minimas!$A$15:$F$29,4),IF(AND(H149&gt;2003,H149&lt;2006),VLOOKUP(K149,Minimas!$A$15:$F$29,3),VLOOKUP(K149,Minimas!$A$15:$F$29,2))))),IF(H149&lt;1999,VLOOKUP(K149,Minimas!$G$15:$L$29,6),IF(AND(H149&gt;1998,H149&lt;2002),VLOOKUP(K149,Minimas!$G$15:$L$29,5),IF(AND(H149&gt;2001,H149&lt;2004),VLOOKUP(K149,Minimas!$G$15:$L$29,4),IF(AND(H149&gt;2003,H149&lt;2006),VLOOKUP(K149,Minimas!$G$15:$L$29,3),VLOOKUP(K149,Minimas!$G$15:$L$29,2)))))))</f>
        <v>SE M81</v>
      </c>
      <c r="W149" s="49">
        <f t="shared" si="48"/>
        <v>282.19915503168403</v>
      </c>
      <c r="X149" s="257">
        <v>43484</v>
      </c>
      <c r="Y149" s="261" t="s">
        <v>630</v>
      </c>
      <c r="Z149" s="261" t="s">
        <v>511</v>
      </c>
      <c r="AA149" s="232"/>
      <c r="AB149" s="230">
        <f>T149-HLOOKUP(V149,Minimas!$C$3:$CD$12,2,FALSE)</f>
        <v>87</v>
      </c>
      <c r="AC149" s="230">
        <f>T149-HLOOKUP(V149,Minimas!$C$3:$CD$12,3,FALSE)</f>
        <v>62</v>
      </c>
      <c r="AD149" s="230">
        <f>T149-HLOOKUP(V149,Minimas!$C$3:$CD$12,4,FALSE)</f>
        <v>37</v>
      </c>
      <c r="AE149" s="230">
        <f>T149-HLOOKUP(V149,Minimas!$C$3:$CD$12,5,FALSE)</f>
        <v>12</v>
      </c>
      <c r="AF149" s="230">
        <f>T149-HLOOKUP(V149,Minimas!$C$3:$CD$12,6,FALSE)</f>
        <v>-18</v>
      </c>
      <c r="AG149" s="230">
        <f>T149-HLOOKUP(V149,Minimas!$C$3:$CD$12,7,FALSE)</f>
        <v>-43</v>
      </c>
      <c r="AH149" s="230">
        <f>T149-HLOOKUP(V149,Minimas!$C$3:$CD$12,8,FALSE)</f>
        <v>-63</v>
      </c>
      <c r="AI149" s="230">
        <f>T149-HLOOKUP(V149,Minimas!$C$3:$CD$12,9,FALSE)</f>
        <v>-88</v>
      </c>
      <c r="AJ149" s="230">
        <f>T149-HLOOKUP(V149,Minimas!$C$3:$CD$12,10,FALSE)</f>
        <v>-103</v>
      </c>
      <c r="AK149" s="231" t="str">
        <f t="shared" si="41"/>
        <v>IRG +</v>
      </c>
      <c r="AL149" s="232"/>
      <c r="AM149" s="232" t="str">
        <f t="shared" si="43"/>
        <v>IRG +</v>
      </c>
      <c r="AN149" s="232">
        <f t="shared" si="42"/>
        <v>12</v>
      </c>
      <c r="AO149" s="232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  <c r="BF149" s="38"/>
      <c r="BG149" s="38"/>
      <c r="BH149" s="38"/>
      <c r="BI149" s="38"/>
      <c r="BJ149" s="38"/>
      <c r="BK149" s="38"/>
      <c r="BL149" s="38"/>
      <c r="BM149" s="38"/>
      <c r="BN149" s="38"/>
      <c r="BO149" s="38"/>
      <c r="BP149" s="38"/>
      <c r="BQ149" s="38"/>
      <c r="BR149" s="38"/>
      <c r="BS149" s="38"/>
      <c r="BT149" s="38"/>
      <c r="BU149" s="38"/>
      <c r="BV149" s="38"/>
      <c r="BW149" s="38"/>
      <c r="BX149" s="38"/>
      <c r="BY149" s="38"/>
      <c r="BZ149" s="38"/>
      <c r="CA149" s="38"/>
      <c r="CB149" s="38"/>
      <c r="CC149" s="38"/>
      <c r="CD149" s="38"/>
      <c r="CE149" s="38"/>
      <c r="CF149" s="38"/>
      <c r="CG149" s="38"/>
      <c r="CH149" s="38"/>
      <c r="CI149" s="38"/>
      <c r="CJ149" s="38"/>
      <c r="CK149" s="38"/>
      <c r="CL149" s="38"/>
      <c r="CM149" s="38"/>
      <c r="CN149" s="38"/>
      <c r="CO149" s="38"/>
      <c r="CP149" s="38"/>
      <c r="CQ149" s="38"/>
      <c r="CR149" s="38"/>
      <c r="CS149" s="38"/>
      <c r="CT149" s="38"/>
      <c r="CU149" s="38"/>
      <c r="CV149" s="38"/>
      <c r="CW149" s="38"/>
      <c r="CX149" s="38"/>
      <c r="CY149" s="38"/>
      <c r="CZ149" s="38"/>
      <c r="DA149" s="38"/>
      <c r="DB149" s="38"/>
      <c r="DC149" s="38"/>
      <c r="DD149" s="38"/>
      <c r="DE149" s="38"/>
      <c r="DF149" s="38"/>
      <c r="DG149" s="38"/>
      <c r="DH149" s="38"/>
      <c r="DI149" s="38"/>
      <c r="DJ149" s="38"/>
      <c r="DK149" s="38"/>
      <c r="DL149" s="38"/>
      <c r="DM149" s="38"/>
      <c r="DN149" s="38"/>
      <c r="DO149" s="38"/>
      <c r="DP149" s="38"/>
      <c r="DQ149" s="38"/>
      <c r="DR149" s="38"/>
      <c r="DS149" s="38"/>
      <c r="DT149" s="38"/>
    </row>
    <row r="150" spans="1:124" s="5" customFormat="1" ht="30" customHeight="1" x14ac:dyDescent="0.25">
      <c r="B150" s="316" t="s">
        <v>543</v>
      </c>
      <c r="C150" s="317">
        <v>1852</v>
      </c>
      <c r="D150" s="318"/>
      <c r="E150" s="323" t="s">
        <v>40</v>
      </c>
      <c r="F150" s="319" t="s">
        <v>169</v>
      </c>
      <c r="G150" s="320" t="s">
        <v>372</v>
      </c>
      <c r="H150" s="305">
        <v>1984</v>
      </c>
      <c r="I150" s="324" t="s">
        <v>170</v>
      </c>
      <c r="J150" s="325" t="s">
        <v>44</v>
      </c>
      <c r="K150" s="339">
        <v>75.099999999999994</v>
      </c>
      <c r="L150" s="300">
        <v>90</v>
      </c>
      <c r="M150" s="301">
        <v>95</v>
      </c>
      <c r="N150" s="301">
        <v>100</v>
      </c>
      <c r="O150" s="490">
        <f t="shared" si="45"/>
        <v>100</v>
      </c>
      <c r="P150" s="300">
        <v>120</v>
      </c>
      <c r="Q150" s="301">
        <v>126</v>
      </c>
      <c r="R150" s="301">
        <v>-130</v>
      </c>
      <c r="S150" s="490">
        <f t="shared" si="46"/>
        <v>126</v>
      </c>
      <c r="T150" s="489">
        <f t="shared" si="47"/>
        <v>226</v>
      </c>
      <c r="U150" s="48" t="str">
        <f t="shared" si="40"/>
        <v>IRG + 6</v>
      </c>
      <c r="V150" s="48" t="str">
        <f>IF(E150=0," ",IF(E150="H",IF(H150&lt;1999,VLOOKUP(K150,[16]Minimas!$A$15:$F$29,6),IF(AND(H150&gt;1998,H150&lt;2002),VLOOKUP(K150,[16]Minimas!$A$15:$F$29,5),IF(AND(H150&gt;2001,H150&lt;2004),VLOOKUP(K150,[16]Minimas!$A$15:$F$29,4),IF(AND(H150&gt;2003,H150&lt;2006),VLOOKUP(K150,[16]Minimas!$A$15:$F$29,3),VLOOKUP(K150,[16]Minimas!$A$15:$F$29,2))))),IF(H150&lt;1999,VLOOKUP(K150,[16]Minimas!$G$15:$L$29,6),IF(AND(H150&gt;1998,H150&lt;2002),VLOOKUP(K150,[16]Minimas!$G$15:$L$29,5),IF(AND(H150&gt;2001,H150&lt;2004),VLOOKUP(K150,[16]Minimas!$G$15:$L$29,4),IF(AND(H150&gt;2003,H150&lt;2006),VLOOKUP(K150,[16]Minimas!$G$15:$L$29,3),VLOOKUP(K150,[16]Minimas!$G$15:$L$29,2)))))))</f>
        <v>SE M81</v>
      </c>
      <c r="W150" s="49">
        <f t="shared" si="48"/>
        <v>285.95899431808539</v>
      </c>
      <c r="X150" s="257">
        <v>43492</v>
      </c>
      <c r="Y150" s="261" t="s">
        <v>696</v>
      </c>
      <c r="Z150" s="261" t="s">
        <v>701</v>
      </c>
      <c r="AA150" s="232"/>
      <c r="AB150" s="230">
        <f>T150-HLOOKUP(V150,Minimas!$C$3:$CD$12,2,FALSE)</f>
        <v>81</v>
      </c>
      <c r="AC150" s="230">
        <f>T150-HLOOKUP(V150,Minimas!$C$3:$CD$12,3,FALSE)</f>
        <v>56</v>
      </c>
      <c r="AD150" s="230">
        <f>T150-HLOOKUP(V150,Minimas!$C$3:$CD$12,4,FALSE)</f>
        <v>31</v>
      </c>
      <c r="AE150" s="230">
        <f>T150-HLOOKUP(V150,Minimas!$C$3:$CD$12,5,FALSE)</f>
        <v>6</v>
      </c>
      <c r="AF150" s="230">
        <f>T150-HLOOKUP(V150,Minimas!$C$3:$CD$12,6,FALSE)</f>
        <v>-24</v>
      </c>
      <c r="AG150" s="230">
        <f>T150-HLOOKUP(V150,Minimas!$C$3:$CD$12,7,FALSE)</f>
        <v>-49</v>
      </c>
      <c r="AH150" s="230">
        <f>T150-HLOOKUP(V150,Minimas!$C$3:$CD$12,8,FALSE)</f>
        <v>-69</v>
      </c>
      <c r="AI150" s="230">
        <f>T150-HLOOKUP(V150,Minimas!$C$3:$CD$12,9,FALSE)</f>
        <v>-94</v>
      </c>
      <c r="AJ150" s="230">
        <f>T150-HLOOKUP(V150,Minimas!$C$3:$CD$12,10,FALSE)</f>
        <v>-109</v>
      </c>
      <c r="AK150" s="231" t="str">
        <f t="shared" ref="AK150" si="49">IF(E150=0," ",IF(AJ150&gt;=0,$AJ$5,IF(AI150&gt;=0,$AI$5,IF(AH150&gt;=0,$AH$5,IF(AG150&gt;=0,$AG$5,IF(AF150&gt;=0,$AF$5,IF(AE150&gt;=0,$AE$5,IF(AD150&gt;=0,$AD$5,IF(AC150&gt;=0,$AC$5,$AB$5)))))))))</f>
        <v>IRG +</v>
      </c>
      <c r="AL150" s="232"/>
      <c r="AM150" s="232" t="str">
        <f t="shared" ref="AM150" si="50">IF(AK150="","",AK150)</f>
        <v>IRG +</v>
      </c>
      <c r="AN150" s="232">
        <f t="shared" ref="AN150" si="51">IF(E150=0," ",IF(AJ150&gt;=0,AJ150,IF(AI150&gt;=0,AI150,IF(AH150&gt;=0,AH150,IF(AG150&gt;=0,AG150,IF(AF150&gt;=0,AF150,IF(AE150&gt;=0,AE150,IF(AD150&gt;=0,AD150,IF(AC150&gt;=0,AC150,AB150)))))))))</f>
        <v>6</v>
      </c>
      <c r="AO150" s="232"/>
      <c r="AP150" s="485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  <c r="BF150" s="38"/>
      <c r="BG150" s="38"/>
      <c r="BH150" s="38"/>
      <c r="BI150" s="38"/>
      <c r="BJ150" s="38"/>
      <c r="BK150" s="38"/>
      <c r="BL150" s="38"/>
      <c r="BM150" s="38"/>
      <c r="BN150" s="38"/>
      <c r="BO150" s="38"/>
      <c r="BP150" s="38"/>
      <c r="BQ150" s="38"/>
      <c r="BR150" s="38"/>
      <c r="BS150" s="38"/>
      <c r="BT150" s="38"/>
      <c r="BU150" s="38"/>
      <c r="BV150" s="38"/>
      <c r="BW150" s="38"/>
      <c r="BX150" s="38"/>
      <c r="BY150" s="38"/>
      <c r="BZ150" s="38"/>
      <c r="CA150" s="38"/>
      <c r="CB150" s="38"/>
      <c r="CC150" s="38"/>
      <c r="CD150" s="38"/>
      <c r="CE150" s="38"/>
      <c r="CF150" s="38"/>
      <c r="CG150" s="38"/>
      <c r="CH150" s="38"/>
      <c r="CI150" s="38"/>
      <c r="CJ150" s="38"/>
      <c r="CK150" s="38"/>
      <c r="CL150" s="38"/>
      <c r="CM150" s="38"/>
      <c r="CN150" s="38"/>
      <c r="CO150" s="38"/>
      <c r="CP150" s="38"/>
      <c r="CQ150" s="38"/>
      <c r="CR150" s="38"/>
      <c r="CS150" s="38"/>
      <c r="CT150" s="38"/>
      <c r="CU150" s="38"/>
      <c r="CV150" s="38"/>
      <c r="CW150" s="38"/>
      <c r="CX150" s="38"/>
      <c r="CY150" s="38"/>
      <c r="CZ150" s="38"/>
      <c r="DA150" s="38"/>
      <c r="DB150" s="38"/>
      <c r="DC150" s="38"/>
      <c r="DD150" s="38"/>
      <c r="DE150" s="38"/>
      <c r="DF150" s="38"/>
      <c r="DG150" s="38"/>
      <c r="DH150" s="38"/>
      <c r="DI150" s="38"/>
      <c r="DJ150" s="38"/>
      <c r="DK150" s="38"/>
      <c r="DL150" s="38"/>
      <c r="DM150" s="38"/>
      <c r="DN150" s="38"/>
      <c r="DO150" s="38"/>
      <c r="DP150" s="38"/>
      <c r="DQ150" s="38"/>
      <c r="DR150" s="38"/>
      <c r="DS150" s="38"/>
      <c r="DT150" s="38"/>
    </row>
    <row r="151" spans="1:124" s="5" customFormat="1" ht="30" customHeight="1" x14ac:dyDescent="0.25">
      <c r="B151" s="515" t="s">
        <v>543</v>
      </c>
      <c r="C151" s="499">
        <v>436850</v>
      </c>
      <c r="D151" s="496"/>
      <c r="E151" s="315" t="s">
        <v>40</v>
      </c>
      <c r="F151" s="328" t="s">
        <v>375</v>
      </c>
      <c r="G151" s="487" t="s">
        <v>646</v>
      </c>
      <c r="H151" s="329">
        <v>1997</v>
      </c>
      <c r="I151" s="330" t="s">
        <v>376</v>
      </c>
      <c r="J151" s="331" t="s">
        <v>44</v>
      </c>
      <c r="K151" s="297">
        <v>79.3</v>
      </c>
      <c r="L151" s="300">
        <v>97</v>
      </c>
      <c r="M151" s="449">
        <v>-100</v>
      </c>
      <c r="N151" s="301">
        <v>102</v>
      </c>
      <c r="O151" s="490">
        <f t="shared" si="45"/>
        <v>102</v>
      </c>
      <c r="P151" s="300">
        <v>115</v>
      </c>
      <c r="Q151" s="301">
        <v>119</v>
      </c>
      <c r="R151" s="301">
        <v>123</v>
      </c>
      <c r="S151" s="490">
        <f t="shared" si="46"/>
        <v>123</v>
      </c>
      <c r="T151" s="489">
        <f t="shared" si="47"/>
        <v>225</v>
      </c>
      <c r="U151" s="48" t="str">
        <f>+CONCATENATE(AM151," ",AN151)</f>
        <v>IRG + 5</v>
      </c>
      <c r="V151" s="48" t="str">
        <f>IF(E151=0," ",IF(E151="H",IF(H151&lt;1999,VLOOKUP(K151,[8]Minimas!$A$15:$F$29,6),IF(AND(H151&gt;1998,H151&lt;2002),VLOOKUP(K151,[8]Minimas!$A$15:$F$29,5),IF(AND(H151&gt;2001,H151&lt;2004),VLOOKUP(K151,[8]Minimas!$A$15:$F$29,4),IF(AND(H151&gt;2003,H151&lt;2006),VLOOKUP(K151,[8]Minimas!$A$15:$F$29,3),VLOOKUP(K151,[8]Minimas!$A$15:$F$29,2))))),IF(H151&lt;1999,VLOOKUP(K151,[8]Minimas!$G$15:$L$29,6),IF(AND(H151&gt;1998,H151&lt;2002),VLOOKUP(K151,[8]Minimas!$G$15:$L$29,5),IF(AND(H151&gt;2001,H151&lt;2004),VLOOKUP(K151,[8]Minimas!$G$15:$L$29,4),IF(AND(H151&gt;2003,H151&lt;2006),VLOOKUP(K151,[8]Minimas!$G$15:$L$29,3),VLOOKUP(K151,[8]Minimas!$G$15:$L$29,2)))))))</f>
        <v>SE M81</v>
      </c>
      <c r="W151" s="49">
        <f t="shared" si="48"/>
        <v>276.49996955287082</v>
      </c>
      <c r="X151" s="257">
        <v>43526</v>
      </c>
      <c r="Y151" s="261" t="s">
        <v>705</v>
      </c>
      <c r="Z151" s="261" t="s">
        <v>704</v>
      </c>
      <c r="AA151" s="232"/>
      <c r="AB151" s="230">
        <f>T151-HLOOKUP(V151,[8]Minimas!$C$3:$CD$12,2,FALSE)</f>
        <v>80</v>
      </c>
      <c r="AC151" s="230">
        <f>T151-HLOOKUP(V151,[8]Minimas!$C$3:$CD$12,3,FALSE)</f>
        <v>55</v>
      </c>
      <c r="AD151" s="230">
        <f>T151-HLOOKUP(V151,[8]Minimas!$C$3:$CD$12,4,FALSE)</f>
        <v>30</v>
      </c>
      <c r="AE151" s="230">
        <f>T151-HLOOKUP(V151,[8]Minimas!$C$3:$CD$12,5,FALSE)</f>
        <v>5</v>
      </c>
      <c r="AF151" s="230">
        <f>T151-HLOOKUP(V151,[8]Minimas!$C$3:$CD$12,6,FALSE)</f>
        <v>-25</v>
      </c>
      <c r="AG151" s="230">
        <f>T151-HLOOKUP(V151,[8]Minimas!$C$3:$CD$12,7,FALSE)</f>
        <v>-50</v>
      </c>
      <c r="AH151" s="230">
        <f>T151-HLOOKUP(V151,[8]Minimas!$C$3:$CD$12,8,FALSE)</f>
        <v>-70</v>
      </c>
      <c r="AI151" s="230">
        <f>T151-HLOOKUP(V151,[8]Minimas!$C$3:$CD$12,9,FALSE)</f>
        <v>-95</v>
      </c>
      <c r="AJ151" s="230">
        <f>T151-HLOOKUP(V151,[8]Minimas!$C$3:$CD$12,10,FALSE)</f>
        <v>-110</v>
      </c>
      <c r="AK151" s="231" t="str">
        <f>IF(E151=0," ",IF(AJ151&gt;=0,$AJ$5,IF(AI151&gt;=0,$AI$5,IF(AH151&gt;=0,$AH$5,IF(AG151&gt;=0,$AG$5,IF(AF151&gt;=0,$AF$5,IF(AE151&gt;=0,$AE$5,IF(AD151&gt;=0,$AD$5,IF(AC151&gt;=0,$AC$5,$AB$5)))))))))</f>
        <v>IRG +</v>
      </c>
      <c r="AL151" s="232"/>
      <c r="AM151" s="232" t="str">
        <f t="shared" si="43"/>
        <v>IRG +</v>
      </c>
      <c r="AN151" s="232">
        <f>IF(E151=0," ",IF(AJ151&gt;=0,AJ151,IF(AI151&gt;=0,AI151,IF(AH151&gt;=0,AH151,IF(AG151&gt;=0,AG151,IF(AF151&gt;=0,AF151,IF(AE151&gt;=0,AE151,IF(AD151&gt;=0,AD151,IF(AC151&gt;=0,AC151,AB151)))))))))</f>
        <v>5</v>
      </c>
      <c r="AO151" s="232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  <c r="BF151" s="38"/>
      <c r="BG151" s="38"/>
      <c r="BH151" s="38"/>
      <c r="BI151" s="38"/>
      <c r="BJ151" s="38"/>
      <c r="BK151" s="38"/>
      <c r="BL151" s="38"/>
      <c r="BM151" s="38"/>
      <c r="BN151" s="38"/>
      <c r="BO151" s="38"/>
      <c r="BP151" s="38"/>
      <c r="BQ151" s="38"/>
      <c r="BR151" s="38"/>
      <c r="BS151" s="38"/>
      <c r="BT151" s="38"/>
      <c r="BU151" s="38"/>
      <c r="BV151" s="38"/>
      <c r="BW151" s="38"/>
      <c r="BX151" s="38"/>
      <c r="BY151" s="38"/>
      <c r="BZ151" s="38"/>
      <c r="CA151" s="38"/>
      <c r="CB151" s="38"/>
      <c r="CC151" s="38"/>
      <c r="CD151" s="38"/>
      <c r="CE151" s="38"/>
      <c r="CF151" s="38"/>
      <c r="CG151" s="38"/>
      <c r="CH151" s="38"/>
      <c r="CI151" s="38"/>
      <c r="CJ151" s="38"/>
      <c r="CK151" s="38"/>
      <c r="CL151" s="38"/>
      <c r="CM151" s="38"/>
      <c r="CN151" s="38"/>
      <c r="CO151" s="38"/>
      <c r="CP151" s="38"/>
      <c r="CQ151" s="38"/>
      <c r="CR151" s="38"/>
      <c r="CS151" s="38"/>
      <c r="CT151" s="38"/>
      <c r="CU151" s="38"/>
      <c r="CV151" s="38"/>
      <c r="CW151" s="38"/>
      <c r="CX151" s="38"/>
      <c r="CY151" s="38"/>
      <c r="CZ151" s="38"/>
      <c r="DA151" s="38"/>
      <c r="DB151" s="38"/>
      <c r="DC151" s="38"/>
      <c r="DD151" s="38"/>
      <c r="DE151" s="38"/>
      <c r="DF151" s="38"/>
      <c r="DG151" s="38"/>
      <c r="DH151" s="38"/>
      <c r="DI151" s="38"/>
      <c r="DJ151" s="38"/>
      <c r="DK151" s="38"/>
      <c r="DL151" s="38"/>
      <c r="DM151" s="38"/>
      <c r="DN151" s="38"/>
      <c r="DO151" s="38"/>
      <c r="DP151" s="38"/>
      <c r="DQ151" s="38"/>
      <c r="DR151" s="38"/>
      <c r="DS151" s="38"/>
      <c r="DT151" s="38"/>
    </row>
    <row r="152" spans="1:124" s="5" customFormat="1" ht="30" customHeight="1" x14ac:dyDescent="0.25">
      <c r="B152" s="355" t="s">
        <v>543</v>
      </c>
      <c r="C152" s="429">
        <v>431411</v>
      </c>
      <c r="D152" s="430"/>
      <c r="E152" s="315" t="s">
        <v>40</v>
      </c>
      <c r="F152" s="319" t="s">
        <v>373</v>
      </c>
      <c r="G152" s="320" t="s">
        <v>374</v>
      </c>
      <c r="H152" s="305">
        <v>1993</v>
      </c>
      <c r="I152" s="324" t="s">
        <v>314</v>
      </c>
      <c r="J152" s="493" t="s">
        <v>41</v>
      </c>
      <c r="K152" s="488">
        <v>77.5</v>
      </c>
      <c r="L152" s="300">
        <v>90</v>
      </c>
      <c r="M152" s="301">
        <v>95</v>
      </c>
      <c r="N152" s="301">
        <v>98</v>
      </c>
      <c r="O152" s="358">
        <f t="shared" si="45"/>
        <v>98</v>
      </c>
      <c r="P152" s="300">
        <v>116</v>
      </c>
      <c r="Q152" s="301">
        <v>121</v>
      </c>
      <c r="R152" s="301">
        <v>126</v>
      </c>
      <c r="S152" s="358">
        <f t="shared" si="46"/>
        <v>126</v>
      </c>
      <c r="T152" s="359">
        <f t="shared" si="47"/>
        <v>224</v>
      </c>
      <c r="U152" s="360" t="str">
        <f>+CONCATENATE(AM152," ",AN152)</f>
        <v>IRG + 4</v>
      </c>
      <c r="V152" s="360" t="str">
        <f>IF(E152=0," ",IF(E152="H",IF(H152&lt;1999,VLOOKUP(K152,[30]Minimas!$A$15:$F$29,6),IF(AND(H152&gt;1998,H152&lt;2002),VLOOKUP(K152,[30]Minimas!$A$15:$F$29,5),IF(AND(H152&gt;2001,H152&lt;2004),VLOOKUP(K152,[30]Minimas!$A$15:$F$29,4),IF(AND(H152&gt;2003,H152&lt;2006),VLOOKUP(K152,[30]Minimas!$A$15:$F$29,3),VLOOKUP(K152,[30]Minimas!$A$15:$F$29,2))))),IF(H152&lt;1999,VLOOKUP(K152,[30]Minimas!$G$15:$L$29,6),IF(AND(H152&gt;1998,H152&lt;2002),VLOOKUP(K152,[30]Minimas!$G$15:$L$29,5),IF(AND(H152&gt;2001,H152&lt;2004),VLOOKUP(K152,[30]Minimas!$G$15:$L$29,4),IF(AND(H152&gt;2003,H152&lt;2006),VLOOKUP(K152,[30]Minimas!$G$15:$L$29,3),VLOOKUP(K152,[30]Minimas!$G$15:$L$29,2)))))))</f>
        <v>SE M81</v>
      </c>
      <c r="W152" s="361">
        <f t="shared" si="48"/>
        <v>278.61810623369672</v>
      </c>
      <c r="X152" s="257">
        <v>43561</v>
      </c>
      <c r="Y152" s="261" t="s">
        <v>846</v>
      </c>
      <c r="Z152" s="261" t="s">
        <v>806</v>
      </c>
      <c r="AA152" s="232"/>
      <c r="AB152" s="230">
        <f>T152-HLOOKUP(V152,[30]Minimas!$C$3:$CD$12,2,FALSE)</f>
        <v>79</v>
      </c>
      <c r="AC152" s="230">
        <f>T152-HLOOKUP(V152,[30]Minimas!$C$3:$CD$12,3,FALSE)</f>
        <v>54</v>
      </c>
      <c r="AD152" s="230">
        <f>T152-HLOOKUP(V152,[30]Minimas!$C$3:$CD$12,4,FALSE)</f>
        <v>29</v>
      </c>
      <c r="AE152" s="230">
        <f>T152-HLOOKUP(V152,[30]Minimas!$C$3:$CD$12,5,FALSE)</f>
        <v>4</v>
      </c>
      <c r="AF152" s="230">
        <f>T152-HLOOKUP(V152,[30]Minimas!$C$3:$CD$12,6,FALSE)</f>
        <v>-26</v>
      </c>
      <c r="AG152" s="230">
        <f>T152-HLOOKUP(V152,[30]Minimas!$C$3:$CD$12,7,FALSE)</f>
        <v>-51</v>
      </c>
      <c r="AH152" s="230">
        <f>T152-HLOOKUP(V152,[30]Minimas!$C$3:$CD$12,8,FALSE)</f>
        <v>-71</v>
      </c>
      <c r="AI152" s="230">
        <f>T152-HLOOKUP(V152,[30]Minimas!$C$3:$CD$12,9,FALSE)</f>
        <v>-96</v>
      </c>
      <c r="AJ152" s="230">
        <f>T152-HLOOKUP(V152,[30]Minimas!$C$3:$CD$12,10,FALSE)</f>
        <v>-111</v>
      </c>
      <c r="AK152" s="231" t="str">
        <f>IF(E152=0," ",IF(AJ152&gt;=0,$AJ$5,IF(AI152&gt;=0,$AI$5,IF(AH152&gt;=0,$AH$5,IF(AG152&gt;=0,$AG$5,IF(AF152&gt;=0,$AF$5,IF(AE152&gt;=0,$AE$5,IF(AD152&gt;=0,$AD$5,IF(AC152&gt;=0,$AC$5,$AB$5)))))))))</f>
        <v>IRG +</v>
      </c>
      <c r="AL152" s="232"/>
      <c r="AM152" s="232" t="str">
        <f t="shared" si="43"/>
        <v>IRG +</v>
      </c>
      <c r="AN152" s="232">
        <f>IF(E152=0," ",IF(AJ152&gt;=0,AJ152,IF(AI152&gt;=0,AI152,IF(AH152&gt;=0,AH152,IF(AG152&gt;=0,AG152,IF(AF152&gt;=0,AF152,IF(AE152&gt;=0,AE152,IF(AD152&gt;=0,AD152,IF(AC152&gt;=0,AC152,AB152)))))))))</f>
        <v>4</v>
      </c>
      <c r="AO152" s="232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  <c r="BF152" s="38"/>
      <c r="BG152" s="38"/>
      <c r="BH152" s="38"/>
      <c r="BI152" s="38"/>
      <c r="BJ152" s="38"/>
      <c r="BK152" s="38"/>
      <c r="BL152" s="38"/>
      <c r="BM152" s="38"/>
      <c r="BN152" s="38"/>
      <c r="BO152" s="38"/>
      <c r="BP152" s="38"/>
      <c r="BQ152" s="38"/>
      <c r="BR152" s="38"/>
      <c r="BS152" s="38"/>
      <c r="BT152" s="38"/>
      <c r="BU152" s="38"/>
      <c r="BV152" s="38"/>
      <c r="BW152" s="38"/>
      <c r="BX152" s="38"/>
      <c r="BY152" s="38"/>
      <c r="BZ152" s="38"/>
      <c r="CA152" s="38"/>
      <c r="CB152" s="38"/>
      <c r="CC152" s="38"/>
      <c r="CD152" s="38"/>
      <c r="CE152" s="38"/>
      <c r="CF152" s="38"/>
      <c r="CG152" s="38"/>
      <c r="CH152" s="38"/>
      <c r="CI152" s="38"/>
      <c r="CJ152" s="38"/>
      <c r="CK152" s="38"/>
      <c r="CL152" s="38"/>
      <c r="CM152" s="38"/>
      <c r="CN152" s="38"/>
      <c r="CO152" s="38"/>
      <c r="CP152" s="38"/>
      <c r="CQ152" s="38"/>
      <c r="CR152" s="38"/>
      <c r="CS152" s="38"/>
      <c r="CT152" s="38"/>
      <c r="CU152" s="38"/>
      <c r="CV152" s="38"/>
      <c r="CW152" s="38"/>
      <c r="CX152" s="38"/>
      <c r="CY152" s="38"/>
      <c r="CZ152" s="38"/>
      <c r="DA152" s="38"/>
      <c r="DB152" s="38"/>
      <c r="DC152" s="38"/>
      <c r="DD152" s="38"/>
      <c r="DE152" s="38"/>
      <c r="DF152" s="38"/>
      <c r="DG152" s="38"/>
      <c r="DH152" s="38"/>
      <c r="DI152" s="38"/>
      <c r="DJ152" s="38"/>
      <c r="DK152" s="38"/>
      <c r="DL152" s="38"/>
      <c r="DM152" s="38"/>
      <c r="DN152" s="38"/>
      <c r="DO152" s="38"/>
      <c r="DP152" s="38"/>
      <c r="DQ152" s="38"/>
      <c r="DR152" s="38"/>
      <c r="DS152" s="38"/>
      <c r="DT152" s="38"/>
    </row>
    <row r="153" spans="1:124" s="5" customFormat="1" ht="30" customHeight="1" x14ac:dyDescent="0.25">
      <c r="B153" s="515" t="s">
        <v>543</v>
      </c>
      <c r="C153" s="499">
        <v>375932</v>
      </c>
      <c r="D153" s="290"/>
      <c r="E153" s="315" t="s">
        <v>40</v>
      </c>
      <c r="F153" s="486" t="s">
        <v>470</v>
      </c>
      <c r="G153" s="487" t="s">
        <v>367</v>
      </c>
      <c r="H153" s="492">
        <v>1989</v>
      </c>
      <c r="I153" s="572" t="s">
        <v>418</v>
      </c>
      <c r="J153" s="493" t="s">
        <v>44</v>
      </c>
      <c r="K153" s="297">
        <v>78.8</v>
      </c>
      <c r="L153" s="300">
        <v>87</v>
      </c>
      <c r="M153" s="301">
        <v>92</v>
      </c>
      <c r="N153" s="449">
        <v>-97</v>
      </c>
      <c r="O153" s="52">
        <f t="shared" si="45"/>
        <v>92</v>
      </c>
      <c r="P153" s="300">
        <v>123</v>
      </c>
      <c r="Q153" s="449">
        <v>-128</v>
      </c>
      <c r="R153" s="301">
        <v>128</v>
      </c>
      <c r="S153" s="52">
        <f t="shared" si="46"/>
        <v>128</v>
      </c>
      <c r="T153" s="489">
        <f t="shared" si="47"/>
        <v>220</v>
      </c>
      <c r="U153" s="48" t="str">
        <f>+CONCATENATE(AM153," ",AN153)</f>
        <v>IRG + 0</v>
      </c>
      <c r="V153" s="48" t="str">
        <f>IF(E153=0," ",IF(E153="H",IF(H153&lt;1999,VLOOKUP(K153,[8]Minimas!$A$15:$F$29,6),IF(AND(H153&gt;1998,H153&lt;2002),VLOOKUP(K153,[8]Minimas!$A$15:$F$29,5),IF(AND(H153&gt;2001,H153&lt;2004),VLOOKUP(K153,[8]Minimas!$A$15:$F$29,4),IF(AND(H153&gt;2003,H153&lt;2006),VLOOKUP(K153,[8]Minimas!$A$15:$F$29,3),VLOOKUP(K153,[8]Minimas!$A$15:$F$29,2))))),IF(H153&lt;1999,VLOOKUP(K153,[8]Minimas!$G$15:$L$29,6),IF(AND(H153&gt;1998,H153&lt;2002),VLOOKUP(K153,[8]Minimas!$G$15:$L$29,5),IF(AND(H153&gt;2001,H153&lt;2004),VLOOKUP(K153,[8]Minimas!$G$15:$L$29,4),IF(AND(H153&gt;2003,H153&lt;2006),VLOOKUP(K153,[8]Minimas!$G$15:$L$29,3),VLOOKUP(K153,[8]Minimas!$G$15:$L$29,2)))))))</f>
        <v>SE M81</v>
      </c>
      <c r="W153" s="49">
        <f t="shared" si="48"/>
        <v>271.24782603185491</v>
      </c>
      <c r="X153" s="257">
        <v>43526</v>
      </c>
      <c r="Y153" s="261" t="s">
        <v>705</v>
      </c>
      <c r="Z153" s="261" t="s">
        <v>704</v>
      </c>
      <c r="AA153" s="232"/>
      <c r="AB153" s="230">
        <f>T153-HLOOKUP(V153,[8]Minimas!$C$3:$CD$12,2,FALSE)</f>
        <v>75</v>
      </c>
      <c r="AC153" s="230">
        <f>T153-HLOOKUP(V153,[8]Minimas!$C$3:$CD$12,3,FALSE)</f>
        <v>50</v>
      </c>
      <c r="AD153" s="230">
        <f>T153-HLOOKUP(V153,[8]Minimas!$C$3:$CD$12,4,FALSE)</f>
        <v>25</v>
      </c>
      <c r="AE153" s="230">
        <f>T153-HLOOKUP(V153,[8]Minimas!$C$3:$CD$12,5,FALSE)</f>
        <v>0</v>
      </c>
      <c r="AF153" s="230">
        <f>T153-HLOOKUP(V153,[8]Minimas!$C$3:$CD$12,6,FALSE)</f>
        <v>-30</v>
      </c>
      <c r="AG153" s="230">
        <f>T153-HLOOKUP(V153,[8]Minimas!$C$3:$CD$12,7,FALSE)</f>
        <v>-55</v>
      </c>
      <c r="AH153" s="230">
        <f>T153-HLOOKUP(V153,[8]Minimas!$C$3:$CD$12,8,FALSE)</f>
        <v>-75</v>
      </c>
      <c r="AI153" s="230">
        <f>T153-HLOOKUP(V153,[8]Minimas!$C$3:$CD$12,9,FALSE)</f>
        <v>-100</v>
      </c>
      <c r="AJ153" s="230">
        <f>T153-HLOOKUP(V153,[8]Minimas!$C$3:$CD$12,10,FALSE)</f>
        <v>-115</v>
      </c>
      <c r="AK153" s="231" t="str">
        <f>IF(E153=0," ",IF(AJ153&gt;=0,$AJ$5,IF(AI153&gt;=0,$AI$5,IF(AH153&gt;=0,$AH$5,IF(AG153&gt;=0,$AG$5,IF(AF153&gt;=0,$AF$5,IF(AE153&gt;=0,$AE$5,IF(AD153&gt;=0,$AD$5,IF(AC153&gt;=0,$AC$5,$AB$5)))))))))</f>
        <v>IRG +</v>
      </c>
      <c r="AL153" s="232"/>
      <c r="AM153" s="232" t="str">
        <f t="shared" si="43"/>
        <v>IRG +</v>
      </c>
      <c r="AN153" s="232">
        <f>IF(E153=0," ",IF(AJ153&gt;=0,AJ153,IF(AI153&gt;=0,AI153,IF(AH153&gt;=0,AH153,IF(AG153&gt;=0,AG153,IF(AF153&gt;=0,AF153,IF(AE153&gt;=0,AE153,IF(AD153&gt;=0,AD153,IF(AC153&gt;=0,AC153,AB153)))))))))</f>
        <v>0</v>
      </c>
      <c r="AO153" s="232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  <c r="BF153" s="38"/>
      <c r="BG153" s="38"/>
      <c r="BH153" s="38"/>
      <c r="BI153" s="38"/>
      <c r="BJ153" s="38"/>
      <c r="BK153" s="38"/>
      <c r="BL153" s="38"/>
      <c r="BM153" s="38"/>
      <c r="BN153" s="38"/>
      <c r="BO153" s="38"/>
      <c r="BP153" s="38"/>
      <c r="BQ153" s="38"/>
      <c r="BR153" s="38"/>
      <c r="BS153" s="38"/>
      <c r="BT153" s="38"/>
      <c r="BU153" s="38"/>
      <c r="BV153" s="38"/>
      <c r="BW153" s="38"/>
      <c r="BX153" s="38"/>
      <c r="BY153" s="38"/>
      <c r="BZ153" s="38"/>
      <c r="CA153" s="38"/>
      <c r="CB153" s="38"/>
      <c r="CC153" s="38"/>
      <c r="CD153" s="38"/>
      <c r="CE153" s="38"/>
      <c r="CF153" s="38"/>
      <c r="CG153" s="38"/>
      <c r="CH153" s="38"/>
      <c r="CI153" s="38"/>
      <c r="CJ153" s="38"/>
      <c r="CK153" s="38"/>
      <c r="CL153" s="38"/>
      <c r="CM153" s="38"/>
      <c r="CN153" s="38"/>
      <c r="CO153" s="38"/>
      <c r="CP153" s="38"/>
      <c r="CQ153" s="38"/>
      <c r="CR153" s="38"/>
      <c r="CS153" s="38"/>
      <c r="CT153" s="38"/>
      <c r="CU153" s="38"/>
      <c r="CV153" s="38"/>
      <c r="CW153" s="38"/>
      <c r="CX153" s="38"/>
      <c r="CY153" s="38"/>
      <c r="CZ153" s="38"/>
      <c r="DA153" s="38"/>
      <c r="DB153" s="38"/>
      <c r="DC153" s="38"/>
      <c r="DD153" s="38"/>
      <c r="DE153" s="38"/>
      <c r="DF153" s="38"/>
      <c r="DG153" s="38"/>
      <c r="DH153" s="38"/>
      <c r="DI153" s="38"/>
      <c r="DJ153" s="38"/>
      <c r="DK153" s="38"/>
      <c r="DL153" s="38"/>
      <c r="DM153" s="38"/>
      <c r="DN153" s="38"/>
      <c r="DO153" s="38"/>
      <c r="DP153" s="38"/>
      <c r="DQ153" s="38"/>
      <c r="DR153" s="38"/>
      <c r="DS153" s="38"/>
      <c r="DT153" s="38"/>
    </row>
    <row r="154" spans="1:124" s="5" customFormat="1" ht="30" customHeight="1" x14ac:dyDescent="0.25">
      <c r="B154" s="515" t="s">
        <v>543</v>
      </c>
      <c r="C154" s="525">
        <v>416595</v>
      </c>
      <c r="D154" s="539"/>
      <c r="E154" s="406" t="s">
        <v>40</v>
      </c>
      <c r="F154" s="423" t="s">
        <v>604</v>
      </c>
      <c r="G154" s="415" t="s">
        <v>605</v>
      </c>
      <c r="H154" s="380">
        <v>1993</v>
      </c>
      <c r="I154" s="425" t="s">
        <v>440</v>
      </c>
      <c r="J154" s="493" t="s">
        <v>44</v>
      </c>
      <c r="K154" s="581">
        <v>80.3</v>
      </c>
      <c r="L154" s="456">
        <v>95</v>
      </c>
      <c r="M154" s="457">
        <v>100</v>
      </c>
      <c r="N154" s="596">
        <v>-102</v>
      </c>
      <c r="O154" s="52">
        <f t="shared" si="45"/>
        <v>100</v>
      </c>
      <c r="P154" s="456">
        <v>115</v>
      </c>
      <c r="Q154" s="596">
        <v>-120</v>
      </c>
      <c r="R154" s="457">
        <v>120</v>
      </c>
      <c r="S154" s="52">
        <f t="shared" si="46"/>
        <v>120</v>
      </c>
      <c r="T154" s="51">
        <f t="shared" si="47"/>
        <v>220</v>
      </c>
      <c r="U154" s="48" t="str">
        <f>+CONCATENATE(AM154," ",AN154)</f>
        <v>IRG + 0</v>
      </c>
      <c r="V154" s="48" t="str">
        <f>IF(E154=0," ",IF(E154="H",IF(H154&lt;1999,VLOOKUP(K154,Minimas!$A$15:$F$29,6),IF(AND(H154&gt;1998,H154&lt;2002),VLOOKUP(K154,Minimas!$A$15:$F$29,5),IF(AND(H154&gt;2001,H154&lt;2004),VLOOKUP(K154,Minimas!$A$15:$F$29,4),IF(AND(H154&gt;2003,H154&lt;2006),VLOOKUP(K154,Minimas!$A$15:$F$29,3),VLOOKUP(K154,Minimas!$A$15:$F$29,2))))),IF(H154&lt;1999,VLOOKUP(K154,Minimas!$G$15:$L$29,6),IF(AND(H154&gt;1998,H154&lt;2002),VLOOKUP(K154,Minimas!$G$15:$L$29,5),IF(AND(H154&gt;2001,H154&lt;2004),VLOOKUP(K154,Minimas!$G$15:$L$29,4),IF(AND(H154&gt;2003,H154&lt;2006),VLOOKUP(K154,Minimas!$G$15:$L$29,3),VLOOKUP(K154,Minimas!$G$15:$L$29,2)))))))</f>
        <v>SE M81</v>
      </c>
      <c r="W154" s="49">
        <f t="shared" si="48"/>
        <v>268.61706780899186</v>
      </c>
      <c r="X154" s="257">
        <v>43484</v>
      </c>
      <c r="Y154" s="261" t="s">
        <v>630</v>
      </c>
      <c r="Z154" s="261" t="s">
        <v>581</v>
      </c>
      <c r="AA154" s="232"/>
      <c r="AB154" s="230">
        <f>T154-HLOOKUP(V154,Minimas!$C$3:$CD$12,2,FALSE)</f>
        <v>75</v>
      </c>
      <c r="AC154" s="230">
        <f>T154-HLOOKUP(V154,Minimas!$C$3:$CD$12,3,FALSE)</f>
        <v>50</v>
      </c>
      <c r="AD154" s="230">
        <f>T154-HLOOKUP(V154,Minimas!$C$3:$CD$12,4,FALSE)</f>
        <v>25</v>
      </c>
      <c r="AE154" s="230">
        <f>T154-HLOOKUP(V154,Minimas!$C$3:$CD$12,5,FALSE)</f>
        <v>0</v>
      </c>
      <c r="AF154" s="230">
        <f>T154-HLOOKUP(V154,Minimas!$C$3:$CD$12,6,FALSE)</f>
        <v>-30</v>
      </c>
      <c r="AG154" s="230">
        <f>T154-HLOOKUP(V154,Minimas!$C$3:$CD$12,7,FALSE)</f>
        <v>-55</v>
      </c>
      <c r="AH154" s="230">
        <f>T154-HLOOKUP(V154,Minimas!$C$3:$CD$12,8,FALSE)</f>
        <v>-75</v>
      </c>
      <c r="AI154" s="230">
        <f>T154-HLOOKUP(V154,Minimas!$C$3:$CD$12,9,FALSE)</f>
        <v>-100</v>
      </c>
      <c r="AJ154" s="230">
        <f>T154-HLOOKUP(V154,Minimas!$C$3:$CD$12,10,FALSE)</f>
        <v>-115</v>
      </c>
      <c r="AK154" s="231" t="str">
        <f>IF(E154=0," ",IF(AJ154&gt;=0,$AJ$5,IF(AI154&gt;=0,$AI$5,IF(AH154&gt;=0,$AH$5,IF(AG154&gt;=0,$AG$5,IF(AF154&gt;=0,$AF$5,IF(AE154&gt;=0,$AE$5,IF(AD154&gt;=0,$AD$5,IF(AC154&gt;=0,$AC$5,$AB$5)))))))))</f>
        <v>IRG +</v>
      </c>
      <c r="AL154" s="232"/>
      <c r="AM154" s="232" t="str">
        <f t="shared" si="43"/>
        <v>IRG +</v>
      </c>
      <c r="AN154" s="232">
        <f>IF(E154=0," ",IF(AJ154&gt;=0,AJ154,IF(AI154&gt;=0,AI154,IF(AH154&gt;=0,AH154,IF(AG154&gt;=0,AG154,IF(AF154&gt;=0,AF154,IF(AE154&gt;=0,AE154,IF(AD154&gt;=0,AD154,IF(AC154&gt;=0,AC154,AB154)))))))))</f>
        <v>0</v>
      </c>
      <c r="AO154" s="232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  <c r="BF154" s="38"/>
      <c r="BG154" s="38"/>
      <c r="BH154" s="38"/>
      <c r="BI154" s="38"/>
      <c r="BJ154" s="38"/>
      <c r="BK154" s="38"/>
      <c r="BL154" s="38"/>
      <c r="BM154" s="38"/>
      <c r="BN154" s="38"/>
      <c r="BO154" s="38"/>
      <c r="BP154" s="38"/>
      <c r="BQ154" s="38"/>
      <c r="BR154" s="38"/>
      <c r="BS154" s="38"/>
      <c r="BT154" s="38"/>
      <c r="BU154" s="38"/>
      <c r="BV154" s="38"/>
      <c r="BW154" s="38"/>
      <c r="BX154" s="38"/>
      <c r="BY154" s="38"/>
      <c r="BZ154" s="38"/>
      <c r="CA154" s="38"/>
      <c r="CB154" s="38"/>
      <c r="CC154" s="38"/>
      <c r="CD154" s="38"/>
      <c r="CE154" s="38"/>
      <c r="CF154" s="38"/>
      <c r="CG154" s="38"/>
      <c r="CH154" s="38"/>
      <c r="CI154" s="38"/>
      <c r="CJ154" s="38"/>
      <c r="CK154" s="38"/>
      <c r="CL154" s="38"/>
      <c r="CM154" s="38"/>
      <c r="CN154" s="38"/>
      <c r="CO154" s="38"/>
      <c r="CP154" s="38"/>
      <c r="CQ154" s="38"/>
      <c r="CR154" s="38"/>
      <c r="CS154" s="38"/>
      <c r="CT154" s="38"/>
      <c r="CU154" s="38"/>
      <c r="CV154" s="38"/>
      <c r="CW154" s="38"/>
      <c r="CX154" s="38"/>
      <c r="CY154" s="38"/>
      <c r="CZ154" s="38"/>
      <c r="DA154" s="38"/>
      <c r="DB154" s="38"/>
      <c r="DC154" s="38"/>
      <c r="DD154" s="38"/>
      <c r="DE154" s="38"/>
      <c r="DF154" s="38"/>
      <c r="DG154" s="38"/>
      <c r="DH154" s="38"/>
      <c r="DI154" s="38"/>
      <c r="DJ154" s="38"/>
      <c r="DK154" s="38"/>
      <c r="DL154" s="38"/>
      <c r="DM154" s="38"/>
      <c r="DN154" s="38"/>
      <c r="DO154" s="38"/>
      <c r="DP154" s="38"/>
      <c r="DQ154" s="38"/>
      <c r="DR154" s="38"/>
      <c r="DS154" s="38"/>
      <c r="DT154" s="38"/>
    </row>
    <row r="155" spans="1:124" s="5" customFormat="1" ht="30" customHeight="1" x14ac:dyDescent="0.25">
      <c r="A155" s="484"/>
      <c r="B155" s="312" t="s">
        <v>543</v>
      </c>
      <c r="C155" s="499">
        <v>442976</v>
      </c>
      <c r="D155" s="313"/>
      <c r="E155" s="315" t="s">
        <v>40</v>
      </c>
      <c r="F155" s="486" t="s">
        <v>272</v>
      </c>
      <c r="G155" s="487" t="s">
        <v>273</v>
      </c>
      <c r="H155" s="492">
        <v>1995</v>
      </c>
      <c r="I155" s="528" t="s">
        <v>139</v>
      </c>
      <c r="J155" s="493" t="s">
        <v>44</v>
      </c>
      <c r="K155" s="297">
        <v>77.3</v>
      </c>
      <c r="L155" s="300">
        <v>90</v>
      </c>
      <c r="M155" s="301">
        <v>-100</v>
      </c>
      <c r="N155" s="301">
        <v>-100</v>
      </c>
      <c r="O155" s="490">
        <f t="shared" si="45"/>
        <v>90</v>
      </c>
      <c r="P155" s="300">
        <v>120</v>
      </c>
      <c r="Q155" s="301">
        <v>126</v>
      </c>
      <c r="R155" s="301">
        <v>-129</v>
      </c>
      <c r="S155" s="490">
        <f t="shared" si="46"/>
        <v>126</v>
      </c>
      <c r="T155" s="489">
        <f t="shared" si="47"/>
        <v>216</v>
      </c>
      <c r="U155" s="48" t="str">
        <f>+CONCATENATE(FEMININES!AM53," ",FEMININES!AN53)</f>
        <v>IRG + 15</v>
      </c>
      <c r="V155" s="48" t="str">
        <f>IF(E155=0," ",IF(E155="H",IF(H155&lt;1999,VLOOKUP(K155,[4]Minimas!$A$15:$F$29,6),IF(AND(H155&gt;1998,H155&lt;2002),VLOOKUP(K155,[4]Minimas!$A$15:$F$29,5),IF(AND(H155&gt;2001,H155&lt;2004),VLOOKUP(K155,[4]Minimas!$A$15:$F$29,4),IF(AND(H155&gt;2003,H155&lt;2006),VLOOKUP(K155,[4]Minimas!$A$15:$F$29,3),VLOOKUP(K155,[4]Minimas!$A$15:$F$29,2))))),IF(H155&lt;1999,VLOOKUP(K155,[4]Minimas!$G$15:$L$29,6),IF(AND(H155&gt;1998,H155&lt;2002),VLOOKUP(K155,[4]Minimas!$G$15:$L$29,5),IF(AND(H155&gt;2001,H155&lt;2004),VLOOKUP(K155,[4]Minimas!$G$15:$L$29,4),IF(AND(H155&gt;2003,H155&lt;2006),VLOOKUP(K155,[4]Minimas!$G$15:$L$29,3),VLOOKUP(K155,[4]Minimas!$G$15:$L$29,2)))))))</f>
        <v>SE M81</v>
      </c>
      <c r="W155" s="49">
        <f t="shared" si="48"/>
        <v>269.03893399338256</v>
      </c>
      <c r="X155" s="257">
        <v>43492</v>
      </c>
      <c r="Y155" s="261" t="s">
        <v>696</v>
      </c>
      <c r="Z155" s="261" t="s">
        <v>695</v>
      </c>
      <c r="AA155" s="232"/>
      <c r="AB155" s="230" t="e">
        <f>#REF!-HLOOKUP(#REF!,Minimas!$C$3:$CD$12,2,FALSE)</f>
        <v>#REF!</v>
      </c>
      <c r="AC155" s="230" t="e">
        <f>#REF!-HLOOKUP(#REF!,Minimas!$C$3:$CD$12,3,FALSE)</f>
        <v>#REF!</v>
      </c>
      <c r="AD155" s="230" t="e">
        <f>#REF!-HLOOKUP(#REF!,Minimas!$C$3:$CD$12,4,FALSE)</f>
        <v>#REF!</v>
      </c>
      <c r="AE155" s="230" t="e">
        <f>#REF!-HLOOKUP(#REF!,Minimas!$C$3:$CD$12,5,FALSE)</f>
        <v>#REF!</v>
      </c>
      <c r="AF155" s="230" t="e">
        <f>#REF!-HLOOKUP(#REF!,Minimas!$C$3:$CD$12,6,FALSE)</f>
        <v>#REF!</v>
      </c>
      <c r="AG155" s="230" t="e">
        <f>#REF!-HLOOKUP(#REF!,Minimas!$C$3:$CD$12,7,FALSE)</f>
        <v>#REF!</v>
      </c>
      <c r="AH155" s="230" t="e">
        <f>#REF!-HLOOKUP(#REF!,Minimas!$C$3:$CD$12,8,FALSE)</f>
        <v>#REF!</v>
      </c>
      <c r="AI155" s="230" t="e">
        <f>#REF!-HLOOKUP(#REF!,Minimas!$C$3:$CD$12,9,FALSE)</f>
        <v>#REF!</v>
      </c>
      <c r="AJ155" s="230" t="e">
        <f>#REF!-HLOOKUP(#REF!,Minimas!$C$3:$CD$12,10,FALSE)</f>
        <v>#REF!</v>
      </c>
      <c r="AK155" s="231" t="e">
        <f>IF(#REF!=0," ",IF(AJ155&gt;=0,$AJ$5,IF(AI155&gt;=0,$AI$5,IF(AH155&gt;=0,$AH$5,IF(AG155&gt;=0,$AG$5,IF(AF155&gt;=0,$AF$5,IF(AE155&gt;=0,$AE$5,IF(AD155&gt;=0,$AD$5,IF(AC155&gt;=0,$AC$5,$AB$5)))))))))</f>
        <v>#REF!</v>
      </c>
      <c r="AL155" s="232"/>
      <c r="AM155" s="232" t="e">
        <f t="shared" si="43"/>
        <v>#REF!</v>
      </c>
      <c r="AN155" s="232" t="e">
        <f>IF(#REF!=0," ",IF(AJ155&gt;=0,AJ155,IF(AI155&gt;=0,AI155,IF(AH155&gt;=0,AH155,IF(AG155&gt;=0,AG155,IF(AF155&gt;=0,AF155,IF(AE155&gt;=0,AE155,IF(AD155&gt;=0,AD155,IF(AC155&gt;=0,AC155,AB155)))))))))</f>
        <v>#REF!</v>
      </c>
      <c r="AO155" s="232"/>
      <c r="AP155" s="485"/>
      <c r="AQ155" s="485"/>
      <c r="AR155" s="485"/>
      <c r="AS155" s="485"/>
      <c r="AT155" s="485"/>
      <c r="AU155" s="485"/>
      <c r="AV155" s="485"/>
      <c r="AW155" s="485"/>
      <c r="AX155" s="485"/>
      <c r="AY155" s="485"/>
      <c r="AZ155" s="485"/>
      <c r="BA155" s="485"/>
      <c r="BB155" s="485"/>
      <c r="BC155" s="485"/>
      <c r="BD155" s="485"/>
      <c r="BE155" s="485"/>
      <c r="BF155" s="485"/>
      <c r="BG155" s="485"/>
      <c r="BH155" s="485"/>
      <c r="BI155" s="485"/>
      <c r="BJ155" s="485"/>
      <c r="BK155" s="485"/>
      <c r="BL155" s="485"/>
      <c r="BM155" s="485"/>
      <c r="BN155" s="485"/>
      <c r="BO155" s="485"/>
      <c r="BP155" s="485"/>
      <c r="BQ155" s="485"/>
      <c r="BR155" s="485"/>
      <c r="BS155" s="485"/>
      <c r="BT155" s="485"/>
      <c r="BU155" s="485"/>
      <c r="BV155" s="485"/>
      <c r="BW155" s="485"/>
      <c r="BX155" s="485"/>
      <c r="BY155" s="485"/>
      <c r="BZ155" s="485"/>
      <c r="CA155" s="485"/>
      <c r="CB155" s="485"/>
      <c r="CC155" s="485"/>
      <c r="CD155" s="485"/>
      <c r="CE155" s="485"/>
      <c r="CF155" s="485"/>
      <c r="CG155" s="485"/>
      <c r="CH155" s="485"/>
      <c r="CI155" s="485"/>
      <c r="CJ155" s="485"/>
      <c r="CK155" s="485"/>
      <c r="CL155" s="485"/>
      <c r="CM155" s="485"/>
      <c r="CN155" s="485"/>
      <c r="CO155" s="485"/>
      <c r="CP155" s="485"/>
      <c r="CQ155" s="485"/>
      <c r="CR155" s="485"/>
      <c r="CS155" s="485"/>
      <c r="CT155" s="485"/>
      <c r="CU155" s="485"/>
      <c r="CV155" s="485"/>
      <c r="CW155" s="485"/>
      <c r="CX155" s="485"/>
      <c r="CY155" s="485"/>
      <c r="CZ155" s="485"/>
      <c r="DA155" s="485"/>
      <c r="DB155" s="485"/>
      <c r="DC155" s="485"/>
      <c r="DD155" s="485"/>
      <c r="DE155" s="485"/>
      <c r="DF155" s="485"/>
      <c r="DG155" s="485"/>
      <c r="DH155" s="485"/>
      <c r="DI155" s="485"/>
      <c r="DJ155" s="485"/>
      <c r="DK155" s="485"/>
      <c r="DL155" s="485"/>
      <c r="DM155" s="485"/>
      <c r="DN155" s="485"/>
      <c r="DO155" s="485"/>
      <c r="DP155" s="485"/>
      <c r="DQ155" s="485"/>
      <c r="DR155" s="485"/>
      <c r="DS155" s="485"/>
      <c r="DT155" s="485"/>
    </row>
    <row r="156" spans="1:124" s="5" customFormat="1" ht="30" customHeight="1" x14ac:dyDescent="0.25">
      <c r="A156" s="484"/>
      <c r="B156" s="505" t="s">
        <v>543</v>
      </c>
      <c r="C156" s="506">
        <v>434126</v>
      </c>
      <c r="D156" s="507"/>
      <c r="E156" s="508" t="s">
        <v>40</v>
      </c>
      <c r="F156" s="439" t="s">
        <v>613</v>
      </c>
      <c r="G156" s="440" t="s">
        <v>400</v>
      </c>
      <c r="H156" s="509">
        <v>1994</v>
      </c>
      <c r="I156" s="324" t="s">
        <v>563</v>
      </c>
      <c r="J156" s="510"/>
      <c r="K156" s="511">
        <v>80.2</v>
      </c>
      <c r="L156" s="300">
        <v>90</v>
      </c>
      <c r="M156" s="301">
        <v>95</v>
      </c>
      <c r="N156" s="301">
        <v>-100</v>
      </c>
      <c r="O156" s="358">
        <f t="shared" si="45"/>
        <v>95</v>
      </c>
      <c r="P156" s="300">
        <v>110</v>
      </c>
      <c r="Q156" s="301">
        <v>115</v>
      </c>
      <c r="R156" s="301">
        <v>120</v>
      </c>
      <c r="S156" s="358">
        <f t="shared" si="46"/>
        <v>120</v>
      </c>
      <c r="T156" s="359">
        <f t="shared" si="47"/>
        <v>215</v>
      </c>
      <c r="U156" s="360" t="str">
        <f>+CONCATENATE(AM156," ",AN156)</f>
        <v>REG + 20</v>
      </c>
      <c r="V156" s="360" t="str">
        <f>IF(E156=0," ",IF(E156="H",IF(H156&lt;1999,VLOOKUP(K156,[3]Minimas!$A$15:$F$29,6),IF(AND(H156&gt;1998,H156&lt;2002),VLOOKUP(K156,[3]Minimas!$A$15:$F$29,5),IF(AND(H156&gt;2001,H156&lt;2004),VLOOKUP(K156,[3]Minimas!$A$15:$F$29,4),IF(AND(H156&gt;2003,H156&lt;2006),VLOOKUP(K156,[3]Minimas!$A$15:$F$29,3),VLOOKUP(K156,[3]Minimas!$A$15:$F$29,2))))),IF(H156&lt;1999,VLOOKUP(K156,[3]Minimas!$G$15:$L$29,6),IF(AND(H156&gt;1998,H156&lt;2002),VLOOKUP(K156,[3]Minimas!$G$15:$L$29,5),IF(AND(H156&gt;2001,H156&lt;2004),VLOOKUP(K156,[3]Minimas!$G$15:$L$29,4),IF(AND(H156&gt;2003,H156&lt;2006),VLOOKUP(K156,[3]Minimas!$G$15:$L$29,3),VLOOKUP(K156,[3]Minimas!$G$15:$L$29,2)))))))</f>
        <v>SE M81</v>
      </c>
      <c r="W156" s="361">
        <f t="shared" si="48"/>
        <v>262.67937768941789</v>
      </c>
      <c r="X156" s="257">
        <v>43610</v>
      </c>
      <c r="Y156" s="261" t="s">
        <v>892</v>
      </c>
      <c r="Z156" s="261" t="s">
        <v>829</v>
      </c>
      <c r="AA156" s="232"/>
      <c r="AB156" s="230">
        <f>T156-HLOOKUP(V156,[3]Minimas!$C$3:$CD$12,2,FALSE)</f>
        <v>70</v>
      </c>
      <c r="AC156" s="230">
        <f>T156-HLOOKUP(V156,[3]Minimas!$C$3:$CD$12,3,FALSE)</f>
        <v>45</v>
      </c>
      <c r="AD156" s="230">
        <f>T156-HLOOKUP(V156,[3]Minimas!$C$3:$CD$12,4,FALSE)</f>
        <v>20</v>
      </c>
      <c r="AE156" s="230">
        <f>T156-HLOOKUP(V156,[3]Minimas!$C$3:$CD$12,5,FALSE)</f>
        <v>-5</v>
      </c>
      <c r="AF156" s="230">
        <f>T156-HLOOKUP(V156,[3]Minimas!$C$3:$CD$12,6,FALSE)</f>
        <v>-35</v>
      </c>
      <c r="AG156" s="230">
        <f>T156-HLOOKUP(V156,[3]Minimas!$C$3:$CD$12,7,FALSE)</f>
        <v>-60</v>
      </c>
      <c r="AH156" s="230">
        <f>T156-HLOOKUP(V156,[3]Minimas!$C$3:$CD$12,8,FALSE)</f>
        <v>-80</v>
      </c>
      <c r="AI156" s="230">
        <f>T156-HLOOKUP(V156,[3]Minimas!$C$3:$CD$12,9,FALSE)</f>
        <v>-105</v>
      </c>
      <c r="AJ156" s="230">
        <f>T156-HLOOKUP(V156,[3]Minimas!$C$3:$CD$12,10,FALSE)</f>
        <v>-120</v>
      </c>
      <c r="AK156" s="231" t="str">
        <f>IF(E156=0," ",IF(AJ156&gt;=0,$AJ$5,IF(AI156&gt;=0,$AI$5,IF(AH156&gt;=0,$AH$5,IF(AG156&gt;=0,$AG$5,IF(AF156&gt;=0,$AF$5,IF(AE156&gt;=0,$AE$5,IF(AD156&gt;=0,$AD$5,IF(AC156&gt;=0,$AC$5,$AB$5)))))))))</f>
        <v>REG +</v>
      </c>
      <c r="AL156" s="232"/>
      <c r="AM156" s="232" t="str">
        <f t="shared" si="43"/>
        <v>REG +</v>
      </c>
      <c r="AN156" s="232">
        <f>IF(E156=0," ",IF(AJ156&gt;=0,AJ156,IF(AI156&gt;=0,AI156,IF(AH156&gt;=0,AH156,IF(AG156&gt;=0,AG156,IF(AF156&gt;=0,AF156,IF(AE156&gt;=0,AE156,IF(AD156&gt;=0,AD156,IF(AC156&gt;=0,AC156,AB156)))))))))</f>
        <v>20</v>
      </c>
      <c r="AO156" s="232"/>
      <c r="AP156" s="485"/>
      <c r="AQ156" s="485"/>
      <c r="AR156" s="485"/>
      <c r="AS156" s="485"/>
      <c r="AT156" s="485"/>
      <c r="AU156" s="485"/>
      <c r="AV156" s="485"/>
      <c r="AW156" s="485"/>
      <c r="AX156" s="485"/>
      <c r="AY156" s="485"/>
      <c r="AZ156" s="485"/>
      <c r="BA156" s="485"/>
      <c r="BB156" s="485"/>
      <c r="BC156" s="485"/>
      <c r="BD156" s="485"/>
      <c r="BE156" s="485"/>
      <c r="BF156" s="485"/>
      <c r="BG156" s="485"/>
      <c r="BH156" s="485"/>
      <c r="BI156" s="485"/>
      <c r="BJ156" s="485"/>
      <c r="BK156" s="485"/>
      <c r="BL156" s="485"/>
      <c r="BM156" s="485"/>
      <c r="BN156" s="485"/>
      <c r="BO156" s="485"/>
      <c r="BP156" s="485"/>
      <c r="BQ156" s="485"/>
      <c r="BR156" s="485"/>
      <c r="BS156" s="485"/>
      <c r="BT156" s="485"/>
      <c r="BU156" s="485"/>
      <c r="BV156" s="485"/>
      <c r="BW156" s="485"/>
      <c r="BX156" s="485"/>
      <c r="BY156" s="485"/>
      <c r="BZ156" s="485"/>
      <c r="CA156" s="485"/>
      <c r="CB156" s="485"/>
      <c r="CC156" s="485"/>
      <c r="CD156" s="485"/>
      <c r="CE156" s="485"/>
      <c r="CF156" s="485"/>
      <c r="CG156" s="485"/>
      <c r="CH156" s="485"/>
      <c r="CI156" s="485"/>
      <c r="CJ156" s="485"/>
      <c r="CK156" s="485"/>
      <c r="CL156" s="485"/>
      <c r="CM156" s="485"/>
      <c r="CN156" s="485"/>
      <c r="CO156" s="485"/>
      <c r="CP156" s="485"/>
      <c r="CQ156" s="485"/>
      <c r="CR156" s="485"/>
      <c r="CS156" s="485"/>
      <c r="CT156" s="485"/>
      <c r="CU156" s="485"/>
      <c r="CV156" s="485"/>
      <c r="CW156" s="485"/>
      <c r="CX156" s="485"/>
      <c r="CY156" s="485"/>
      <c r="CZ156" s="485"/>
      <c r="DA156" s="485"/>
      <c r="DB156" s="485"/>
      <c r="DC156" s="485"/>
      <c r="DD156" s="485"/>
      <c r="DE156" s="485"/>
      <c r="DF156" s="485"/>
      <c r="DG156" s="485"/>
      <c r="DH156" s="485"/>
      <c r="DI156" s="485"/>
      <c r="DJ156" s="485"/>
      <c r="DK156" s="485"/>
      <c r="DL156" s="485"/>
      <c r="DM156" s="485"/>
      <c r="DN156" s="485"/>
      <c r="DO156" s="485"/>
      <c r="DP156" s="485"/>
      <c r="DQ156" s="485"/>
      <c r="DR156" s="485"/>
      <c r="DS156" s="485"/>
      <c r="DT156" s="485"/>
    </row>
    <row r="157" spans="1:124" s="5" customFormat="1" ht="30" customHeight="1" thickBot="1" x14ac:dyDescent="0.35">
      <c r="B157" s="696" t="s">
        <v>543</v>
      </c>
      <c r="C157" s="702">
        <v>301533</v>
      </c>
      <c r="D157" s="868"/>
      <c r="E157" s="406" t="s">
        <v>40</v>
      </c>
      <c r="F157" s="414" t="s">
        <v>438</v>
      </c>
      <c r="G157" s="415" t="s">
        <v>351</v>
      </c>
      <c r="H157" s="417">
        <v>1990</v>
      </c>
      <c r="I157" s="875" t="s">
        <v>173</v>
      </c>
      <c r="J157" s="379" t="s">
        <v>44</v>
      </c>
      <c r="K157" s="581">
        <v>80.8</v>
      </c>
      <c r="L157" s="590">
        <v>-88</v>
      </c>
      <c r="M157" s="453">
        <v>88</v>
      </c>
      <c r="N157" s="597">
        <v>-93</v>
      </c>
      <c r="O157" s="490">
        <f t="shared" si="45"/>
        <v>88</v>
      </c>
      <c r="P157" s="452">
        <v>118</v>
      </c>
      <c r="Q157" s="453">
        <v>123</v>
      </c>
      <c r="R157" s="597">
        <v>-130</v>
      </c>
      <c r="S157" s="490">
        <f t="shared" si="46"/>
        <v>123</v>
      </c>
      <c r="T157" s="489">
        <f t="shared" si="47"/>
        <v>211</v>
      </c>
      <c r="U157" s="48" t="str">
        <f>+CONCATENATE(AM157," ",AN157)</f>
        <v>REG + 16</v>
      </c>
      <c r="V157" s="48" t="str">
        <f>IF(E157=0," ",IF(E157="H",IF(H157&lt;1999,VLOOKUP(K157,Minimas!$A$15:$F$29,6),IF(AND(H157&gt;1998,H157&lt;2002),VLOOKUP(K157,Minimas!$A$15:$F$29,5),IF(AND(H157&gt;2001,H157&lt;2004),VLOOKUP(K157,Minimas!$A$15:$F$29,4),IF(AND(H157&gt;2003,H157&lt;2006),VLOOKUP(K157,Minimas!$A$15:$F$29,3),VLOOKUP(K157,Minimas!$A$15:$F$29,2))))),IF(H157&lt;1999,VLOOKUP(K157,Minimas!$G$15:$L$29,6),IF(AND(H157&gt;1998,H157&lt;2002),VLOOKUP(K157,Minimas!$G$15:$L$29,5),IF(AND(H157&gt;2001,H157&lt;2004),VLOOKUP(K157,Minimas!$G$15:$L$29,4),IF(AND(H157&gt;2003,H157&lt;2006),VLOOKUP(K157,Minimas!$G$15:$L$29,3),VLOOKUP(K157,Minimas!$G$15:$L$29,2)))))))</f>
        <v>SE M81</v>
      </c>
      <c r="W157" s="49">
        <f t="shared" si="48"/>
        <v>256.81601870216628</v>
      </c>
      <c r="X157" s="184">
        <v>43429</v>
      </c>
      <c r="Y157" s="284" t="s">
        <v>509</v>
      </c>
      <c r="Z157" s="284" t="s">
        <v>510</v>
      </c>
      <c r="AA157" s="232"/>
      <c r="AB157" s="230">
        <f>T157-HLOOKUP(V157,Minimas!$C$3:$CD$12,2,FALSE)</f>
        <v>66</v>
      </c>
      <c r="AC157" s="230">
        <f>T157-HLOOKUP(V157,Minimas!$C$3:$CD$12,3,FALSE)</f>
        <v>41</v>
      </c>
      <c r="AD157" s="230">
        <f>T157-HLOOKUP(V157,Minimas!$C$3:$CD$12,4,FALSE)</f>
        <v>16</v>
      </c>
      <c r="AE157" s="230">
        <f>T157-HLOOKUP(V157,Minimas!$C$3:$CD$12,5,FALSE)</f>
        <v>-9</v>
      </c>
      <c r="AF157" s="230">
        <f>T157-HLOOKUP(V157,Minimas!$C$3:$CD$12,6,FALSE)</f>
        <v>-39</v>
      </c>
      <c r="AG157" s="230">
        <f>T157-HLOOKUP(V157,Minimas!$C$3:$CD$12,7,FALSE)</f>
        <v>-64</v>
      </c>
      <c r="AH157" s="230">
        <f>T157-HLOOKUP(V157,Minimas!$C$3:$CD$12,8,FALSE)</f>
        <v>-84</v>
      </c>
      <c r="AI157" s="230">
        <f>T157-HLOOKUP(V157,Minimas!$C$3:$CD$12,9,FALSE)</f>
        <v>-109</v>
      </c>
      <c r="AJ157" s="230">
        <f>T157-HLOOKUP(V157,Minimas!$C$3:$CD$12,10,FALSE)</f>
        <v>-124</v>
      </c>
      <c r="AK157" s="231" t="str">
        <f>IF(E157=0," ",IF(AJ157&gt;=0,$AJ$5,IF(AI157&gt;=0,$AI$5,IF(AH157&gt;=0,$AH$5,IF(AG157&gt;=0,$AG$5,IF(AF157&gt;=0,$AF$5,IF(AE157&gt;=0,$AE$5,IF(AD157&gt;=0,$AD$5,IF(AC157&gt;=0,$AC$5,$AB$5)))))))))</f>
        <v>REG +</v>
      </c>
      <c r="AL157" s="232"/>
      <c r="AM157" s="232" t="str">
        <f t="shared" si="43"/>
        <v>REG +</v>
      </c>
      <c r="AN157" s="232">
        <f>IF(E157=0," ",IF(AJ157&gt;=0,AJ157,IF(AI157&gt;=0,AI157,IF(AH157&gt;=0,AH157,IF(AG157&gt;=0,AG157,IF(AF157&gt;=0,AF157,IF(AE157&gt;=0,AE157,IF(AD157&gt;=0,AD157,IF(AC157&gt;=0,AC157,AB157)))))))))</f>
        <v>16</v>
      </c>
      <c r="AO157" s="232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  <c r="BF157" s="38"/>
      <c r="BG157" s="38"/>
      <c r="BH157" s="38"/>
      <c r="BI157" s="38"/>
      <c r="BJ157" s="38"/>
      <c r="BK157" s="38"/>
      <c r="BL157" s="38"/>
      <c r="BM157" s="38"/>
      <c r="BN157" s="38"/>
      <c r="BO157" s="38"/>
      <c r="BP157" s="38"/>
      <c r="BQ157" s="38"/>
      <c r="BR157" s="38"/>
      <c r="BS157" s="38"/>
      <c r="BT157" s="38"/>
      <c r="BU157" s="38"/>
      <c r="BV157" s="38"/>
      <c r="BW157" s="38"/>
      <c r="BX157" s="38"/>
      <c r="BY157" s="38"/>
      <c r="BZ157" s="38"/>
      <c r="CA157" s="38"/>
      <c r="CB157" s="38"/>
      <c r="CC157" s="38"/>
      <c r="CD157" s="38"/>
      <c r="CE157" s="38"/>
      <c r="CF157" s="38"/>
      <c r="CG157" s="38"/>
      <c r="CH157" s="38"/>
      <c r="CI157" s="38"/>
      <c r="CJ157" s="38"/>
      <c r="CK157" s="38"/>
      <c r="CL157" s="38"/>
      <c r="CM157" s="38"/>
      <c r="CN157" s="38"/>
      <c r="CO157" s="38"/>
      <c r="CP157" s="38"/>
      <c r="CQ157" s="38"/>
      <c r="CR157" s="38"/>
      <c r="CS157" s="38"/>
      <c r="CT157" s="38"/>
      <c r="CU157" s="38"/>
      <c r="CV157" s="38"/>
      <c r="CW157" s="38"/>
      <c r="CX157" s="38"/>
      <c r="CY157" s="38"/>
      <c r="CZ157" s="38"/>
      <c r="DA157" s="38"/>
      <c r="DB157" s="38"/>
      <c r="DC157" s="38"/>
      <c r="DD157" s="38"/>
      <c r="DE157" s="38"/>
      <c r="DF157" s="38"/>
      <c r="DG157" s="38"/>
      <c r="DH157" s="38"/>
      <c r="DI157" s="38"/>
      <c r="DJ157" s="38"/>
      <c r="DK157" s="38"/>
      <c r="DL157" s="38"/>
      <c r="DM157" s="38"/>
      <c r="DN157" s="38"/>
      <c r="DO157" s="38"/>
      <c r="DP157" s="38"/>
      <c r="DQ157" s="38"/>
      <c r="DR157" s="38"/>
      <c r="DS157" s="38"/>
      <c r="DT157" s="38"/>
    </row>
    <row r="158" spans="1:124" s="5" customFormat="1" ht="30" customHeight="1" x14ac:dyDescent="0.25">
      <c r="A158" s="1"/>
      <c r="B158" s="515" t="s">
        <v>543</v>
      </c>
      <c r="C158" s="499">
        <v>427890</v>
      </c>
      <c r="D158" s="496"/>
      <c r="E158" s="315" t="s">
        <v>40</v>
      </c>
      <c r="F158" s="486" t="s">
        <v>274</v>
      </c>
      <c r="G158" s="487" t="s">
        <v>275</v>
      </c>
      <c r="H158" s="292">
        <v>1991</v>
      </c>
      <c r="I158" s="314" t="s">
        <v>139</v>
      </c>
      <c r="J158" s="290" t="s">
        <v>44</v>
      </c>
      <c r="K158" s="488">
        <v>78</v>
      </c>
      <c r="L158" s="300">
        <v>90</v>
      </c>
      <c r="M158" s="301">
        <v>95</v>
      </c>
      <c r="N158" s="449">
        <v>-100</v>
      </c>
      <c r="O158" s="490">
        <f t="shared" si="45"/>
        <v>95</v>
      </c>
      <c r="P158" s="300">
        <v>110</v>
      </c>
      <c r="Q158" s="301">
        <v>115</v>
      </c>
      <c r="R158" s="449">
        <v>-120</v>
      </c>
      <c r="S158" s="490">
        <f t="shared" si="46"/>
        <v>115</v>
      </c>
      <c r="T158" s="489">
        <f>IF(E158="","",O158+S158)</f>
        <v>210</v>
      </c>
      <c r="U158" s="48" t="str">
        <f>+CONCATENATE(AM158," ",AN158)</f>
        <v>REG + 15</v>
      </c>
      <c r="V158" s="48" t="str">
        <f>IF(E158=0," ",IF(E158="H",IF(H158&lt;1999,VLOOKUP(K158,[18]Minimas!$A$15:$F$29,6),IF(AND(H158&gt;1998,H158&lt;2002),VLOOKUP(K158,[18]Minimas!$A$15:$F$29,5),IF(AND(H158&gt;2001,H158&lt;2004),VLOOKUP(K158,[18]Minimas!$A$15:$F$29,4),IF(AND(H158&gt;2003,H158&lt;2006),VLOOKUP(K158,[18]Minimas!$A$15:$F$29,3),VLOOKUP(K158,[18]Minimas!$A$15:$F$29,2))))),IF(H158&lt;1999,VLOOKUP(K158,[18]Minimas!$G$15:$L$29,6),IF(AND(H158&gt;1998,H158&lt;2002),VLOOKUP(K158,[18]Minimas!$G$15:$L$29,5),IF(AND(H158&gt;2001,H158&lt;2004),VLOOKUP(K158,[18]Minimas!$G$15:$L$29,4),IF(AND(H158&gt;2003,H158&lt;2006),VLOOKUP(K158,[18]Minimas!$G$15:$L$29,3),VLOOKUP(K158,[18]Minimas!$G$15:$L$29,2)))))))</f>
        <v>SE M81</v>
      </c>
      <c r="W158" s="49">
        <f t="shared" si="48"/>
        <v>260.31273888118557</v>
      </c>
      <c r="X158" s="257">
        <v>43540</v>
      </c>
      <c r="Y158" s="261" t="s">
        <v>714</v>
      </c>
      <c r="Z158" s="261" t="s">
        <v>514</v>
      </c>
      <c r="AA158" s="463"/>
      <c r="AB158" s="230">
        <f>T158-HLOOKUP(V158,Minimas!$C$3:$CD$12,2,FALSE)</f>
        <v>65</v>
      </c>
      <c r="AC158" s="230">
        <f>T158-HLOOKUP(V158,Minimas!$C$3:$CD$12,3,FALSE)</f>
        <v>40</v>
      </c>
      <c r="AD158" s="230">
        <f>T158-HLOOKUP(V158,Minimas!$C$3:$CD$12,4,FALSE)</f>
        <v>15</v>
      </c>
      <c r="AE158" s="230">
        <f>T158-HLOOKUP(V158,Minimas!$C$3:$CD$12,5,FALSE)</f>
        <v>-10</v>
      </c>
      <c r="AF158" s="230">
        <f>T158-HLOOKUP(V158,Minimas!$C$3:$CD$12,6,FALSE)</f>
        <v>-40</v>
      </c>
      <c r="AG158" s="230">
        <f>T158-HLOOKUP(V158,Minimas!$C$3:$CD$12,7,FALSE)</f>
        <v>-65</v>
      </c>
      <c r="AH158" s="230">
        <f>T158-HLOOKUP(V158,Minimas!$C$3:$CD$12,8,FALSE)</f>
        <v>-85</v>
      </c>
      <c r="AI158" s="230">
        <f>T158-HLOOKUP(V158,Minimas!$C$3:$CD$12,9,FALSE)</f>
        <v>-110</v>
      </c>
      <c r="AJ158" s="230">
        <f>T158-HLOOKUP(V158,Minimas!$C$3:$CD$12,10,FALSE)</f>
        <v>-125</v>
      </c>
      <c r="AK158" s="231" t="str">
        <f>IF(E158=0," ",IF(AJ158&gt;=0,$AJ$5,IF(AI158&gt;=0,$AI$5,IF(AH158&gt;=0,$AH$5,IF(AG158&gt;=0,$AG$5,IF(AF158&gt;=0,$AF$5,IF(AE158&gt;=0,$AE$5,IF(AD158&gt;=0,$AD$5,IF(AC158&gt;=0,$AC$5,$AB$5)))))))))</f>
        <v>REG +</v>
      </c>
      <c r="AL158" s="232"/>
      <c r="AM158" s="232" t="str">
        <f t="shared" si="43"/>
        <v>REG +</v>
      </c>
      <c r="AN158" s="232">
        <f>IF(E158=0," ",IF(AJ158&gt;=0,AJ158,IF(AI158&gt;=0,AI158,IF(AH158&gt;=0,AH158,IF(AG158&gt;=0,AG158,IF(AF158&gt;=0,AF158,IF(AE158&gt;=0,AE158,IF(AD158&gt;=0,AD158,IF(AC158&gt;=0,AC158,AB158)))))))))</f>
        <v>15</v>
      </c>
      <c r="AO158" s="463"/>
      <c r="AP158" s="34"/>
      <c r="AQ158" s="34"/>
      <c r="AR158" s="34"/>
      <c r="AS158" s="34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  <c r="BF158" s="34"/>
      <c r="BG158" s="34"/>
      <c r="BH158" s="34"/>
      <c r="BI158" s="34"/>
      <c r="BJ158" s="34"/>
      <c r="BK158" s="34"/>
      <c r="BL158" s="34"/>
      <c r="BM158" s="34"/>
      <c r="BN158" s="34"/>
      <c r="BO158" s="34"/>
      <c r="BP158" s="34"/>
      <c r="BQ158" s="34"/>
      <c r="BR158" s="34"/>
      <c r="BS158" s="34"/>
      <c r="BT158" s="34"/>
      <c r="BU158" s="34"/>
      <c r="BV158" s="34"/>
      <c r="BW158" s="34"/>
      <c r="BX158" s="34"/>
      <c r="BY158" s="34"/>
      <c r="BZ158" s="34"/>
      <c r="CA158" s="34"/>
      <c r="CB158" s="34"/>
      <c r="CC158" s="34"/>
      <c r="CD158" s="34"/>
      <c r="CE158" s="34"/>
      <c r="CF158" s="34"/>
      <c r="CG158" s="34"/>
      <c r="CH158" s="34"/>
      <c r="CI158" s="34"/>
      <c r="CJ158" s="34"/>
      <c r="CK158" s="34"/>
      <c r="CL158" s="34"/>
      <c r="CM158" s="34"/>
      <c r="CN158" s="34"/>
      <c r="CO158" s="34"/>
      <c r="CP158" s="34"/>
      <c r="CQ158" s="34"/>
      <c r="CR158" s="34"/>
      <c r="CS158" s="34"/>
      <c r="CT158" s="34"/>
      <c r="CU158" s="34"/>
      <c r="CV158" s="34"/>
      <c r="CW158" s="34"/>
      <c r="CX158" s="34"/>
      <c r="CY158" s="34"/>
      <c r="CZ158" s="34"/>
      <c r="DA158" s="34"/>
      <c r="DB158" s="34"/>
      <c r="DC158" s="34"/>
      <c r="DD158" s="34"/>
      <c r="DE158" s="34"/>
      <c r="DF158" s="34"/>
      <c r="DG158" s="34"/>
      <c r="DH158" s="34"/>
      <c r="DI158" s="34"/>
      <c r="DJ158" s="34"/>
      <c r="DK158" s="34"/>
      <c r="DL158" s="34"/>
      <c r="DM158" s="34"/>
      <c r="DN158" s="34"/>
      <c r="DO158" s="34"/>
      <c r="DP158" s="34"/>
      <c r="DQ158" s="34"/>
      <c r="DR158" s="34"/>
      <c r="DS158" s="34"/>
      <c r="DT158" s="34"/>
    </row>
    <row r="159" spans="1:124" s="5" customFormat="1" ht="30" customHeight="1" x14ac:dyDescent="0.25">
      <c r="A159" s="484"/>
      <c r="B159" s="515" t="s">
        <v>543</v>
      </c>
      <c r="C159" s="499">
        <v>388662</v>
      </c>
      <c r="D159" s="313"/>
      <c r="E159" s="315" t="s">
        <v>40</v>
      </c>
      <c r="F159" s="486" t="s">
        <v>261</v>
      </c>
      <c r="G159" s="487" t="s">
        <v>262</v>
      </c>
      <c r="H159" s="292">
        <v>1976</v>
      </c>
      <c r="I159" s="314" t="s">
        <v>670</v>
      </c>
      <c r="J159" s="290" t="s">
        <v>44</v>
      </c>
      <c r="K159" s="297">
        <v>80.2</v>
      </c>
      <c r="L159" s="300">
        <v>-85</v>
      </c>
      <c r="M159" s="301">
        <v>90</v>
      </c>
      <c r="N159" s="301">
        <v>95</v>
      </c>
      <c r="O159" s="490">
        <f t="shared" si="45"/>
        <v>95</v>
      </c>
      <c r="P159" s="300">
        <v>105</v>
      </c>
      <c r="Q159" s="301">
        <v>115</v>
      </c>
      <c r="R159" s="301">
        <v>-117</v>
      </c>
      <c r="S159" s="490">
        <f t="shared" si="46"/>
        <v>115</v>
      </c>
      <c r="T159" s="489">
        <f>IF(E159="","",O159+S159)</f>
        <v>210</v>
      </c>
      <c r="U159" s="48" t="str">
        <f>+CONCATENATE(AM159," ",AN159)</f>
        <v>REG + 15</v>
      </c>
      <c r="V159" s="48" t="str">
        <f>IF(E159=0," ",IF(E159="H",IF(H159&lt;1999,VLOOKUP(K159,[26]Minimas!$A$15:$F$29,6),IF(AND(H159&gt;1998,H159&lt;2002),VLOOKUP(K159,[26]Minimas!$A$15:$F$29,5),IF(AND(H159&gt;2001,H159&lt;2004),VLOOKUP(K159,[26]Minimas!$A$15:$F$29,4),IF(AND(H159&gt;2003,H159&lt;2006),VLOOKUP(K159,[26]Minimas!$A$15:$F$29,3),VLOOKUP(K159,[26]Minimas!$A$15:$F$29,2))))),IF(H159&lt;1999,VLOOKUP(K159,[26]Minimas!$G$15:$L$29,6),IF(AND(H159&gt;1998,H159&lt;2002),VLOOKUP(K159,[26]Minimas!$G$15:$L$29,5),IF(AND(H159&gt;2001,H159&lt;2004),VLOOKUP(K159,[26]Minimas!$G$15:$L$29,4),IF(AND(H159&gt;2003,H159&lt;2006),VLOOKUP(K159,[26]Minimas!$G$15:$L$29,3),VLOOKUP(K159,[26]Minimas!$G$15:$L$29,2)))))))</f>
        <v>SE M81</v>
      </c>
      <c r="W159" s="49">
        <f t="shared" si="48"/>
        <v>256.57055495245464</v>
      </c>
      <c r="X159" s="257">
        <v>43506</v>
      </c>
      <c r="Y159" s="261" t="s">
        <v>660</v>
      </c>
      <c r="Z159" s="261" t="s">
        <v>661</v>
      </c>
      <c r="AA159" s="232"/>
      <c r="AB159" s="230">
        <f>T159-HLOOKUP(V159,Minimas!$C$3:$CD$12,2,FALSE)</f>
        <v>65</v>
      </c>
      <c r="AC159" s="230">
        <f>T159-HLOOKUP(V159,Minimas!$C$3:$CD$12,3,FALSE)</f>
        <v>40</v>
      </c>
      <c r="AD159" s="230">
        <f>T159-HLOOKUP(V159,Minimas!$C$3:$CD$12,4,FALSE)</f>
        <v>15</v>
      </c>
      <c r="AE159" s="230">
        <f>T159-HLOOKUP(V159,Minimas!$C$3:$CD$12,5,FALSE)</f>
        <v>-10</v>
      </c>
      <c r="AF159" s="230">
        <f>T159-HLOOKUP(V159,Minimas!$C$3:$CD$12,6,FALSE)</f>
        <v>-40</v>
      </c>
      <c r="AG159" s="230">
        <f>T159-HLOOKUP(V159,Minimas!$C$3:$CD$12,7,FALSE)</f>
        <v>-65</v>
      </c>
      <c r="AH159" s="230">
        <f>T159-HLOOKUP(V159,Minimas!$C$3:$CD$12,8,FALSE)</f>
        <v>-85</v>
      </c>
      <c r="AI159" s="230">
        <f>T159-HLOOKUP(V159,Minimas!$C$3:$CD$12,9,FALSE)</f>
        <v>-110</v>
      </c>
      <c r="AJ159" s="230">
        <f>T159-HLOOKUP(V159,Minimas!$C$3:$CD$12,10,FALSE)</f>
        <v>-125</v>
      </c>
      <c r="AK159" s="231" t="str">
        <f>IF(E159=0," ",IF(AJ159&gt;=0,$AJ$5,IF(AI159&gt;=0,$AI$5,IF(AH159&gt;=0,$AH$5,IF(AG159&gt;=0,$AG$5,IF(AF159&gt;=0,$AF$5,IF(AE159&gt;=0,$AE$5,IF(AD159&gt;=0,$AD$5,IF(AC159&gt;=0,$AC$5,$AB$5)))))))))</f>
        <v>REG +</v>
      </c>
      <c r="AL159" s="232"/>
      <c r="AM159" s="232" t="str">
        <f t="shared" si="43"/>
        <v>REG +</v>
      </c>
      <c r="AN159" s="232">
        <f>IF(E159=0," ",IF(AJ159&gt;=0,AJ159,IF(AI159&gt;=0,AI159,IF(AH159&gt;=0,AH159,IF(AG159&gt;=0,AG159,IF(AF159&gt;=0,AF159,IF(AE159&gt;=0,AE159,IF(AD159&gt;=0,AD159,IF(AC159&gt;=0,AC159,AB159)))))))))</f>
        <v>15</v>
      </c>
      <c r="AO159" s="232"/>
      <c r="AP159" s="485"/>
      <c r="AQ159" s="485"/>
      <c r="AR159" s="485"/>
      <c r="AS159" s="485"/>
      <c r="AT159" s="485"/>
      <c r="AU159" s="485"/>
      <c r="AV159" s="485"/>
      <c r="AW159" s="485"/>
      <c r="AX159" s="485"/>
      <c r="AY159" s="485"/>
      <c r="AZ159" s="485"/>
      <c r="BA159" s="485"/>
      <c r="BB159" s="485"/>
      <c r="BC159" s="485"/>
      <c r="BD159" s="485"/>
      <c r="BE159" s="485"/>
      <c r="BF159" s="485"/>
      <c r="BG159" s="485"/>
      <c r="BH159" s="485"/>
      <c r="BI159" s="485"/>
      <c r="BJ159" s="485"/>
      <c r="BK159" s="485"/>
      <c r="BL159" s="485"/>
      <c r="BM159" s="485"/>
      <c r="BN159" s="485"/>
      <c r="BO159" s="485"/>
      <c r="BP159" s="485"/>
      <c r="BQ159" s="485"/>
      <c r="BR159" s="485"/>
      <c r="BS159" s="485"/>
      <c r="BT159" s="485"/>
      <c r="BU159" s="485"/>
      <c r="BV159" s="485"/>
      <c r="BW159" s="485"/>
      <c r="BX159" s="485"/>
      <c r="BY159" s="485"/>
      <c r="BZ159" s="485"/>
      <c r="CA159" s="485"/>
      <c r="CB159" s="485"/>
      <c r="CC159" s="485"/>
      <c r="CD159" s="485"/>
      <c r="CE159" s="485"/>
      <c r="CF159" s="485"/>
      <c r="CG159" s="485"/>
      <c r="CH159" s="485"/>
      <c r="CI159" s="485"/>
      <c r="CJ159" s="485"/>
      <c r="CK159" s="485"/>
      <c r="CL159" s="485"/>
      <c r="CM159" s="485"/>
      <c r="CN159" s="485"/>
      <c r="CO159" s="485"/>
      <c r="CP159" s="485"/>
      <c r="CQ159" s="485"/>
      <c r="CR159" s="485"/>
      <c r="CS159" s="485"/>
      <c r="CT159" s="485"/>
      <c r="CU159" s="485"/>
      <c r="CV159" s="485"/>
      <c r="CW159" s="485"/>
      <c r="CX159" s="485"/>
      <c r="CY159" s="485"/>
      <c r="CZ159" s="485"/>
      <c r="DA159" s="485"/>
      <c r="DB159" s="485"/>
      <c r="DC159" s="485"/>
      <c r="DD159" s="485"/>
      <c r="DE159" s="485"/>
      <c r="DF159" s="485"/>
      <c r="DG159" s="485"/>
      <c r="DH159" s="485"/>
      <c r="DI159" s="485"/>
      <c r="DJ159" s="485"/>
      <c r="DK159" s="485"/>
      <c r="DL159" s="485"/>
      <c r="DM159" s="485"/>
      <c r="DN159" s="485"/>
      <c r="DO159" s="485"/>
      <c r="DP159" s="485"/>
      <c r="DQ159" s="485"/>
      <c r="DR159" s="485"/>
      <c r="DS159" s="485"/>
      <c r="DT159" s="485"/>
    </row>
    <row r="160" spans="1:124" s="5" customFormat="1" ht="30" customHeight="1" x14ac:dyDescent="0.3">
      <c r="B160" s="515" t="s">
        <v>543</v>
      </c>
      <c r="C160" s="525">
        <v>407294</v>
      </c>
      <c r="D160" s="532"/>
      <c r="E160" s="399" t="s">
        <v>40</v>
      </c>
      <c r="F160" s="414" t="s">
        <v>377</v>
      </c>
      <c r="G160" s="415" t="s">
        <v>378</v>
      </c>
      <c r="H160" s="416">
        <v>1992</v>
      </c>
      <c r="I160" s="757" t="s">
        <v>379</v>
      </c>
      <c r="J160" s="578" t="s">
        <v>44</v>
      </c>
      <c r="K160" s="581">
        <v>80.5</v>
      </c>
      <c r="L160" s="456">
        <v>90</v>
      </c>
      <c r="M160" s="597">
        <v>-95</v>
      </c>
      <c r="N160" s="597">
        <v>-95</v>
      </c>
      <c r="O160" s="52">
        <f t="shared" si="45"/>
        <v>90</v>
      </c>
      <c r="P160" s="452">
        <v>115</v>
      </c>
      <c r="Q160" s="453">
        <v>120</v>
      </c>
      <c r="R160" s="597">
        <v>-126</v>
      </c>
      <c r="S160" s="52">
        <f t="shared" si="46"/>
        <v>120</v>
      </c>
      <c r="T160" s="51">
        <f>IF(E160="","",IF(OR(O160=0,S160=0),0,O160+S160))</f>
        <v>210</v>
      </c>
      <c r="U160" s="48" t="str">
        <f>+CONCATENATE(AM160," ",AN160)</f>
        <v>REG + 15</v>
      </c>
      <c r="V160" s="48" t="str">
        <f>IF(E160=0," ",IF(E160="H",IF(H160&lt;1999,VLOOKUP(K160,Minimas!$A$15:$F$29,6),IF(AND(H160&gt;1998,H160&lt;2002),VLOOKUP(K160,Minimas!$A$15:$F$29,5),IF(AND(H160&gt;2001,H160&lt;2004),VLOOKUP(K160,Minimas!$A$15:$F$29,4),IF(AND(H160&gt;2003,H160&lt;2006),VLOOKUP(K160,Minimas!$A$15:$F$29,3),VLOOKUP(K160,Minimas!$A$15:$F$29,2))))),IF(H160&lt;1999,VLOOKUP(K160,Minimas!$G$15:$L$29,6),IF(AND(H160&gt;1998,H160&lt;2002),VLOOKUP(K160,Minimas!$G$15:$L$29,5),IF(AND(H160&gt;2001,H160&lt;2004),VLOOKUP(K160,Minimas!$G$15:$L$29,4),IF(AND(H160&gt;2003,H160&lt;2006),VLOOKUP(K160,Minimas!$G$15:$L$29,3),VLOOKUP(K160,Minimas!$G$15:$L$29,2)))))))</f>
        <v>SE M81</v>
      </c>
      <c r="W160" s="49">
        <f t="shared" si="48"/>
        <v>256.08219045853389</v>
      </c>
      <c r="X160" s="184">
        <v>43401</v>
      </c>
      <c r="Y160" s="284" t="s">
        <v>507</v>
      </c>
      <c r="Z160" s="284" t="s">
        <v>506</v>
      </c>
      <c r="AA160" s="232"/>
      <c r="AB160" s="230">
        <f>T160-HLOOKUP(V160,Minimas!$C$3:$CD$12,2,FALSE)</f>
        <v>65</v>
      </c>
      <c r="AC160" s="230">
        <f>T160-HLOOKUP(V160,Minimas!$C$3:$CD$12,3,FALSE)</f>
        <v>40</v>
      </c>
      <c r="AD160" s="230">
        <f>T160-HLOOKUP(V160,Minimas!$C$3:$CD$12,4,FALSE)</f>
        <v>15</v>
      </c>
      <c r="AE160" s="230">
        <f>T160-HLOOKUP(V160,Minimas!$C$3:$CD$12,5,FALSE)</f>
        <v>-10</v>
      </c>
      <c r="AF160" s="230">
        <f>T160-HLOOKUP(V160,Minimas!$C$3:$CD$12,6,FALSE)</f>
        <v>-40</v>
      </c>
      <c r="AG160" s="230">
        <f>T160-HLOOKUP(V160,Minimas!$C$3:$CD$12,7,FALSE)</f>
        <v>-65</v>
      </c>
      <c r="AH160" s="230">
        <f>T160-HLOOKUP(V160,Minimas!$C$3:$CD$12,8,FALSE)</f>
        <v>-85</v>
      </c>
      <c r="AI160" s="230">
        <f>T160-HLOOKUP(V160,Minimas!$C$3:$CD$12,9,FALSE)</f>
        <v>-110</v>
      </c>
      <c r="AJ160" s="230">
        <f>T160-HLOOKUP(V160,Minimas!$C$3:$CD$12,10,FALSE)</f>
        <v>-125</v>
      </c>
      <c r="AK160" s="231" t="str">
        <f>IF(E160=0," ",IF(AJ160&gt;=0,$AJ$5,IF(AI160&gt;=0,$AI$5,IF(AH160&gt;=0,$AH$5,IF(AG160&gt;=0,$AG$5,IF(AF160&gt;=0,$AF$5,IF(AE160&gt;=0,$AE$5,IF(AD160&gt;=0,$AD$5,IF(AC160&gt;=0,$AC$5,$AB$5)))))))))</f>
        <v>REG +</v>
      </c>
      <c r="AL160" s="232"/>
      <c r="AM160" s="232" t="str">
        <f t="shared" si="43"/>
        <v>REG +</v>
      </c>
      <c r="AN160" s="232">
        <f>IF(E160=0," ",IF(AJ160&gt;=0,AJ160,IF(AI160&gt;=0,AI160,IF(AH160&gt;=0,AH160,IF(AG160&gt;=0,AG160,IF(AF160&gt;=0,AF160,IF(AE160&gt;=0,AE160,IF(AD160&gt;=0,AD160,IF(AC160&gt;=0,AC160,AB160)))))))))</f>
        <v>15</v>
      </c>
      <c r="AO160" s="232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  <c r="BF160" s="38"/>
      <c r="BG160" s="38"/>
      <c r="BH160" s="38"/>
      <c r="BI160" s="38"/>
      <c r="BJ160" s="38"/>
      <c r="BK160" s="38"/>
      <c r="BL160" s="38"/>
      <c r="BM160" s="38"/>
      <c r="BN160" s="38"/>
      <c r="BO160" s="38"/>
      <c r="BP160" s="38"/>
      <c r="BQ160" s="38"/>
      <c r="BR160" s="38"/>
      <c r="BS160" s="38"/>
      <c r="BT160" s="38"/>
      <c r="BU160" s="38"/>
      <c r="BV160" s="38"/>
      <c r="BW160" s="38"/>
      <c r="BX160" s="38"/>
      <c r="BY160" s="38"/>
      <c r="BZ160" s="38"/>
      <c r="CA160" s="38"/>
      <c r="CB160" s="38"/>
      <c r="CC160" s="38"/>
      <c r="CD160" s="38"/>
      <c r="CE160" s="38"/>
      <c r="CF160" s="38"/>
      <c r="CG160" s="38"/>
      <c r="CH160" s="38"/>
      <c r="CI160" s="38"/>
      <c r="CJ160" s="38"/>
      <c r="CK160" s="38"/>
      <c r="CL160" s="38"/>
      <c r="CM160" s="38"/>
      <c r="CN160" s="38"/>
      <c r="CO160" s="38"/>
      <c r="CP160" s="38"/>
      <c r="CQ160" s="38"/>
      <c r="CR160" s="38"/>
      <c r="CS160" s="38"/>
      <c r="CT160" s="38"/>
      <c r="CU160" s="38"/>
      <c r="CV160" s="38"/>
      <c r="CW160" s="38"/>
      <c r="CX160" s="38"/>
      <c r="CY160" s="38"/>
      <c r="CZ160" s="38"/>
      <c r="DA160" s="38"/>
      <c r="DB160" s="38"/>
      <c r="DC160" s="38"/>
      <c r="DD160" s="38"/>
      <c r="DE160" s="38"/>
      <c r="DF160" s="38"/>
      <c r="DG160" s="38"/>
      <c r="DH160" s="38"/>
      <c r="DI160" s="38"/>
      <c r="DJ160" s="38"/>
      <c r="DK160" s="38"/>
      <c r="DL160" s="38"/>
      <c r="DM160" s="38"/>
      <c r="DN160" s="38"/>
      <c r="DO160" s="38"/>
      <c r="DP160" s="38"/>
      <c r="DQ160" s="38"/>
      <c r="DR160" s="38"/>
      <c r="DS160" s="38"/>
      <c r="DT160" s="38"/>
    </row>
    <row r="161" spans="1:124" s="5" customFormat="1" ht="30" customHeight="1" x14ac:dyDescent="0.25">
      <c r="A161" s="387"/>
      <c r="B161" s="403" t="s">
        <v>543</v>
      </c>
      <c r="C161" s="404">
        <v>377631</v>
      </c>
      <c r="D161" s="405"/>
      <c r="E161" s="406" t="s">
        <v>40</v>
      </c>
      <c r="F161" s="407" t="s">
        <v>341</v>
      </c>
      <c r="G161" s="408" t="s">
        <v>342</v>
      </c>
      <c r="H161" s="413">
        <v>1988</v>
      </c>
      <c r="I161" s="874" t="s">
        <v>214</v>
      </c>
      <c r="J161" s="877" t="s">
        <v>44</v>
      </c>
      <c r="K161" s="412">
        <v>74.2</v>
      </c>
      <c r="L161" s="456">
        <v>85</v>
      </c>
      <c r="M161" s="457">
        <v>-90</v>
      </c>
      <c r="N161" s="457">
        <v>90</v>
      </c>
      <c r="O161" s="392">
        <v>90</v>
      </c>
      <c r="P161" s="456">
        <v>105</v>
      </c>
      <c r="Q161" s="457">
        <v>110</v>
      </c>
      <c r="R161" s="457">
        <v>115</v>
      </c>
      <c r="S161" s="392">
        <v>115</v>
      </c>
      <c r="T161" s="391">
        <v>205</v>
      </c>
      <c r="U161" s="389" t="s">
        <v>837</v>
      </c>
      <c r="V161" s="427" t="s">
        <v>79</v>
      </c>
      <c r="W161" s="390">
        <v>261.13961334408134</v>
      </c>
      <c r="X161" s="257">
        <v>43554</v>
      </c>
      <c r="Y161" s="261" t="s">
        <v>805</v>
      </c>
      <c r="Z161" s="261" t="s">
        <v>829</v>
      </c>
      <c r="AA161" s="464"/>
      <c r="AB161" s="465">
        <v>60</v>
      </c>
      <c r="AC161" s="465">
        <v>35</v>
      </c>
      <c r="AD161" s="465">
        <v>10</v>
      </c>
      <c r="AE161" s="465">
        <v>-15</v>
      </c>
      <c r="AF161" s="465">
        <v>-45</v>
      </c>
      <c r="AG161" s="465">
        <v>-70</v>
      </c>
      <c r="AH161" s="465">
        <v>-90</v>
      </c>
      <c r="AI161" s="465">
        <v>-115</v>
      </c>
      <c r="AJ161" s="465">
        <v>-130</v>
      </c>
      <c r="AK161" s="466" t="s">
        <v>32</v>
      </c>
      <c r="AL161" s="464"/>
      <c r="AM161" s="464" t="s">
        <v>32</v>
      </c>
      <c r="AN161" s="464">
        <v>10</v>
      </c>
      <c r="AO161" s="464"/>
      <c r="AP161" s="388"/>
      <c r="AQ161" s="388"/>
      <c r="AR161" s="388"/>
      <c r="AS161" s="388"/>
      <c r="AT161" s="388"/>
      <c r="AU161" s="388"/>
      <c r="AV161" s="388"/>
      <c r="AW161" s="388"/>
      <c r="AX161" s="388"/>
      <c r="AY161" s="388"/>
      <c r="AZ161" s="388"/>
      <c r="BA161" s="388"/>
      <c r="BB161" s="388"/>
      <c r="BC161" s="388"/>
      <c r="BD161" s="388"/>
      <c r="BE161" s="388"/>
      <c r="BF161" s="388"/>
      <c r="BG161" s="388"/>
      <c r="BH161" s="388"/>
      <c r="BI161" s="388"/>
      <c r="BJ161" s="388"/>
      <c r="BK161" s="388"/>
      <c r="BL161" s="388"/>
      <c r="BM161" s="388"/>
      <c r="BN161" s="388"/>
      <c r="BO161" s="388"/>
      <c r="BP161" s="388"/>
      <c r="BQ161" s="388"/>
      <c r="BR161" s="388"/>
      <c r="BS161" s="388"/>
      <c r="BT161" s="388"/>
      <c r="BU161" s="388"/>
      <c r="BV161" s="388"/>
      <c r="BW161" s="388"/>
      <c r="BX161" s="388"/>
      <c r="BY161" s="388"/>
      <c r="BZ161" s="388"/>
      <c r="CA161" s="388"/>
      <c r="CB161" s="388"/>
      <c r="CC161" s="388"/>
      <c r="CD161" s="388"/>
      <c r="CE161" s="388"/>
      <c r="CF161" s="388"/>
      <c r="CG161" s="388"/>
      <c r="CH161" s="388"/>
      <c r="CI161" s="388"/>
      <c r="CJ161" s="388"/>
      <c r="CK161" s="388"/>
      <c r="CL161" s="388"/>
      <c r="CM161" s="388"/>
      <c r="CN161" s="388"/>
      <c r="CO161" s="388"/>
      <c r="CP161" s="388"/>
      <c r="CQ161" s="388"/>
      <c r="CR161" s="388"/>
      <c r="CS161" s="388"/>
      <c r="CT161" s="388"/>
      <c r="CU161" s="388"/>
      <c r="CV161" s="388"/>
      <c r="CW161" s="388"/>
      <c r="CX161" s="388"/>
      <c r="CY161" s="388"/>
      <c r="CZ161" s="388"/>
      <c r="DA161" s="388"/>
      <c r="DB161" s="388"/>
      <c r="DC161" s="388"/>
      <c r="DD161" s="388"/>
      <c r="DE161" s="388"/>
      <c r="DF161" s="388"/>
      <c r="DG161" s="388"/>
      <c r="DH161" s="388"/>
      <c r="DI161" s="388"/>
      <c r="DJ161" s="388"/>
      <c r="DK161" s="388"/>
      <c r="DL161" s="388"/>
      <c r="DM161" s="388"/>
      <c r="DN161" s="388"/>
      <c r="DO161" s="388"/>
      <c r="DP161" s="388"/>
      <c r="DQ161" s="388"/>
      <c r="DR161" s="388"/>
      <c r="DS161" s="388"/>
      <c r="DT161" s="388"/>
    </row>
    <row r="162" spans="1:124" s="5" customFormat="1" ht="30" customHeight="1" x14ac:dyDescent="0.25">
      <c r="B162" s="515" t="s">
        <v>543</v>
      </c>
      <c r="C162" s="525">
        <v>433301</v>
      </c>
      <c r="D162" s="532"/>
      <c r="E162" s="399" t="s">
        <v>40</v>
      </c>
      <c r="F162" s="414" t="s">
        <v>614</v>
      </c>
      <c r="G162" s="415" t="s">
        <v>367</v>
      </c>
      <c r="H162" s="741">
        <v>1989</v>
      </c>
      <c r="I162" s="750" t="s">
        <v>587</v>
      </c>
      <c r="J162" s="578"/>
      <c r="K162" s="776">
        <v>80.3</v>
      </c>
      <c r="L162" s="454">
        <v>85</v>
      </c>
      <c r="M162" s="457">
        <v>88</v>
      </c>
      <c r="N162" s="596">
        <v>-92</v>
      </c>
      <c r="O162" s="490">
        <f t="shared" ref="O162:O193" si="52">IF(E162="","",IF(MAXA(L162:N162)&lt;=0,0,MAXA(L162:N162)))</f>
        <v>88</v>
      </c>
      <c r="P162" s="789">
        <v>-110</v>
      </c>
      <c r="Q162" s="457">
        <v>115</v>
      </c>
      <c r="R162" s="596">
        <v>-120</v>
      </c>
      <c r="S162" s="490">
        <f t="shared" ref="S162:S193" si="53">IF(E162="","",IF(MAXA(P162:R162)&lt;=0,0,MAXA(P162:R162)))</f>
        <v>115</v>
      </c>
      <c r="T162" s="489">
        <f>IF(E162="","",IF(OR(O162=0,S162=0),0,O162+S162))</f>
        <v>203</v>
      </c>
      <c r="U162" s="48" t="str">
        <f t="shared" ref="U162:U193" si="54">+CONCATENATE(AM162," ",AN162)</f>
        <v>REG + 8</v>
      </c>
      <c r="V162" s="48" t="str">
        <f>IF(E162=0," ",IF(E162="H",IF(H162&lt;1999,VLOOKUP(K162,Minimas!$A$15:$F$29,6),IF(AND(H162&gt;1998,H162&lt;2002),VLOOKUP(K162,Minimas!$A$15:$F$29,5),IF(AND(H162&gt;2001,H162&lt;2004),VLOOKUP(K162,Minimas!$A$15:$F$29,4),IF(AND(H162&gt;2003,H162&lt;2006),VLOOKUP(K162,Minimas!$A$15:$F$29,3),VLOOKUP(K162,Minimas!$A$15:$F$29,2))))),IF(H162&lt;1999,VLOOKUP(K162,Minimas!$G$15:$L$29,6),IF(AND(H162&gt;1998,H162&lt;2002),VLOOKUP(K162,Minimas!$G$15:$L$29,5),IF(AND(H162&gt;2001,H162&lt;2004),VLOOKUP(K162,Minimas!$G$15:$L$29,4),IF(AND(H162&gt;2003,H162&lt;2006),VLOOKUP(K162,Minimas!$G$15:$L$29,3),VLOOKUP(K162,Minimas!$G$15:$L$29,2)))))))</f>
        <v>SE M81</v>
      </c>
      <c r="W162" s="49">
        <f t="shared" ref="W162:W193" si="55">IF(E162=" "," ",IF(E162="H",10^(0.75194503*LOG(K162/175.508)^2)*T162,IF(E162="F",10^(0.783497476* LOG(K162/153.655)^2)*T162,"")))</f>
        <v>247.86029438738794</v>
      </c>
      <c r="X162" s="257">
        <v>43484</v>
      </c>
      <c r="Y162" s="261" t="s">
        <v>630</v>
      </c>
      <c r="Z162" s="261" t="s">
        <v>581</v>
      </c>
      <c r="AA162" s="232"/>
      <c r="AB162" s="230">
        <f>T162-HLOOKUP(V162,Minimas!$C$3:$CD$12,2,FALSE)</f>
        <v>58</v>
      </c>
      <c r="AC162" s="230">
        <f>T162-HLOOKUP(V162,Minimas!$C$3:$CD$12,3,FALSE)</f>
        <v>33</v>
      </c>
      <c r="AD162" s="230">
        <f>T162-HLOOKUP(V162,Minimas!$C$3:$CD$12,4,FALSE)</f>
        <v>8</v>
      </c>
      <c r="AE162" s="230">
        <f>T162-HLOOKUP(V162,Minimas!$C$3:$CD$12,5,FALSE)</f>
        <v>-17</v>
      </c>
      <c r="AF162" s="230">
        <f>T162-HLOOKUP(V162,Minimas!$C$3:$CD$12,6,FALSE)</f>
        <v>-47</v>
      </c>
      <c r="AG162" s="230">
        <f>T162-HLOOKUP(V162,Minimas!$C$3:$CD$12,7,FALSE)</f>
        <v>-72</v>
      </c>
      <c r="AH162" s="230">
        <f>T162-HLOOKUP(V162,Minimas!$C$3:$CD$12,8,FALSE)</f>
        <v>-92</v>
      </c>
      <c r="AI162" s="230">
        <f>T162-HLOOKUP(V162,Minimas!$C$3:$CD$12,9,FALSE)</f>
        <v>-117</v>
      </c>
      <c r="AJ162" s="230">
        <f>T162-HLOOKUP(V162,Minimas!$C$3:$CD$12,10,FALSE)</f>
        <v>-132</v>
      </c>
      <c r="AK162" s="231" t="str">
        <f t="shared" ref="AK162:AK193" si="56">IF(E162=0," ",IF(AJ162&gt;=0,$AJ$5,IF(AI162&gt;=0,$AI$5,IF(AH162&gt;=0,$AH$5,IF(AG162&gt;=0,$AG$5,IF(AF162&gt;=0,$AF$5,IF(AE162&gt;=0,$AE$5,IF(AD162&gt;=0,$AD$5,IF(AC162&gt;=0,$AC$5,$AB$5)))))))))</f>
        <v>REG +</v>
      </c>
      <c r="AL162" s="232"/>
      <c r="AM162" s="232" t="str">
        <f t="shared" ref="AM162:AM193" si="57">IF(AK162="","",AK162)</f>
        <v>REG +</v>
      </c>
      <c r="AN162" s="232">
        <f t="shared" ref="AN162:AN193" si="58">IF(E162=0," ",IF(AJ162&gt;=0,AJ162,IF(AI162&gt;=0,AI162,IF(AH162&gt;=0,AH162,IF(AG162&gt;=0,AG162,IF(AF162&gt;=0,AF162,IF(AE162&gt;=0,AE162,IF(AD162&gt;=0,AD162,IF(AC162&gt;=0,AC162,AB162)))))))))</f>
        <v>8</v>
      </c>
      <c r="AO162" s="232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  <c r="BF162" s="38"/>
      <c r="BG162" s="38"/>
      <c r="BH162" s="38"/>
      <c r="BI162" s="38"/>
      <c r="BJ162" s="38"/>
      <c r="BK162" s="38"/>
      <c r="BL162" s="38"/>
      <c r="BM162" s="38"/>
      <c r="BN162" s="38"/>
      <c r="BO162" s="38"/>
      <c r="BP162" s="38"/>
      <c r="BQ162" s="38"/>
      <c r="BR162" s="38"/>
      <c r="BS162" s="38"/>
      <c r="BT162" s="38"/>
      <c r="BU162" s="38"/>
      <c r="BV162" s="38"/>
      <c r="BW162" s="38"/>
      <c r="BX162" s="38"/>
      <c r="BY162" s="38"/>
      <c r="BZ162" s="38"/>
      <c r="CA162" s="38"/>
      <c r="CB162" s="38"/>
      <c r="CC162" s="38"/>
      <c r="CD162" s="38"/>
      <c r="CE162" s="38"/>
      <c r="CF162" s="38"/>
      <c r="CG162" s="38"/>
      <c r="CH162" s="38"/>
      <c r="CI162" s="38"/>
      <c r="CJ162" s="38"/>
      <c r="CK162" s="38"/>
      <c r="CL162" s="38"/>
      <c r="CM162" s="38"/>
      <c r="CN162" s="38"/>
      <c r="CO162" s="38"/>
      <c r="CP162" s="38"/>
      <c r="CQ162" s="38"/>
      <c r="CR162" s="38"/>
      <c r="CS162" s="38"/>
      <c r="CT162" s="38"/>
      <c r="CU162" s="38"/>
      <c r="CV162" s="38"/>
      <c r="CW162" s="38"/>
      <c r="CX162" s="38"/>
      <c r="CY162" s="38"/>
      <c r="CZ162" s="38"/>
      <c r="DA162" s="38"/>
      <c r="DB162" s="38"/>
      <c r="DC162" s="38"/>
      <c r="DD162" s="38"/>
      <c r="DE162" s="38"/>
      <c r="DF162" s="38"/>
      <c r="DG162" s="38"/>
      <c r="DH162" s="38"/>
      <c r="DI162" s="38"/>
      <c r="DJ162" s="38"/>
      <c r="DK162" s="38"/>
      <c r="DL162" s="38"/>
      <c r="DM162" s="38"/>
      <c r="DN162" s="38"/>
      <c r="DO162" s="38"/>
      <c r="DP162" s="38"/>
      <c r="DQ162" s="38"/>
      <c r="DR162" s="38"/>
      <c r="DS162" s="38"/>
      <c r="DT162" s="38"/>
    </row>
    <row r="163" spans="1:124" s="5" customFormat="1" ht="30" customHeight="1" x14ac:dyDescent="0.25">
      <c r="A163" s="484"/>
      <c r="B163" s="433" t="s">
        <v>543</v>
      </c>
      <c r="C163" s="429">
        <v>430809</v>
      </c>
      <c r="D163" s="507"/>
      <c r="E163" s="315" t="s">
        <v>40</v>
      </c>
      <c r="F163" s="319" t="s">
        <v>366</v>
      </c>
      <c r="G163" s="320" t="s">
        <v>367</v>
      </c>
      <c r="H163" s="306">
        <v>1989</v>
      </c>
      <c r="I163" s="760" t="s">
        <v>170</v>
      </c>
      <c r="J163" s="323" t="s">
        <v>41</v>
      </c>
      <c r="K163" s="326">
        <v>77.400000000000006</v>
      </c>
      <c r="L163" s="300">
        <v>85</v>
      </c>
      <c r="M163" s="301">
        <v>90</v>
      </c>
      <c r="N163" s="301">
        <v>-95</v>
      </c>
      <c r="O163" s="363">
        <f t="shared" si="52"/>
        <v>90</v>
      </c>
      <c r="P163" s="300">
        <v>105</v>
      </c>
      <c r="Q163" s="301">
        <v>110</v>
      </c>
      <c r="R163" s="301">
        <v>112</v>
      </c>
      <c r="S163" s="363">
        <f t="shared" si="53"/>
        <v>112</v>
      </c>
      <c r="T163" s="364">
        <f>IF(E163="","",IF(OR(O163=0,S163=0),0,O163+S163))</f>
        <v>202</v>
      </c>
      <c r="U163" s="360" t="str">
        <f t="shared" si="54"/>
        <v>REG + 7</v>
      </c>
      <c r="V163" s="360" t="str">
        <f>IF(E163=0," ",IF(E163="H",IF(H163&lt;1999,VLOOKUP(K163,[3]Minimas!$A$15:$F$29,6),IF(AND(H163&gt;1998,H163&lt;2002),VLOOKUP(K163,[3]Minimas!$A$15:$F$29,5),IF(AND(H163&gt;2001,H163&lt;2004),VLOOKUP(K163,[3]Minimas!$A$15:$F$29,4),IF(AND(H163&gt;2003,H163&lt;2006),VLOOKUP(K163,[3]Minimas!$A$15:$F$29,3),VLOOKUP(K163,[3]Minimas!$A$15:$F$29,2))))),IF(H163&lt;1999,VLOOKUP(K163,[3]Minimas!$G$15:$L$29,6),IF(AND(H163&gt;1998,H163&lt;2002),VLOOKUP(K163,[3]Minimas!$G$15:$L$29,5),IF(AND(H163&gt;2001,H163&lt;2004),VLOOKUP(K163,[3]Minimas!$G$15:$L$29,4),IF(AND(H163&gt;2003,H163&lt;2006),VLOOKUP(K163,[3]Minimas!$G$15:$L$29,3),VLOOKUP(K163,[3]Minimas!$G$15:$L$29,2)))))))</f>
        <v>SE M81</v>
      </c>
      <c r="W163" s="361">
        <f t="shared" si="55"/>
        <v>251.42721736045073</v>
      </c>
      <c r="X163" s="257">
        <v>43610</v>
      </c>
      <c r="Y163" s="261" t="s">
        <v>892</v>
      </c>
      <c r="Z163" s="618" t="s">
        <v>829</v>
      </c>
      <c r="AA163" s="232"/>
      <c r="AB163" s="230">
        <f>T163-HLOOKUP(V163,[3]Minimas!$C$3:$CD$12,2,FALSE)</f>
        <v>57</v>
      </c>
      <c r="AC163" s="230">
        <f>T163-HLOOKUP(V163,[3]Minimas!$C$3:$CD$12,3,FALSE)</f>
        <v>32</v>
      </c>
      <c r="AD163" s="230">
        <f>T163-HLOOKUP(V163,[3]Minimas!$C$3:$CD$12,4,FALSE)</f>
        <v>7</v>
      </c>
      <c r="AE163" s="230">
        <f>T163-HLOOKUP(V163,[3]Minimas!$C$3:$CD$12,5,FALSE)</f>
        <v>-18</v>
      </c>
      <c r="AF163" s="230">
        <f>T163-HLOOKUP(V163,[3]Minimas!$C$3:$CD$12,6,FALSE)</f>
        <v>-48</v>
      </c>
      <c r="AG163" s="230">
        <f>T163-HLOOKUP(V163,[3]Minimas!$C$3:$CD$12,7,FALSE)</f>
        <v>-73</v>
      </c>
      <c r="AH163" s="230">
        <f>T163-HLOOKUP(V163,[3]Minimas!$C$3:$CD$12,8,FALSE)</f>
        <v>-93</v>
      </c>
      <c r="AI163" s="230">
        <f>T163-HLOOKUP(V163,[3]Minimas!$C$3:$CD$12,9,FALSE)</f>
        <v>-118</v>
      </c>
      <c r="AJ163" s="230">
        <f>T163-HLOOKUP(V163,[3]Minimas!$C$3:$CD$12,10,FALSE)</f>
        <v>-133</v>
      </c>
      <c r="AK163" s="231" t="str">
        <f t="shared" si="56"/>
        <v>REG +</v>
      </c>
      <c r="AL163" s="232"/>
      <c r="AM163" s="232" t="str">
        <f t="shared" si="57"/>
        <v>REG +</v>
      </c>
      <c r="AN163" s="232">
        <f t="shared" si="58"/>
        <v>7</v>
      </c>
      <c r="AO163" s="232"/>
      <c r="AP163" s="485"/>
      <c r="AQ163" s="485"/>
      <c r="AR163" s="485"/>
      <c r="AS163" s="485"/>
      <c r="AT163" s="485"/>
      <c r="AU163" s="485"/>
      <c r="AV163" s="485"/>
      <c r="AW163" s="485"/>
      <c r="AX163" s="485"/>
      <c r="AY163" s="485"/>
      <c r="AZ163" s="485"/>
      <c r="BA163" s="485"/>
      <c r="BB163" s="485"/>
      <c r="BC163" s="485"/>
      <c r="BD163" s="485"/>
      <c r="BE163" s="485"/>
      <c r="BF163" s="485"/>
      <c r="BG163" s="485"/>
      <c r="BH163" s="485"/>
      <c r="BI163" s="485"/>
      <c r="BJ163" s="485"/>
      <c r="BK163" s="485"/>
      <c r="BL163" s="485"/>
      <c r="BM163" s="485"/>
      <c r="BN163" s="485"/>
      <c r="BO163" s="485"/>
      <c r="BP163" s="485"/>
      <c r="BQ163" s="485"/>
      <c r="BR163" s="485"/>
      <c r="BS163" s="485"/>
      <c r="BT163" s="485"/>
      <c r="BU163" s="485"/>
      <c r="BV163" s="485"/>
      <c r="BW163" s="485"/>
      <c r="BX163" s="485"/>
      <c r="BY163" s="485"/>
      <c r="BZ163" s="485"/>
      <c r="CA163" s="485"/>
      <c r="CB163" s="485"/>
      <c r="CC163" s="485"/>
      <c r="CD163" s="485"/>
      <c r="CE163" s="485"/>
      <c r="CF163" s="485"/>
      <c r="CG163" s="485"/>
      <c r="CH163" s="485"/>
      <c r="CI163" s="485"/>
      <c r="CJ163" s="485"/>
      <c r="CK163" s="485"/>
      <c r="CL163" s="485"/>
      <c r="CM163" s="485"/>
      <c r="CN163" s="485"/>
      <c r="CO163" s="485"/>
      <c r="CP163" s="485"/>
      <c r="CQ163" s="485"/>
      <c r="CR163" s="485"/>
      <c r="CS163" s="485"/>
      <c r="CT163" s="485"/>
      <c r="CU163" s="485"/>
      <c r="CV163" s="485"/>
      <c r="CW163" s="485"/>
      <c r="CX163" s="485"/>
      <c r="CY163" s="485"/>
      <c r="CZ163" s="485"/>
      <c r="DA163" s="485"/>
      <c r="DB163" s="485"/>
      <c r="DC163" s="485"/>
      <c r="DD163" s="485"/>
      <c r="DE163" s="485"/>
      <c r="DF163" s="485"/>
      <c r="DG163" s="485"/>
      <c r="DH163" s="485"/>
      <c r="DI163" s="485"/>
      <c r="DJ163" s="485"/>
      <c r="DK163" s="485"/>
      <c r="DL163" s="485"/>
      <c r="DM163" s="485"/>
      <c r="DN163" s="485"/>
      <c r="DO163" s="485"/>
      <c r="DP163" s="485"/>
      <c r="DQ163" s="485"/>
      <c r="DR163" s="485"/>
      <c r="DS163" s="485"/>
      <c r="DT163" s="485"/>
    </row>
    <row r="164" spans="1:124" s="5" customFormat="1" ht="30" customHeight="1" x14ac:dyDescent="0.4">
      <c r="A164" s="484"/>
      <c r="B164" s="136" t="s">
        <v>543</v>
      </c>
      <c r="C164" s="447">
        <v>422839</v>
      </c>
      <c r="D164" s="99"/>
      <c r="E164" s="98" t="s">
        <v>40</v>
      </c>
      <c r="F164" s="137" t="s">
        <v>247</v>
      </c>
      <c r="G164" s="137" t="s">
        <v>248</v>
      </c>
      <c r="H164" s="98">
        <v>1989</v>
      </c>
      <c r="I164" s="214" t="s">
        <v>129</v>
      </c>
      <c r="J164" s="98" t="s">
        <v>44</v>
      </c>
      <c r="K164" s="98">
        <v>77.400000000000006</v>
      </c>
      <c r="L164" s="224">
        <v>80</v>
      </c>
      <c r="M164" s="225">
        <v>-85</v>
      </c>
      <c r="N164" s="225">
        <v>-85</v>
      </c>
      <c r="O164" s="221">
        <f t="shared" si="52"/>
        <v>80</v>
      </c>
      <c r="P164" s="224">
        <v>110</v>
      </c>
      <c r="Q164" s="224">
        <v>115</v>
      </c>
      <c r="R164" s="224">
        <v>120</v>
      </c>
      <c r="S164" s="202">
        <f t="shared" si="53"/>
        <v>120</v>
      </c>
      <c r="T164" s="203">
        <f>IF(E164="","",IF(OR(O164=0,S164=0),0,O164+S164))</f>
        <v>200</v>
      </c>
      <c r="U164" s="204" t="str">
        <f t="shared" si="54"/>
        <v>REG + 5</v>
      </c>
      <c r="V164" s="204" t="str">
        <f>IF(E164=0," ",IF(E164="H",IF(H164&lt;1999,VLOOKUP(K164,Minimas!$A$15:$F$29,6),IF(AND(H164&gt;1998,H164&lt;2002),VLOOKUP(K164,Minimas!$A$15:$F$29,5),IF(AND(H164&gt;2001,H164&lt;2004),VLOOKUP(K164,Minimas!$A$15:$F$29,4),IF(AND(H164&gt;2003,H164&lt;2006),VLOOKUP(K164,Minimas!$A$15:$F$29,3),VLOOKUP(K164,Minimas!$A$15:$F$29,2))))),IF(H164&lt;1999,VLOOKUP(K164,Minimas!$G$15:$L$29,6),IF(AND(H164&gt;1998,H164&lt;2002),VLOOKUP(K164,Minimas!$G$15:$L$29,5),IF(AND(H164&gt;2001,H164&lt;2004),VLOOKUP(K164,Minimas!$G$15:$L$29,4),IF(AND(H164&gt;2003,H164&lt;2006),VLOOKUP(K164,Minimas!$G$15:$L$29,3),VLOOKUP(K164,Minimas!$G$15:$L$29,2)))))))</f>
        <v>SE M81</v>
      </c>
      <c r="W164" s="205">
        <f t="shared" si="55"/>
        <v>248.93783897074329</v>
      </c>
      <c r="X164" s="184">
        <v>43449</v>
      </c>
      <c r="Y164" s="186" t="s">
        <v>512</v>
      </c>
      <c r="Z164" s="261" t="s">
        <v>504</v>
      </c>
      <c r="AA164" s="232"/>
      <c r="AB164" s="230">
        <f>T164-HLOOKUP(V164,Minimas!$C$3:$CD$12,2,FALSE)</f>
        <v>55</v>
      </c>
      <c r="AC164" s="230">
        <f>T164-HLOOKUP(V164,Minimas!$C$3:$CD$12,3,FALSE)</f>
        <v>30</v>
      </c>
      <c r="AD164" s="230">
        <f>T164-HLOOKUP(V164,Minimas!$C$3:$CD$12,4,FALSE)</f>
        <v>5</v>
      </c>
      <c r="AE164" s="230">
        <f>T164-HLOOKUP(V164,Minimas!$C$3:$CD$12,5,FALSE)</f>
        <v>-20</v>
      </c>
      <c r="AF164" s="230">
        <f>T164-HLOOKUP(V164,Minimas!$C$3:$CD$12,6,FALSE)</f>
        <v>-50</v>
      </c>
      <c r="AG164" s="230">
        <f>T164-HLOOKUP(V164,Minimas!$C$3:$CD$12,7,FALSE)</f>
        <v>-75</v>
      </c>
      <c r="AH164" s="230">
        <f>T164-HLOOKUP(V164,Minimas!$C$3:$CD$12,8,FALSE)</f>
        <v>-95</v>
      </c>
      <c r="AI164" s="230">
        <f>T164-HLOOKUP(V164,Minimas!$C$3:$CD$12,9,FALSE)</f>
        <v>-120</v>
      </c>
      <c r="AJ164" s="230">
        <f>T164-HLOOKUP(V164,Minimas!$C$3:$CD$12,10,FALSE)</f>
        <v>-135</v>
      </c>
      <c r="AK164" s="231" t="str">
        <f t="shared" si="56"/>
        <v>REG +</v>
      </c>
      <c r="AL164" s="232"/>
      <c r="AM164" s="232" t="str">
        <f t="shared" si="57"/>
        <v>REG +</v>
      </c>
      <c r="AN164" s="232">
        <f t="shared" si="58"/>
        <v>5</v>
      </c>
      <c r="AO164" s="232"/>
      <c r="AP164" s="485"/>
      <c r="AQ164" s="485"/>
      <c r="AR164" s="485"/>
      <c r="AS164" s="485"/>
      <c r="AT164" s="485"/>
      <c r="AU164" s="485"/>
      <c r="AV164" s="485"/>
      <c r="AW164" s="485"/>
      <c r="AX164" s="485"/>
      <c r="AY164" s="485"/>
      <c r="AZ164" s="485"/>
      <c r="BA164" s="485"/>
      <c r="BB164" s="485"/>
      <c r="BC164" s="485"/>
      <c r="BD164" s="485"/>
      <c r="BE164" s="485"/>
      <c r="BF164" s="485"/>
      <c r="BG164" s="485"/>
      <c r="BH164" s="485"/>
      <c r="BI164" s="485"/>
      <c r="BJ164" s="485"/>
      <c r="BK164" s="485"/>
      <c r="BL164" s="485"/>
      <c r="BM164" s="485"/>
      <c r="BN164" s="485"/>
      <c r="BO164" s="485"/>
      <c r="BP164" s="485"/>
      <c r="BQ164" s="485"/>
      <c r="BR164" s="485"/>
      <c r="BS164" s="485"/>
      <c r="BT164" s="485"/>
      <c r="BU164" s="485"/>
      <c r="BV164" s="485"/>
      <c r="BW164" s="485"/>
      <c r="BX164" s="485"/>
      <c r="BY164" s="485"/>
      <c r="BZ164" s="485"/>
      <c r="CA164" s="485"/>
      <c r="CB164" s="485"/>
      <c r="CC164" s="485"/>
      <c r="CD164" s="485"/>
      <c r="CE164" s="485"/>
      <c r="CF164" s="485"/>
      <c r="CG164" s="485"/>
      <c r="CH164" s="485"/>
      <c r="CI164" s="485"/>
      <c r="CJ164" s="485"/>
      <c r="CK164" s="485"/>
      <c r="CL164" s="485"/>
      <c r="CM164" s="485"/>
      <c r="CN164" s="485"/>
      <c r="CO164" s="485"/>
      <c r="CP164" s="485"/>
      <c r="CQ164" s="485"/>
      <c r="CR164" s="485"/>
      <c r="CS164" s="485"/>
      <c r="CT164" s="485"/>
      <c r="CU164" s="485"/>
      <c r="CV164" s="485"/>
      <c r="CW164" s="485"/>
      <c r="CX164" s="485"/>
      <c r="CY164" s="485"/>
      <c r="CZ164" s="485"/>
      <c r="DA164" s="485"/>
      <c r="DB164" s="485"/>
      <c r="DC164" s="485"/>
      <c r="DD164" s="485"/>
      <c r="DE164" s="485"/>
      <c r="DF164" s="485"/>
      <c r="DG164" s="485"/>
      <c r="DH164" s="485"/>
      <c r="DI164" s="485"/>
      <c r="DJ164" s="485"/>
      <c r="DK164" s="485"/>
      <c r="DL164" s="485"/>
      <c r="DM164" s="485"/>
      <c r="DN164" s="485"/>
      <c r="DO164" s="485"/>
      <c r="DP164" s="485"/>
      <c r="DQ164" s="485"/>
      <c r="DR164" s="485"/>
      <c r="DS164" s="485"/>
      <c r="DT164" s="485"/>
    </row>
    <row r="165" spans="1:124" s="5" customFormat="1" ht="30" customHeight="1" x14ac:dyDescent="0.25">
      <c r="B165" s="136" t="s">
        <v>543</v>
      </c>
      <c r="C165" s="166">
        <v>413847</v>
      </c>
      <c r="D165" s="167"/>
      <c r="E165" s="476" t="s">
        <v>40</v>
      </c>
      <c r="F165" s="217" t="s">
        <v>368</v>
      </c>
      <c r="G165" s="144" t="s">
        <v>707</v>
      </c>
      <c r="H165" s="218">
        <v>1988</v>
      </c>
      <c r="I165" s="169" t="s">
        <v>647</v>
      </c>
      <c r="J165" s="168" t="s">
        <v>44</v>
      </c>
      <c r="K165" s="147">
        <v>74</v>
      </c>
      <c r="L165" s="118">
        <v>80</v>
      </c>
      <c r="M165" s="148">
        <v>-90</v>
      </c>
      <c r="N165" s="148">
        <v>-90</v>
      </c>
      <c r="O165" s="202">
        <f t="shared" si="52"/>
        <v>80</v>
      </c>
      <c r="P165" s="118">
        <v>115</v>
      </c>
      <c r="Q165" s="148">
        <v>-125</v>
      </c>
      <c r="R165" s="148">
        <v>-125</v>
      </c>
      <c r="S165" s="202">
        <f t="shared" si="53"/>
        <v>115</v>
      </c>
      <c r="T165" s="203">
        <f>IF(E165="","",IF(OR(O165=0,S165=0),0,O165+S165))</f>
        <v>195</v>
      </c>
      <c r="U165" s="204" t="str">
        <f t="shared" si="54"/>
        <v>REG + 0</v>
      </c>
      <c r="V165" s="204" t="str">
        <f>IF(E165=0," ",IF(E165="H",IF(H165&lt;1999,VLOOKUP(K165,[8]Minimas!$A$15:$F$29,6),IF(AND(H165&gt;1998,H165&lt;2002),VLOOKUP(K165,[8]Minimas!$A$15:$F$29,5),IF(AND(H165&gt;2001,H165&lt;2004),VLOOKUP(K165,[8]Minimas!$A$15:$F$29,4),IF(AND(H165&gt;2003,H165&lt;2006),VLOOKUP(K165,[8]Minimas!$A$15:$F$29,3),VLOOKUP(K165,[8]Minimas!$A$15:$F$29,2))))),IF(H165&lt;1999,VLOOKUP(K165,[8]Minimas!$G$15:$L$29,6),IF(AND(H165&gt;1998,H165&lt;2002),VLOOKUP(K165,[8]Minimas!$G$15:$L$29,5),IF(AND(H165&gt;2001,H165&lt;2004),VLOOKUP(K165,[8]Minimas!$G$15:$L$29,4),IF(AND(H165&gt;2003,H165&lt;2006),VLOOKUP(K165,[8]Minimas!$G$15:$L$29,3),VLOOKUP(K165,[8]Minimas!$G$15:$L$29,2)))))))</f>
        <v>SE M81</v>
      </c>
      <c r="W165" s="205">
        <f t="shared" si="55"/>
        <v>248.77896295610921</v>
      </c>
      <c r="X165" s="257">
        <v>43526</v>
      </c>
      <c r="Y165" s="261" t="s">
        <v>705</v>
      </c>
      <c r="Z165" s="261" t="s">
        <v>704</v>
      </c>
      <c r="AA165" s="232"/>
      <c r="AB165" s="230">
        <f>T165-HLOOKUP(V165,[8]Minimas!$C$3:$CD$12,2,FALSE)</f>
        <v>50</v>
      </c>
      <c r="AC165" s="230">
        <f>T165-HLOOKUP(V165,[8]Minimas!$C$3:$CD$12,3,FALSE)</f>
        <v>25</v>
      </c>
      <c r="AD165" s="230">
        <f>T165-HLOOKUP(V165,[8]Minimas!$C$3:$CD$12,4,FALSE)</f>
        <v>0</v>
      </c>
      <c r="AE165" s="230">
        <f>T165-HLOOKUP(V165,[8]Minimas!$C$3:$CD$12,5,FALSE)</f>
        <v>-25</v>
      </c>
      <c r="AF165" s="230">
        <f>T165-HLOOKUP(V165,[8]Minimas!$C$3:$CD$12,6,FALSE)</f>
        <v>-55</v>
      </c>
      <c r="AG165" s="230">
        <f>T165-HLOOKUP(V165,[8]Minimas!$C$3:$CD$12,7,FALSE)</f>
        <v>-80</v>
      </c>
      <c r="AH165" s="230">
        <f>T165-HLOOKUP(V165,[8]Minimas!$C$3:$CD$12,8,FALSE)</f>
        <v>-100</v>
      </c>
      <c r="AI165" s="230">
        <f>T165-HLOOKUP(V165,[8]Minimas!$C$3:$CD$12,9,FALSE)</f>
        <v>-125</v>
      </c>
      <c r="AJ165" s="230">
        <f>T165-HLOOKUP(V165,[8]Minimas!$C$3:$CD$12,10,FALSE)</f>
        <v>-140</v>
      </c>
      <c r="AK165" s="231" t="str">
        <f t="shared" si="56"/>
        <v>REG +</v>
      </c>
      <c r="AL165" s="232"/>
      <c r="AM165" s="232" t="str">
        <f t="shared" si="57"/>
        <v>REG +</v>
      </c>
      <c r="AN165" s="232">
        <f t="shared" si="58"/>
        <v>0</v>
      </c>
      <c r="AO165" s="232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  <c r="BF165" s="38"/>
      <c r="BG165" s="38"/>
      <c r="BH165" s="38"/>
      <c r="BI165" s="38"/>
      <c r="BJ165" s="38"/>
      <c r="BK165" s="38"/>
      <c r="BL165" s="38"/>
      <c r="BM165" s="38"/>
      <c r="BN165" s="38"/>
      <c r="BO165" s="38"/>
      <c r="BP165" s="38"/>
      <c r="BQ165" s="38"/>
      <c r="BR165" s="38"/>
      <c r="BS165" s="38"/>
      <c r="BT165" s="38"/>
      <c r="BU165" s="38"/>
      <c r="BV165" s="38"/>
      <c r="BW165" s="38"/>
      <c r="BX165" s="38"/>
      <c r="BY165" s="38"/>
      <c r="BZ165" s="38"/>
      <c r="CA165" s="38"/>
      <c r="CB165" s="38"/>
      <c r="CC165" s="38"/>
      <c r="CD165" s="38"/>
      <c r="CE165" s="38"/>
      <c r="CF165" s="38"/>
      <c r="CG165" s="38"/>
      <c r="CH165" s="38"/>
      <c r="CI165" s="38"/>
      <c r="CJ165" s="38"/>
      <c r="CK165" s="38"/>
      <c r="CL165" s="38"/>
      <c r="CM165" s="38"/>
      <c r="CN165" s="38"/>
      <c r="CO165" s="38"/>
      <c r="CP165" s="38"/>
      <c r="CQ165" s="38"/>
      <c r="CR165" s="38"/>
      <c r="CS165" s="38"/>
      <c r="CT165" s="38"/>
      <c r="CU165" s="38"/>
      <c r="CV165" s="38"/>
      <c r="CW165" s="38"/>
      <c r="CX165" s="38"/>
      <c r="CY165" s="38"/>
      <c r="CZ165" s="38"/>
      <c r="DA165" s="38"/>
      <c r="DB165" s="38"/>
      <c r="DC165" s="38"/>
      <c r="DD165" s="38"/>
      <c r="DE165" s="38"/>
      <c r="DF165" s="38"/>
      <c r="DG165" s="38"/>
      <c r="DH165" s="38"/>
      <c r="DI165" s="38"/>
      <c r="DJ165" s="38"/>
      <c r="DK165" s="38"/>
      <c r="DL165" s="38"/>
      <c r="DM165" s="38"/>
      <c r="DN165" s="38"/>
      <c r="DO165" s="38"/>
      <c r="DP165" s="38"/>
      <c r="DQ165" s="38"/>
      <c r="DR165" s="38"/>
      <c r="DS165" s="38"/>
      <c r="DT165" s="38"/>
    </row>
    <row r="166" spans="1:124" s="5" customFormat="1" ht="30" customHeight="1" x14ac:dyDescent="0.25">
      <c r="A166" s="1"/>
      <c r="B166" s="136" t="s">
        <v>543</v>
      </c>
      <c r="C166" s="499">
        <v>285712</v>
      </c>
      <c r="D166" s="167"/>
      <c r="E166" s="315" t="s">
        <v>40</v>
      </c>
      <c r="F166" s="486" t="s">
        <v>535</v>
      </c>
      <c r="G166" s="487" t="s">
        <v>429</v>
      </c>
      <c r="H166" s="292">
        <v>1994</v>
      </c>
      <c r="I166" s="172" t="s">
        <v>139</v>
      </c>
      <c r="J166" s="290" t="s">
        <v>44</v>
      </c>
      <c r="K166" s="488">
        <v>81</v>
      </c>
      <c r="L166" s="300">
        <v>82</v>
      </c>
      <c r="M166" s="301">
        <v>86</v>
      </c>
      <c r="N166" s="449">
        <v>-88</v>
      </c>
      <c r="O166" s="501">
        <f t="shared" si="52"/>
        <v>86</v>
      </c>
      <c r="P166" s="300">
        <v>103</v>
      </c>
      <c r="Q166" s="301">
        <v>107</v>
      </c>
      <c r="R166" s="301">
        <v>109</v>
      </c>
      <c r="S166" s="501">
        <f t="shared" si="53"/>
        <v>109</v>
      </c>
      <c r="T166" s="502">
        <f>IF(E166="","",O166+S166)</f>
        <v>195</v>
      </c>
      <c r="U166" s="48" t="str">
        <f t="shared" si="54"/>
        <v>REG + 0</v>
      </c>
      <c r="V166" s="48" t="str">
        <f>IF(E166=0," ",IF(E166="H",IF(H166&lt;1999,VLOOKUP(K166,[18]Minimas!$A$15:$F$29,6),IF(AND(H166&gt;1998,H166&lt;2002),VLOOKUP(K166,[18]Minimas!$A$15:$F$29,5),IF(AND(H166&gt;2001,H166&lt;2004),VLOOKUP(K166,[18]Minimas!$A$15:$F$29,4),IF(AND(H166&gt;2003,H166&lt;2006),VLOOKUP(K166,[18]Minimas!$A$15:$F$29,3),VLOOKUP(K166,[18]Minimas!$A$15:$F$29,2))))),IF(H166&lt;1999,VLOOKUP(K166,[18]Minimas!$G$15:$L$29,6),IF(AND(H166&gt;1998,H166&lt;2002),VLOOKUP(K166,[18]Minimas!$G$15:$L$29,5),IF(AND(H166&gt;2001,H166&lt;2004),VLOOKUP(K166,[18]Minimas!$G$15:$L$29,4),IF(AND(H166&gt;2003,H166&lt;2006),VLOOKUP(K166,[18]Minimas!$G$15:$L$29,3),VLOOKUP(K166,[18]Minimas!$G$15:$L$29,2)))))))</f>
        <v>SE M81</v>
      </c>
      <c r="W166" s="49">
        <f t="shared" si="55"/>
        <v>237.04520513632718</v>
      </c>
      <c r="X166" s="257">
        <v>43540</v>
      </c>
      <c r="Y166" s="261" t="s">
        <v>714</v>
      </c>
      <c r="Z166" s="261" t="s">
        <v>514</v>
      </c>
      <c r="AA166" s="463"/>
      <c r="AB166" s="230">
        <f>T166-HLOOKUP(V166,Minimas!$C$3:$CD$12,2,FALSE)</f>
        <v>50</v>
      </c>
      <c r="AC166" s="230">
        <f>T166-HLOOKUP(V166,Minimas!$C$3:$CD$12,3,FALSE)</f>
        <v>25</v>
      </c>
      <c r="AD166" s="230">
        <f>T166-HLOOKUP(V166,Minimas!$C$3:$CD$12,4,FALSE)</f>
        <v>0</v>
      </c>
      <c r="AE166" s="230">
        <f>T166-HLOOKUP(V166,Minimas!$C$3:$CD$12,5,FALSE)</f>
        <v>-25</v>
      </c>
      <c r="AF166" s="230">
        <f>T166-HLOOKUP(V166,Minimas!$C$3:$CD$12,6,FALSE)</f>
        <v>-55</v>
      </c>
      <c r="AG166" s="230">
        <f>T166-HLOOKUP(V166,Minimas!$C$3:$CD$12,7,FALSE)</f>
        <v>-80</v>
      </c>
      <c r="AH166" s="230">
        <f>T166-HLOOKUP(V166,Minimas!$C$3:$CD$12,8,FALSE)</f>
        <v>-100</v>
      </c>
      <c r="AI166" s="230">
        <f>T166-HLOOKUP(V166,Minimas!$C$3:$CD$12,9,FALSE)</f>
        <v>-125</v>
      </c>
      <c r="AJ166" s="230">
        <f>T166-HLOOKUP(V166,Minimas!$C$3:$CD$12,10,FALSE)</f>
        <v>-140</v>
      </c>
      <c r="AK166" s="231" t="str">
        <f t="shared" si="56"/>
        <v>REG +</v>
      </c>
      <c r="AL166" s="232"/>
      <c r="AM166" s="232" t="str">
        <f t="shared" si="57"/>
        <v>REG +</v>
      </c>
      <c r="AN166" s="232">
        <f t="shared" si="58"/>
        <v>0</v>
      </c>
      <c r="AO166" s="463"/>
      <c r="AP166" s="34"/>
      <c r="AQ166" s="34"/>
      <c r="AR166" s="34"/>
      <c r="AS166" s="34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  <c r="BF166" s="34"/>
      <c r="BG166" s="34"/>
      <c r="BH166" s="34"/>
      <c r="BI166" s="34"/>
      <c r="BJ166" s="34"/>
      <c r="BK166" s="34"/>
      <c r="BL166" s="34"/>
      <c r="BM166" s="34"/>
      <c r="BN166" s="34"/>
      <c r="BO166" s="34"/>
      <c r="BP166" s="34"/>
      <c r="BQ166" s="34"/>
      <c r="BR166" s="34"/>
      <c r="BS166" s="34"/>
      <c r="BT166" s="34"/>
      <c r="BU166" s="34"/>
      <c r="BV166" s="34"/>
      <c r="BW166" s="34"/>
      <c r="BX166" s="34"/>
      <c r="BY166" s="34"/>
      <c r="BZ166" s="34"/>
      <c r="CA166" s="34"/>
      <c r="CB166" s="34"/>
      <c r="CC166" s="34"/>
      <c r="CD166" s="34"/>
      <c r="CE166" s="34"/>
      <c r="CF166" s="34"/>
      <c r="CG166" s="34"/>
      <c r="CH166" s="34"/>
      <c r="CI166" s="34"/>
      <c r="CJ166" s="34"/>
      <c r="CK166" s="34"/>
      <c r="CL166" s="34"/>
      <c r="CM166" s="34"/>
      <c r="CN166" s="34"/>
      <c r="CO166" s="34"/>
      <c r="CP166" s="34"/>
      <c r="CQ166" s="34"/>
      <c r="CR166" s="34"/>
      <c r="CS166" s="34"/>
      <c r="CT166" s="34"/>
      <c r="CU166" s="34"/>
      <c r="CV166" s="34"/>
      <c r="CW166" s="34"/>
      <c r="CX166" s="34"/>
      <c r="CY166" s="34"/>
      <c r="CZ166" s="34"/>
      <c r="DA166" s="34"/>
      <c r="DB166" s="34"/>
      <c r="DC166" s="34"/>
      <c r="DD166" s="34"/>
      <c r="DE166" s="34"/>
      <c r="DF166" s="34"/>
      <c r="DG166" s="34"/>
      <c r="DH166" s="34"/>
      <c r="DI166" s="34"/>
      <c r="DJ166" s="34"/>
      <c r="DK166" s="34"/>
      <c r="DL166" s="34"/>
      <c r="DM166" s="34"/>
      <c r="DN166" s="34"/>
      <c r="DO166" s="34"/>
      <c r="DP166" s="34"/>
      <c r="DQ166" s="34"/>
      <c r="DR166" s="34"/>
      <c r="DS166" s="34"/>
      <c r="DT166" s="34"/>
    </row>
    <row r="167" spans="1:124" s="5" customFormat="1" ht="30" customHeight="1" x14ac:dyDescent="0.3">
      <c r="B167" s="136" t="s">
        <v>543</v>
      </c>
      <c r="C167" s="525">
        <v>419446</v>
      </c>
      <c r="D167" s="119"/>
      <c r="E167" s="399" t="s">
        <v>40</v>
      </c>
      <c r="F167" s="414" t="s">
        <v>290</v>
      </c>
      <c r="G167" s="415" t="s">
        <v>380</v>
      </c>
      <c r="H167" s="416">
        <v>1992</v>
      </c>
      <c r="I167" s="158" t="s">
        <v>155</v>
      </c>
      <c r="J167" s="578" t="s">
        <v>44</v>
      </c>
      <c r="K167" s="581">
        <v>73.400000000000006</v>
      </c>
      <c r="L167" s="456">
        <v>80</v>
      </c>
      <c r="M167" s="457">
        <v>85</v>
      </c>
      <c r="N167" s="597">
        <v>-90</v>
      </c>
      <c r="O167" s="490">
        <f t="shared" si="52"/>
        <v>85</v>
      </c>
      <c r="P167" s="452">
        <v>105</v>
      </c>
      <c r="Q167" s="453">
        <v>108</v>
      </c>
      <c r="R167" s="597">
        <v>-112</v>
      </c>
      <c r="S167" s="490">
        <f t="shared" si="53"/>
        <v>108</v>
      </c>
      <c r="T167" s="502">
        <f t="shared" ref="T167:T178" si="59">IF(E167="","",IF(OR(O167=0,S167=0),0,O167+S167))</f>
        <v>193</v>
      </c>
      <c r="U167" s="48" t="str">
        <f t="shared" si="54"/>
        <v>DPT + 23</v>
      </c>
      <c r="V167" s="48" t="str">
        <f>IF(E167=0," ",IF(E167="H",IF(H167&lt;1999,VLOOKUP(K167,Minimas!$A$15:$F$29,6),IF(AND(H167&gt;1998,H167&lt;2002),VLOOKUP(K167,Minimas!$A$15:$F$29,5),IF(AND(H167&gt;2001,H167&lt;2004),VLOOKUP(K167,Minimas!$A$15:$F$29,4),IF(AND(H167&gt;2003,H167&lt;2006),VLOOKUP(K167,Minimas!$A$15:$F$29,3),VLOOKUP(K167,Minimas!$A$15:$F$29,2))))),IF(H167&lt;1999,VLOOKUP(K167,Minimas!$G$15:$L$29,6),IF(AND(H167&gt;1998,H167&lt;2002),VLOOKUP(K167,Minimas!$G$15:$L$29,5),IF(AND(H167&gt;2001,H167&lt;2004),VLOOKUP(K167,Minimas!$G$15:$L$29,4),IF(AND(H167&gt;2003,H167&lt;2006),VLOOKUP(K167,Minimas!$G$15:$L$29,3),VLOOKUP(K167,Minimas!$G$15:$L$29,2)))))))</f>
        <v>SE M81</v>
      </c>
      <c r="W167" s="49">
        <f t="shared" si="55"/>
        <v>247.36603267287799</v>
      </c>
      <c r="X167" s="184">
        <v>43401</v>
      </c>
      <c r="Y167" s="284" t="s">
        <v>507</v>
      </c>
      <c r="Z167" s="284" t="s">
        <v>506</v>
      </c>
      <c r="AA167" s="232"/>
      <c r="AB167" s="230">
        <f>T167-HLOOKUP(V167,Minimas!$C$3:$CD$12,2,FALSE)</f>
        <v>48</v>
      </c>
      <c r="AC167" s="230">
        <f>T167-HLOOKUP(V167,Minimas!$C$3:$CD$12,3,FALSE)</f>
        <v>23</v>
      </c>
      <c r="AD167" s="230">
        <f>T167-HLOOKUP(V167,Minimas!$C$3:$CD$12,4,FALSE)</f>
        <v>-2</v>
      </c>
      <c r="AE167" s="230">
        <f>T167-HLOOKUP(V167,Minimas!$C$3:$CD$12,5,FALSE)</f>
        <v>-27</v>
      </c>
      <c r="AF167" s="230">
        <f>T167-HLOOKUP(V167,Minimas!$C$3:$CD$12,6,FALSE)</f>
        <v>-57</v>
      </c>
      <c r="AG167" s="230">
        <f>T167-HLOOKUP(V167,Minimas!$C$3:$CD$12,7,FALSE)</f>
        <v>-82</v>
      </c>
      <c r="AH167" s="230">
        <f>T167-HLOOKUP(V167,Minimas!$C$3:$CD$12,8,FALSE)</f>
        <v>-102</v>
      </c>
      <c r="AI167" s="230">
        <f>T167-HLOOKUP(V167,Minimas!$C$3:$CD$12,9,FALSE)</f>
        <v>-127</v>
      </c>
      <c r="AJ167" s="230">
        <f>T167-HLOOKUP(V167,Minimas!$C$3:$CD$12,10,FALSE)</f>
        <v>-142</v>
      </c>
      <c r="AK167" s="231" t="str">
        <f t="shared" si="56"/>
        <v>DPT +</v>
      </c>
      <c r="AL167" s="232"/>
      <c r="AM167" s="232" t="str">
        <f t="shared" si="57"/>
        <v>DPT +</v>
      </c>
      <c r="AN167" s="232">
        <f t="shared" si="58"/>
        <v>23</v>
      </c>
      <c r="AO167" s="232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  <c r="BF167" s="38"/>
      <c r="BG167" s="38"/>
      <c r="BH167" s="38"/>
      <c r="BI167" s="38"/>
      <c r="BJ167" s="38"/>
      <c r="BK167" s="38"/>
      <c r="BL167" s="38"/>
      <c r="BM167" s="38"/>
      <c r="BN167" s="38"/>
      <c r="BO167" s="38"/>
      <c r="BP167" s="38"/>
      <c r="BQ167" s="38"/>
      <c r="BR167" s="38"/>
      <c r="BS167" s="38"/>
      <c r="BT167" s="38"/>
      <c r="BU167" s="38"/>
      <c r="BV167" s="38"/>
      <c r="BW167" s="38"/>
      <c r="BX167" s="38"/>
      <c r="BY167" s="38"/>
      <c r="BZ167" s="38"/>
      <c r="CA167" s="38"/>
      <c r="CB167" s="38"/>
      <c r="CC167" s="38"/>
      <c r="CD167" s="38"/>
      <c r="CE167" s="38"/>
      <c r="CF167" s="38"/>
      <c r="CG167" s="38"/>
      <c r="CH167" s="38"/>
      <c r="CI167" s="38"/>
      <c r="CJ167" s="38"/>
      <c r="CK167" s="38"/>
      <c r="CL167" s="38"/>
      <c r="CM167" s="38"/>
      <c r="CN167" s="38"/>
      <c r="CO167" s="38"/>
      <c r="CP167" s="38"/>
      <c r="CQ167" s="38"/>
      <c r="CR167" s="38"/>
      <c r="CS167" s="38"/>
      <c r="CT167" s="38"/>
      <c r="CU167" s="38"/>
      <c r="CV167" s="38"/>
      <c r="CW167" s="38"/>
      <c r="CX167" s="38"/>
      <c r="CY167" s="38"/>
      <c r="CZ167" s="38"/>
      <c r="DA167" s="38"/>
      <c r="DB167" s="38"/>
      <c r="DC167" s="38"/>
      <c r="DD167" s="38"/>
      <c r="DE167" s="38"/>
      <c r="DF167" s="38"/>
      <c r="DG167" s="38"/>
      <c r="DH167" s="38"/>
      <c r="DI167" s="38"/>
      <c r="DJ167" s="38"/>
      <c r="DK167" s="38"/>
      <c r="DL167" s="38"/>
      <c r="DM167" s="38"/>
      <c r="DN167" s="38"/>
      <c r="DO167" s="38"/>
      <c r="DP167" s="38"/>
      <c r="DQ167" s="38"/>
      <c r="DR167" s="38"/>
      <c r="DS167" s="38"/>
      <c r="DT167" s="38"/>
    </row>
    <row r="168" spans="1:124" s="5" customFormat="1" ht="30" customHeight="1" x14ac:dyDescent="0.25">
      <c r="B168" s="685" t="s">
        <v>543</v>
      </c>
      <c r="C168" s="499">
        <v>673698</v>
      </c>
      <c r="D168" s="167"/>
      <c r="E168" s="315" t="s">
        <v>40</v>
      </c>
      <c r="F168" s="328" t="s">
        <v>816</v>
      </c>
      <c r="G168" s="487" t="s">
        <v>817</v>
      </c>
      <c r="H168" s="559">
        <v>1990</v>
      </c>
      <c r="I168" s="169" t="s">
        <v>818</v>
      </c>
      <c r="J168" s="498" t="s">
        <v>819</v>
      </c>
      <c r="K168" s="503">
        <v>79.5</v>
      </c>
      <c r="L168" s="295">
        <v>80</v>
      </c>
      <c r="M168" s="449">
        <v>-87</v>
      </c>
      <c r="N168" s="449">
        <v>-87</v>
      </c>
      <c r="O168" s="490">
        <f t="shared" si="52"/>
        <v>80</v>
      </c>
      <c r="P168" s="295">
        <v>100</v>
      </c>
      <c r="Q168" s="301">
        <v>107</v>
      </c>
      <c r="R168" s="301">
        <v>111</v>
      </c>
      <c r="S168" s="490">
        <f t="shared" si="53"/>
        <v>111</v>
      </c>
      <c r="T168" s="502">
        <f t="shared" si="59"/>
        <v>191</v>
      </c>
      <c r="U168" s="48" t="str">
        <f t="shared" si="54"/>
        <v>DPT + 21</v>
      </c>
      <c r="V168" s="48" t="str">
        <f>IF(E168=0," ",IF(E168="H",IF(H168&lt;1999,VLOOKUP(K168,[10]Minimas!$A$15:$F$29,6),IF(AND(H168&gt;1998,H168&lt;2002),VLOOKUP(K168,[10]Minimas!$A$15:$F$29,5),IF(AND(H168&gt;2001,H168&lt;2004),VLOOKUP(K168,[10]Minimas!$A$15:$F$29,4),IF(AND(H168&gt;2003,H168&lt;2006),VLOOKUP(K168,[10]Minimas!$A$15:$F$29,3),VLOOKUP(K168,[10]Minimas!$A$15:$F$29,2))))),IF(H168&lt;1999,VLOOKUP(K168,[10]Minimas!$G$15:$L$29,6),IF(AND(H168&gt;1998,H168&lt;2002),VLOOKUP(K168,[10]Minimas!$G$15:$L$29,5),IF(AND(H168&gt;2001,H168&lt;2004),VLOOKUP(K168,[10]Minimas!$G$15:$L$29,4),IF(AND(H168&gt;2003,H168&lt;2006),VLOOKUP(K168,[10]Minimas!$G$15:$L$29,3),VLOOKUP(K168,[10]Minimas!$G$15:$L$29,2)))))))</f>
        <v>SE M81</v>
      </c>
      <c r="W168" s="49">
        <f t="shared" si="55"/>
        <v>234.41166249262449</v>
      </c>
      <c r="X168" s="257">
        <v>43555</v>
      </c>
      <c r="Y168" s="261" t="s">
        <v>805</v>
      </c>
      <c r="Z168" s="261" t="s">
        <v>661</v>
      </c>
      <c r="AA168" s="232"/>
      <c r="AB168" s="230">
        <f>T168-HLOOKUP(V168,[10]Minimas!$C$3:$CD$12,2,FALSE)</f>
        <v>46</v>
      </c>
      <c r="AC168" s="230">
        <f>T168-HLOOKUP(V168,[10]Minimas!$C$3:$CD$12,3,FALSE)</f>
        <v>21</v>
      </c>
      <c r="AD168" s="230">
        <f>T168-HLOOKUP(V168,[10]Minimas!$C$3:$CD$12,4,FALSE)</f>
        <v>-4</v>
      </c>
      <c r="AE168" s="230">
        <f>T168-HLOOKUP(V168,[10]Minimas!$C$3:$CD$12,5,FALSE)</f>
        <v>-29</v>
      </c>
      <c r="AF168" s="230">
        <f>T168-HLOOKUP(V168,[10]Minimas!$C$3:$CD$12,6,FALSE)</f>
        <v>-59</v>
      </c>
      <c r="AG168" s="230">
        <f>T168-HLOOKUP(V168,[10]Minimas!$C$3:$CD$12,7,FALSE)</f>
        <v>-84</v>
      </c>
      <c r="AH168" s="230">
        <f>T168-HLOOKUP(V168,[10]Minimas!$C$3:$CD$12,8,FALSE)</f>
        <v>-104</v>
      </c>
      <c r="AI168" s="230">
        <f>T168-HLOOKUP(V168,[10]Minimas!$C$3:$CD$12,9,FALSE)</f>
        <v>-129</v>
      </c>
      <c r="AJ168" s="230">
        <f>T168-HLOOKUP(V168,[10]Minimas!$C$3:$CD$12,10,FALSE)</f>
        <v>-144</v>
      </c>
      <c r="AK168" s="231" t="str">
        <f t="shared" si="56"/>
        <v>DPT +</v>
      </c>
      <c r="AL168" s="232"/>
      <c r="AM168" s="232" t="str">
        <f t="shared" si="57"/>
        <v>DPT +</v>
      </c>
      <c r="AN168" s="232">
        <f t="shared" si="58"/>
        <v>21</v>
      </c>
      <c r="AO168" s="232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  <c r="BF168" s="38"/>
      <c r="BG168" s="38"/>
      <c r="BH168" s="38"/>
      <c r="BI168" s="38"/>
      <c r="BJ168" s="38"/>
      <c r="BK168" s="38"/>
      <c r="BL168" s="38"/>
      <c r="BM168" s="38"/>
      <c r="BN168" s="38"/>
      <c r="BO168" s="38"/>
      <c r="BP168" s="38"/>
      <c r="BQ168" s="38"/>
      <c r="BR168" s="38"/>
      <c r="BS168" s="38"/>
      <c r="BT168" s="38"/>
      <c r="BU168" s="38"/>
      <c r="BV168" s="38"/>
      <c r="BW168" s="38"/>
      <c r="BX168" s="38"/>
      <c r="BY168" s="38"/>
      <c r="BZ168" s="38"/>
      <c r="CA168" s="38"/>
      <c r="CB168" s="38"/>
      <c r="CC168" s="38"/>
      <c r="CD168" s="38"/>
      <c r="CE168" s="38"/>
      <c r="CF168" s="38"/>
      <c r="CG168" s="38"/>
      <c r="CH168" s="38"/>
      <c r="CI168" s="38"/>
      <c r="CJ168" s="38"/>
      <c r="CK168" s="38"/>
      <c r="CL168" s="38"/>
      <c r="CM168" s="38"/>
      <c r="CN168" s="38"/>
      <c r="CO168" s="38"/>
      <c r="CP168" s="38"/>
      <c r="CQ168" s="38"/>
      <c r="CR168" s="38"/>
      <c r="CS168" s="38"/>
      <c r="CT168" s="38"/>
      <c r="CU168" s="38"/>
      <c r="CV168" s="38"/>
      <c r="CW168" s="38"/>
      <c r="CX168" s="38"/>
      <c r="CY168" s="38"/>
      <c r="CZ168" s="38"/>
      <c r="DA168" s="38"/>
      <c r="DB168" s="38"/>
      <c r="DC168" s="38"/>
      <c r="DD168" s="38"/>
      <c r="DE168" s="38"/>
      <c r="DF168" s="38"/>
      <c r="DG168" s="38"/>
      <c r="DH168" s="38"/>
      <c r="DI168" s="38"/>
      <c r="DJ168" s="38"/>
      <c r="DK168" s="38"/>
      <c r="DL168" s="38"/>
      <c r="DM168" s="38"/>
      <c r="DN168" s="38"/>
      <c r="DO168" s="38"/>
      <c r="DP168" s="38"/>
      <c r="DQ168" s="38"/>
      <c r="DR168" s="38"/>
      <c r="DS168" s="38"/>
      <c r="DT168" s="38"/>
    </row>
    <row r="169" spans="1:124" s="5" customFormat="1" ht="30" customHeight="1" x14ac:dyDescent="0.25">
      <c r="B169" s="136" t="s">
        <v>543</v>
      </c>
      <c r="C169" s="525">
        <v>430501</v>
      </c>
      <c r="D169" s="265"/>
      <c r="E169" s="406" t="s">
        <v>40</v>
      </c>
      <c r="F169" s="423" t="s">
        <v>397</v>
      </c>
      <c r="G169" s="415" t="s">
        <v>398</v>
      </c>
      <c r="H169" s="380">
        <v>1984</v>
      </c>
      <c r="I169" s="127" t="s">
        <v>170</v>
      </c>
      <c r="J169" s="576" t="s">
        <v>41</v>
      </c>
      <c r="K169" s="585">
        <v>80.2</v>
      </c>
      <c r="L169" s="456">
        <v>85</v>
      </c>
      <c r="M169" s="596">
        <v>-90</v>
      </c>
      <c r="N169" s="596">
        <v>-90</v>
      </c>
      <c r="O169" s="490">
        <f t="shared" si="52"/>
        <v>85</v>
      </c>
      <c r="P169" s="788">
        <v>-103</v>
      </c>
      <c r="Q169" s="596">
        <v>-103</v>
      </c>
      <c r="R169" s="457">
        <v>103</v>
      </c>
      <c r="S169" s="490">
        <f t="shared" si="53"/>
        <v>103</v>
      </c>
      <c r="T169" s="502">
        <f t="shared" si="59"/>
        <v>188</v>
      </c>
      <c r="U169" s="48" t="str">
        <f t="shared" si="54"/>
        <v>DPT + 18</v>
      </c>
      <c r="V169" s="48" t="str">
        <f>IF(E169=0," ",IF(E169="H",IF(H169&lt;1999,VLOOKUP(K169,Minimas!$A$15:$F$29,6),IF(AND(H169&gt;1998,H169&lt;2002),VLOOKUP(K169,Minimas!$A$15:$F$29,5),IF(AND(H169&gt;2001,H169&lt;2004),VLOOKUP(K169,Minimas!$A$15:$F$29,4),IF(AND(H169&gt;2003,H169&lt;2006),VLOOKUP(K169,Minimas!$A$15:$F$29,3),VLOOKUP(K169,Minimas!$A$15:$F$29,2))))),IF(H169&lt;1999,VLOOKUP(K169,Minimas!$G$15:$L$29,6),IF(AND(H169&gt;1998,H169&lt;2002),VLOOKUP(K169,Minimas!$G$15:$L$29,5),IF(AND(H169&gt;2001,H169&lt;2004),VLOOKUP(K169,Minimas!$G$15:$L$29,4),IF(AND(H169&gt;2003,H169&lt;2006),VLOOKUP(K169,Minimas!$G$15:$L$29,3),VLOOKUP(K169,Minimas!$G$15:$L$29,2)))))))</f>
        <v>SE M81</v>
      </c>
      <c r="W169" s="49">
        <f t="shared" si="55"/>
        <v>229.69173490981657</v>
      </c>
      <c r="X169" s="257">
        <v>43484</v>
      </c>
      <c r="Y169" s="261" t="s">
        <v>630</v>
      </c>
      <c r="Z169" s="261" t="s">
        <v>581</v>
      </c>
      <c r="AA169" s="232"/>
      <c r="AB169" s="230">
        <f>T169-HLOOKUP(V169,Minimas!$C$3:$CD$12,2,FALSE)</f>
        <v>43</v>
      </c>
      <c r="AC169" s="230">
        <f>T169-HLOOKUP(V169,Minimas!$C$3:$CD$12,3,FALSE)</f>
        <v>18</v>
      </c>
      <c r="AD169" s="230">
        <f>T169-HLOOKUP(V169,Minimas!$C$3:$CD$12,4,FALSE)</f>
        <v>-7</v>
      </c>
      <c r="AE169" s="230">
        <f>T169-HLOOKUP(V169,Minimas!$C$3:$CD$12,5,FALSE)</f>
        <v>-32</v>
      </c>
      <c r="AF169" s="230">
        <f>T169-HLOOKUP(V169,Minimas!$C$3:$CD$12,6,FALSE)</f>
        <v>-62</v>
      </c>
      <c r="AG169" s="230">
        <f>T169-HLOOKUP(V169,Minimas!$C$3:$CD$12,7,FALSE)</f>
        <v>-87</v>
      </c>
      <c r="AH169" s="230">
        <f>T169-HLOOKUP(V169,Minimas!$C$3:$CD$12,8,FALSE)</f>
        <v>-107</v>
      </c>
      <c r="AI169" s="230">
        <f>T169-HLOOKUP(V169,Minimas!$C$3:$CD$12,9,FALSE)</f>
        <v>-132</v>
      </c>
      <c r="AJ169" s="230">
        <f>T169-HLOOKUP(V169,Minimas!$C$3:$CD$12,10,FALSE)</f>
        <v>-147</v>
      </c>
      <c r="AK169" s="231" t="str">
        <f t="shared" si="56"/>
        <v>DPT +</v>
      </c>
      <c r="AL169" s="232"/>
      <c r="AM169" s="232" t="str">
        <f t="shared" si="57"/>
        <v>DPT +</v>
      </c>
      <c r="AN169" s="232">
        <f t="shared" si="58"/>
        <v>18</v>
      </c>
      <c r="AO169" s="232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  <c r="BF169" s="38"/>
      <c r="BG169" s="38"/>
      <c r="BH169" s="38"/>
      <c r="BI169" s="38"/>
      <c r="BJ169" s="38"/>
      <c r="BK169" s="38"/>
      <c r="BL169" s="38"/>
      <c r="BM169" s="38"/>
      <c r="BN169" s="38"/>
      <c r="BO169" s="38"/>
      <c r="BP169" s="38"/>
      <c r="BQ169" s="38"/>
      <c r="BR169" s="38"/>
      <c r="BS169" s="38"/>
      <c r="BT169" s="38"/>
      <c r="BU169" s="38"/>
      <c r="BV169" s="38"/>
      <c r="BW169" s="38"/>
      <c r="BX169" s="38"/>
      <c r="BY169" s="38"/>
      <c r="BZ169" s="38"/>
      <c r="CA169" s="38"/>
      <c r="CB169" s="38"/>
      <c r="CC169" s="38"/>
      <c r="CD169" s="38"/>
      <c r="CE169" s="38"/>
      <c r="CF169" s="38"/>
      <c r="CG169" s="38"/>
      <c r="CH169" s="38"/>
      <c r="CI169" s="38"/>
      <c r="CJ169" s="38"/>
      <c r="CK169" s="38"/>
      <c r="CL169" s="38"/>
      <c r="CM169" s="38"/>
      <c r="CN169" s="38"/>
      <c r="CO169" s="38"/>
      <c r="CP169" s="38"/>
      <c r="CQ169" s="38"/>
      <c r="CR169" s="38"/>
      <c r="CS169" s="38"/>
      <c r="CT169" s="38"/>
      <c r="CU169" s="38"/>
      <c r="CV169" s="38"/>
      <c r="CW169" s="38"/>
      <c r="CX169" s="38"/>
      <c r="CY169" s="38"/>
      <c r="CZ169" s="38"/>
      <c r="DA169" s="38"/>
      <c r="DB169" s="38"/>
      <c r="DC169" s="38"/>
      <c r="DD169" s="38"/>
      <c r="DE169" s="38"/>
      <c r="DF169" s="38"/>
      <c r="DG169" s="38"/>
      <c r="DH169" s="38"/>
      <c r="DI169" s="38"/>
      <c r="DJ169" s="38"/>
      <c r="DK169" s="38"/>
      <c r="DL169" s="38"/>
      <c r="DM169" s="38"/>
      <c r="DN169" s="38"/>
      <c r="DO169" s="38"/>
      <c r="DP169" s="38"/>
      <c r="DQ169" s="38"/>
      <c r="DR169" s="38"/>
      <c r="DS169" s="38"/>
      <c r="DT169" s="38"/>
    </row>
    <row r="170" spans="1:124" s="5" customFormat="1" ht="30" customHeight="1" thickBot="1" x14ac:dyDescent="0.3">
      <c r="B170" s="693" t="s">
        <v>543</v>
      </c>
      <c r="C170" s="866">
        <v>449968</v>
      </c>
      <c r="D170" s="710"/>
      <c r="E170" s="869" t="s">
        <v>40</v>
      </c>
      <c r="F170" s="870" t="s">
        <v>797</v>
      </c>
      <c r="G170" s="871" t="s">
        <v>906</v>
      </c>
      <c r="H170" s="872">
        <v>1992</v>
      </c>
      <c r="I170" s="569" t="s">
        <v>563</v>
      </c>
      <c r="J170" s="508"/>
      <c r="K170" s="511">
        <v>76</v>
      </c>
      <c r="L170" s="300">
        <v>76</v>
      </c>
      <c r="M170" s="301">
        <v>80</v>
      </c>
      <c r="N170" s="301">
        <v>87</v>
      </c>
      <c r="O170" s="358">
        <f t="shared" si="52"/>
        <v>87</v>
      </c>
      <c r="P170" s="300">
        <v>90</v>
      </c>
      <c r="Q170" s="301">
        <v>100</v>
      </c>
      <c r="R170" s="301">
        <v>-105</v>
      </c>
      <c r="S170" s="358">
        <f t="shared" si="53"/>
        <v>100</v>
      </c>
      <c r="T170" s="364">
        <f t="shared" si="59"/>
        <v>187</v>
      </c>
      <c r="U170" s="360" t="str">
        <f t="shared" si="54"/>
        <v>DPT + 17</v>
      </c>
      <c r="V170" s="360" t="str">
        <f>IF(E170=0," ",IF(E170="H",IF(H170&lt;1999,VLOOKUP(K170,[3]Minimas!$A$15:$F$29,6),IF(AND(H170&gt;1998,H170&lt;2002),VLOOKUP(K170,[3]Minimas!$A$15:$F$29,5),IF(AND(H170&gt;2001,H170&lt;2004),VLOOKUP(K170,[3]Minimas!$A$15:$F$29,4),IF(AND(H170&gt;2003,H170&lt;2006),VLOOKUP(K170,[3]Minimas!$A$15:$F$29,3),VLOOKUP(K170,[3]Minimas!$A$15:$F$29,2))))),IF(H170&lt;1999,VLOOKUP(K170,[3]Minimas!$G$15:$L$29,6),IF(AND(H170&gt;1998,H170&lt;2002),VLOOKUP(K170,[3]Minimas!$G$15:$L$29,5),IF(AND(H170&gt;2001,H170&lt;2004),VLOOKUP(K170,[3]Minimas!$G$15:$L$29,4),IF(AND(H170&gt;2003,H170&lt;2006),VLOOKUP(K170,[3]Minimas!$G$15:$L$29,3),VLOOKUP(K170,[3]Minimas!$G$15:$L$29,2)))))))</f>
        <v>SE M81</v>
      </c>
      <c r="W170" s="361">
        <f t="shared" si="55"/>
        <v>235.06538436254684</v>
      </c>
      <c r="X170" s="257">
        <v>43610</v>
      </c>
      <c r="Y170" s="261" t="s">
        <v>892</v>
      </c>
      <c r="Z170" s="261" t="s">
        <v>829</v>
      </c>
      <c r="AA170" s="232"/>
      <c r="AB170" s="230">
        <f>T170-HLOOKUP(V170,[3]Minimas!$C$3:$CD$12,2,FALSE)</f>
        <v>42</v>
      </c>
      <c r="AC170" s="230">
        <f>T170-HLOOKUP(V170,[3]Minimas!$C$3:$CD$12,3,FALSE)</f>
        <v>17</v>
      </c>
      <c r="AD170" s="230">
        <f>T170-HLOOKUP(V170,[3]Minimas!$C$3:$CD$12,4,FALSE)</f>
        <v>-8</v>
      </c>
      <c r="AE170" s="230">
        <f>T170-HLOOKUP(V170,[3]Minimas!$C$3:$CD$12,5,FALSE)</f>
        <v>-33</v>
      </c>
      <c r="AF170" s="230">
        <f>T170-HLOOKUP(V170,[3]Minimas!$C$3:$CD$12,6,FALSE)</f>
        <v>-63</v>
      </c>
      <c r="AG170" s="230">
        <f>T170-HLOOKUP(V170,[3]Minimas!$C$3:$CD$12,7,FALSE)</f>
        <v>-88</v>
      </c>
      <c r="AH170" s="230">
        <f>T170-HLOOKUP(V170,[3]Minimas!$C$3:$CD$12,8,FALSE)</f>
        <v>-108</v>
      </c>
      <c r="AI170" s="230">
        <f>T170-HLOOKUP(V170,[3]Minimas!$C$3:$CD$12,9,FALSE)</f>
        <v>-133</v>
      </c>
      <c r="AJ170" s="230">
        <f>T170-HLOOKUP(V170,[3]Minimas!$C$3:$CD$12,10,FALSE)</f>
        <v>-148</v>
      </c>
      <c r="AK170" s="231" t="str">
        <f t="shared" si="56"/>
        <v>DPT +</v>
      </c>
      <c r="AL170" s="232"/>
      <c r="AM170" s="232" t="str">
        <f t="shared" si="57"/>
        <v>DPT +</v>
      </c>
      <c r="AN170" s="232">
        <f t="shared" si="58"/>
        <v>17</v>
      </c>
      <c r="AO170" s="232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  <c r="BF170" s="38"/>
      <c r="BG170" s="38"/>
      <c r="BH170" s="38"/>
      <c r="BI170" s="38"/>
      <c r="BJ170" s="38"/>
      <c r="BK170" s="38"/>
      <c r="BL170" s="38"/>
      <c r="BM170" s="38"/>
      <c r="BN170" s="38"/>
      <c r="BO170" s="38"/>
      <c r="BP170" s="38"/>
      <c r="BQ170" s="38"/>
      <c r="BR170" s="38"/>
      <c r="BS170" s="38"/>
      <c r="BT170" s="38"/>
      <c r="BU170" s="38"/>
      <c r="BV170" s="38"/>
      <c r="BW170" s="38"/>
      <c r="BX170" s="38"/>
      <c r="BY170" s="38"/>
      <c r="BZ170" s="38"/>
      <c r="CA170" s="38"/>
      <c r="CB170" s="38"/>
      <c r="CC170" s="38"/>
      <c r="CD170" s="38"/>
      <c r="CE170" s="38"/>
      <c r="CF170" s="38"/>
      <c r="CG170" s="38"/>
      <c r="CH170" s="38"/>
      <c r="CI170" s="38"/>
      <c r="CJ170" s="38"/>
      <c r="CK170" s="38"/>
      <c r="CL170" s="38"/>
      <c r="CM170" s="38"/>
      <c r="CN170" s="38"/>
      <c r="CO170" s="38"/>
      <c r="CP170" s="38"/>
      <c r="CQ170" s="38"/>
      <c r="CR170" s="38"/>
      <c r="CS170" s="38"/>
      <c r="CT170" s="38"/>
      <c r="CU170" s="38"/>
      <c r="CV170" s="38"/>
      <c r="CW170" s="38"/>
      <c r="CX170" s="38"/>
      <c r="CY170" s="38"/>
      <c r="CZ170" s="38"/>
      <c r="DA170" s="38"/>
      <c r="DB170" s="38"/>
      <c r="DC170" s="38"/>
      <c r="DD170" s="38"/>
      <c r="DE170" s="38"/>
      <c r="DF170" s="38"/>
      <c r="DG170" s="38"/>
      <c r="DH170" s="38"/>
      <c r="DI170" s="38"/>
      <c r="DJ170" s="38"/>
      <c r="DK170" s="38"/>
      <c r="DL170" s="38"/>
      <c r="DM170" s="38"/>
      <c r="DN170" s="38"/>
      <c r="DO170" s="38"/>
      <c r="DP170" s="38"/>
      <c r="DQ170" s="38"/>
      <c r="DR170" s="38"/>
      <c r="DS170" s="38"/>
      <c r="DT170" s="38"/>
    </row>
    <row r="171" spans="1:124" s="5" customFormat="1" ht="30" customHeight="1" x14ac:dyDescent="0.25">
      <c r="B171" s="136" t="s">
        <v>543</v>
      </c>
      <c r="C171" s="468">
        <v>444432</v>
      </c>
      <c r="D171" s="167"/>
      <c r="E171" s="315" t="s">
        <v>40</v>
      </c>
      <c r="F171" s="368" t="s">
        <v>381</v>
      </c>
      <c r="G171" s="491" t="s">
        <v>365</v>
      </c>
      <c r="H171" s="559">
        <v>1987</v>
      </c>
      <c r="I171" s="170" t="s">
        <v>317</v>
      </c>
      <c r="J171" s="498" t="s">
        <v>44</v>
      </c>
      <c r="K171" s="294">
        <v>80.25</v>
      </c>
      <c r="L171" s="295">
        <v>77</v>
      </c>
      <c r="M171" s="449">
        <v>-82</v>
      </c>
      <c r="N171" s="449">
        <v>-82</v>
      </c>
      <c r="O171" s="52">
        <f t="shared" si="52"/>
        <v>77</v>
      </c>
      <c r="P171" s="450">
        <v>-105</v>
      </c>
      <c r="Q171" s="301">
        <v>107</v>
      </c>
      <c r="R171" s="301">
        <v>110</v>
      </c>
      <c r="S171" s="52">
        <f t="shared" si="53"/>
        <v>110</v>
      </c>
      <c r="T171" s="502">
        <f t="shared" si="59"/>
        <v>187</v>
      </c>
      <c r="U171" s="48" t="str">
        <f t="shared" si="54"/>
        <v>DPT + 17</v>
      </c>
      <c r="V171" s="48" t="str">
        <f>IF(E171=0," ",IF(E171="H",IF(H171&lt;1999,VLOOKUP(K171,Minimas!$A$15:$F$29,6),IF(AND(H171&gt;1998,H171&lt;2002),VLOOKUP(K171,Minimas!$A$15:$F$29,5),IF(AND(H171&gt;2001,H171&lt;2004),VLOOKUP(K171,Minimas!$A$15:$F$29,4),IF(AND(H171&gt;2003,H171&lt;2006),VLOOKUP(K171,Minimas!$A$15:$F$29,3),VLOOKUP(K171,Minimas!$A$15:$F$29,2))))),IF(H171&lt;1999,VLOOKUP(K171,Minimas!$G$15:$L$29,6),IF(AND(H171&gt;1998,H171&lt;2002),VLOOKUP(K171,Minimas!$G$15:$L$29,5),IF(AND(H171&gt;2001,H171&lt;2004),VLOOKUP(K171,Minimas!$G$15:$L$29,4),IF(AND(H171&gt;2003,H171&lt;2006),VLOOKUP(K171,Minimas!$G$15:$L$29,3),VLOOKUP(K171,Minimas!$G$15:$L$29,2)))))))</f>
        <v>SE M81</v>
      </c>
      <c r="W171" s="49">
        <f t="shared" si="55"/>
        <v>228.39717580774101</v>
      </c>
      <c r="X171" s="257">
        <v>43485</v>
      </c>
      <c r="Y171" s="261" t="s">
        <v>640</v>
      </c>
      <c r="Z171" s="261" t="s">
        <v>514</v>
      </c>
      <c r="AA171" s="232"/>
      <c r="AB171" s="230">
        <f>T171-HLOOKUP(V171,Minimas!$C$3:$CD$12,2,FALSE)</f>
        <v>42</v>
      </c>
      <c r="AC171" s="230">
        <f>T171-HLOOKUP(V171,Minimas!$C$3:$CD$12,3,FALSE)</f>
        <v>17</v>
      </c>
      <c r="AD171" s="230">
        <f>T171-HLOOKUP(V171,Minimas!$C$3:$CD$12,4,FALSE)</f>
        <v>-8</v>
      </c>
      <c r="AE171" s="230">
        <f>T171-HLOOKUP(V171,Minimas!$C$3:$CD$12,5,FALSE)</f>
        <v>-33</v>
      </c>
      <c r="AF171" s="230">
        <f>T171-HLOOKUP(V171,Minimas!$C$3:$CD$12,6,FALSE)</f>
        <v>-63</v>
      </c>
      <c r="AG171" s="230">
        <f>T171-HLOOKUP(V171,Minimas!$C$3:$CD$12,7,FALSE)</f>
        <v>-88</v>
      </c>
      <c r="AH171" s="230">
        <f>T171-HLOOKUP(V171,Minimas!$C$3:$CD$12,8,FALSE)</f>
        <v>-108</v>
      </c>
      <c r="AI171" s="230">
        <f>T171-HLOOKUP(V171,Minimas!$C$3:$CD$12,9,FALSE)</f>
        <v>-133</v>
      </c>
      <c r="AJ171" s="230">
        <f>T171-HLOOKUP(V171,Minimas!$C$3:$CD$12,10,FALSE)</f>
        <v>-148</v>
      </c>
      <c r="AK171" s="231" t="str">
        <f t="shared" si="56"/>
        <v>DPT +</v>
      </c>
      <c r="AL171" s="232"/>
      <c r="AM171" s="232" t="str">
        <f t="shared" si="57"/>
        <v>DPT +</v>
      </c>
      <c r="AN171" s="232">
        <f t="shared" si="58"/>
        <v>17</v>
      </c>
      <c r="AO171" s="232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  <c r="BF171" s="38"/>
      <c r="BG171" s="38"/>
      <c r="BH171" s="38"/>
      <c r="BI171" s="38"/>
      <c r="BJ171" s="38"/>
      <c r="BK171" s="38"/>
      <c r="BL171" s="38"/>
      <c r="BM171" s="38"/>
      <c r="BN171" s="38"/>
      <c r="BO171" s="38"/>
      <c r="BP171" s="38"/>
      <c r="BQ171" s="38"/>
      <c r="BR171" s="38"/>
      <c r="BS171" s="38"/>
      <c r="BT171" s="38"/>
      <c r="BU171" s="38"/>
      <c r="BV171" s="38"/>
      <c r="BW171" s="38"/>
      <c r="BX171" s="38"/>
      <c r="BY171" s="38"/>
      <c r="BZ171" s="38"/>
      <c r="CA171" s="38"/>
      <c r="CB171" s="38"/>
      <c r="CC171" s="38"/>
      <c r="CD171" s="38"/>
      <c r="CE171" s="38"/>
      <c r="CF171" s="38"/>
      <c r="CG171" s="38"/>
      <c r="CH171" s="38"/>
      <c r="CI171" s="38"/>
      <c r="CJ171" s="38"/>
      <c r="CK171" s="38"/>
      <c r="CL171" s="38"/>
      <c r="CM171" s="38"/>
      <c r="CN171" s="38"/>
      <c r="CO171" s="38"/>
      <c r="CP171" s="38"/>
      <c r="CQ171" s="38"/>
      <c r="CR171" s="38"/>
      <c r="CS171" s="38"/>
      <c r="CT171" s="38"/>
      <c r="CU171" s="38"/>
      <c r="CV171" s="38"/>
      <c r="CW171" s="38"/>
      <c r="CX171" s="38"/>
      <c r="CY171" s="38"/>
      <c r="CZ171" s="38"/>
      <c r="DA171" s="38"/>
      <c r="DB171" s="38"/>
      <c r="DC171" s="38"/>
      <c r="DD171" s="38"/>
      <c r="DE171" s="38"/>
      <c r="DF171" s="38"/>
      <c r="DG171" s="38"/>
      <c r="DH171" s="38"/>
      <c r="DI171" s="38"/>
      <c r="DJ171" s="38"/>
      <c r="DK171" s="38"/>
      <c r="DL171" s="38"/>
      <c r="DM171" s="38"/>
      <c r="DN171" s="38"/>
      <c r="DO171" s="38"/>
      <c r="DP171" s="38"/>
      <c r="DQ171" s="38"/>
      <c r="DR171" s="38"/>
      <c r="DS171" s="38"/>
      <c r="DT171" s="38"/>
    </row>
    <row r="172" spans="1:124" s="5" customFormat="1" ht="30" customHeight="1" x14ac:dyDescent="0.3">
      <c r="B172" s="136" t="s">
        <v>543</v>
      </c>
      <c r="C172" s="701">
        <v>248237</v>
      </c>
      <c r="D172" s="174"/>
      <c r="E172" s="399" t="s">
        <v>40</v>
      </c>
      <c r="F172" s="407" t="s">
        <v>385</v>
      </c>
      <c r="G172" s="408" t="s">
        <v>351</v>
      </c>
      <c r="H172" s="413">
        <v>1987</v>
      </c>
      <c r="I172" s="179" t="s">
        <v>219</v>
      </c>
      <c r="J172" s="578" t="s">
        <v>44</v>
      </c>
      <c r="K172" s="774">
        <v>77.599999999999994</v>
      </c>
      <c r="L172" s="452">
        <v>75</v>
      </c>
      <c r="M172" s="796">
        <v>-80</v>
      </c>
      <c r="N172" s="453">
        <v>80</v>
      </c>
      <c r="O172" s="501">
        <f t="shared" si="52"/>
        <v>80</v>
      </c>
      <c r="P172" s="452">
        <v>95</v>
      </c>
      <c r="Q172" s="453">
        <v>100</v>
      </c>
      <c r="R172" s="453">
        <v>103</v>
      </c>
      <c r="S172" s="501">
        <f t="shared" si="53"/>
        <v>103</v>
      </c>
      <c r="T172" s="502">
        <f t="shared" si="59"/>
        <v>183</v>
      </c>
      <c r="U172" s="48" t="str">
        <f t="shared" si="54"/>
        <v>DPT + 13</v>
      </c>
      <c r="V172" s="48" t="str">
        <f>IF(E172=0," ",IF(E172="H",IF(H172&lt;1999,VLOOKUP(K172,Minimas!$A$15:$F$29,6),IF(AND(H172&gt;1998,H172&lt;2002),VLOOKUP(K172,Minimas!$A$15:$F$29,5),IF(AND(H172&gt;2001,H172&lt;2004),VLOOKUP(K172,Minimas!$A$15:$F$29,4),IF(AND(H172&gt;2003,H172&lt;2006),VLOOKUP(K172,Minimas!$A$15:$F$29,3),VLOOKUP(K172,Minimas!$A$15:$F$29,2))))),IF(H172&lt;1999,VLOOKUP(K172,Minimas!$G$15:$L$29,6),IF(AND(H172&gt;1998,H172&lt;2002),VLOOKUP(K172,Minimas!$G$15:$L$29,5),IF(AND(H172&gt;2001,H172&lt;2004),VLOOKUP(K172,Minimas!$G$15:$L$29,4),IF(AND(H172&gt;2003,H172&lt;2006),VLOOKUP(K172,Minimas!$G$15:$L$29,3),VLOOKUP(K172,Minimas!$G$15:$L$29,2)))))))</f>
        <v>SE M81</v>
      </c>
      <c r="W172" s="49">
        <f t="shared" si="55"/>
        <v>227.46451949464958</v>
      </c>
      <c r="X172" s="184">
        <v>43435</v>
      </c>
      <c r="Y172" s="284" t="s">
        <v>509</v>
      </c>
      <c r="Z172" s="284" t="s">
        <v>511</v>
      </c>
      <c r="AA172" s="232"/>
      <c r="AB172" s="230">
        <f>T172-HLOOKUP(V172,Minimas!$C$3:$CD$12,2,FALSE)</f>
        <v>38</v>
      </c>
      <c r="AC172" s="230">
        <f>T172-HLOOKUP(V172,Minimas!$C$3:$CD$12,3,FALSE)</f>
        <v>13</v>
      </c>
      <c r="AD172" s="230">
        <f>T172-HLOOKUP(V172,Minimas!$C$3:$CD$12,4,FALSE)</f>
        <v>-12</v>
      </c>
      <c r="AE172" s="230">
        <f>T172-HLOOKUP(V172,Minimas!$C$3:$CD$12,5,FALSE)</f>
        <v>-37</v>
      </c>
      <c r="AF172" s="230">
        <f>T172-HLOOKUP(V172,Minimas!$C$3:$CD$12,6,FALSE)</f>
        <v>-67</v>
      </c>
      <c r="AG172" s="230">
        <f>T172-HLOOKUP(V172,Minimas!$C$3:$CD$12,7,FALSE)</f>
        <v>-92</v>
      </c>
      <c r="AH172" s="230">
        <f>T172-HLOOKUP(V172,Minimas!$C$3:$CD$12,8,FALSE)</f>
        <v>-112</v>
      </c>
      <c r="AI172" s="230">
        <f>T172-HLOOKUP(V172,Minimas!$C$3:$CD$12,9,FALSE)</f>
        <v>-137</v>
      </c>
      <c r="AJ172" s="230">
        <f>T172-HLOOKUP(V172,Minimas!$C$3:$CD$12,10,FALSE)</f>
        <v>-152</v>
      </c>
      <c r="AK172" s="231" t="str">
        <f t="shared" si="56"/>
        <v>DPT +</v>
      </c>
      <c r="AL172" s="232"/>
      <c r="AM172" s="232" t="str">
        <f t="shared" si="57"/>
        <v>DPT +</v>
      </c>
      <c r="AN172" s="232">
        <f t="shared" si="58"/>
        <v>13</v>
      </c>
      <c r="AO172" s="232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  <c r="BF172" s="38"/>
      <c r="BG172" s="38"/>
      <c r="BH172" s="38"/>
      <c r="BI172" s="38"/>
      <c r="BJ172" s="38"/>
      <c r="BK172" s="38"/>
      <c r="BL172" s="38"/>
      <c r="BM172" s="38"/>
      <c r="BN172" s="38"/>
      <c r="BO172" s="38"/>
      <c r="BP172" s="38"/>
      <c r="BQ172" s="38"/>
      <c r="BR172" s="38"/>
      <c r="BS172" s="38"/>
      <c r="BT172" s="38"/>
      <c r="BU172" s="38"/>
      <c r="BV172" s="38"/>
      <c r="BW172" s="38"/>
      <c r="BX172" s="38"/>
      <c r="BY172" s="38"/>
      <c r="BZ172" s="38"/>
      <c r="CA172" s="38"/>
      <c r="CB172" s="38"/>
      <c r="CC172" s="38"/>
      <c r="CD172" s="38"/>
      <c r="CE172" s="38"/>
      <c r="CF172" s="38"/>
      <c r="CG172" s="38"/>
      <c r="CH172" s="38"/>
      <c r="CI172" s="38"/>
      <c r="CJ172" s="38"/>
      <c r="CK172" s="38"/>
      <c r="CL172" s="38"/>
      <c r="CM172" s="38"/>
      <c r="CN172" s="38"/>
      <c r="CO172" s="38"/>
      <c r="CP172" s="38"/>
      <c r="CQ172" s="38"/>
      <c r="CR172" s="38"/>
      <c r="CS172" s="38"/>
      <c r="CT172" s="38"/>
      <c r="CU172" s="38"/>
      <c r="CV172" s="38"/>
      <c r="CW172" s="38"/>
      <c r="CX172" s="38"/>
      <c r="CY172" s="38"/>
      <c r="CZ172" s="38"/>
      <c r="DA172" s="38"/>
      <c r="DB172" s="38"/>
      <c r="DC172" s="38"/>
      <c r="DD172" s="38"/>
      <c r="DE172" s="38"/>
      <c r="DF172" s="38"/>
      <c r="DG172" s="38"/>
      <c r="DH172" s="38"/>
      <c r="DI172" s="38"/>
      <c r="DJ172" s="38"/>
      <c r="DK172" s="38"/>
      <c r="DL172" s="38"/>
      <c r="DM172" s="38"/>
      <c r="DN172" s="38"/>
      <c r="DO172" s="38"/>
      <c r="DP172" s="38"/>
      <c r="DQ172" s="38"/>
      <c r="DR172" s="38"/>
      <c r="DS172" s="38"/>
      <c r="DT172" s="38"/>
    </row>
    <row r="173" spans="1:124" s="5" customFormat="1" ht="30" customHeight="1" x14ac:dyDescent="0.25">
      <c r="B173" s="689" t="s">
        <v>543</v>
      </c>
      <c r="C173" s="499">
        <v>433472</v>
      </c>
      <c r="D173" s="171"/>
      <c r="E173" s="315" t="s">
        <v>40</v>
      </c>
      <c r="F173" s="486" t="s">
        <v>291</v>
      </c>
      <c r="G173" s="487" t="s">
        <v>292</v>
      </c>
      <c r="H173" s="292">
        <v>1994</v>
      </c>
      <c r="I173" s="172" t="s">
        <v>155</v>
      </c>
      <c r="J173" s="290" t="s">
        <v>44</v>
      </c>
      <c r="K173" s="297">
        <v>77.3</v>
      </c>
      <c r="L173" s="300">
        <v>70</v>
      </c>
      <c r="M173" s="301">
        <v>-75</v>
      </c>
      <c r="N173" s="301">
        <v>77</v>
      </c>
      <c r="O173" s="490">
        <f t="shared" si="52"/>
        <v>77</v>
      </c>
      <c r="P173" s="300">
        <v>97</v>
      </c>
      <c r="Q173" s="301">
        <v>-103</v>
      </c>
      <c r="R173" s="301">
        <v>103</v>
      </c>
      <c r="S173" s="490">
        <f t="shared" si="53"/>
        <v>103</v>
      </c>
      <c r="T173" s="502">
        <f t="shared" si="59"/>
        <v>180</v>
      </c>
      <c r="U173" s="48" t="str">
        <f t="shared" si="54"/>
        <v>DPT + 10</v>
      </c>
      <c r="V173" s="48" t="str">
        <f>IF(E173=0," ",IF(E173="H",IF(H173&lt;1999,VLOOKUP(K173,[29]Minimas!$A$15:$F$29,6),IF(AND(H173&gt;1998,H173&lt;2002),VLOOKUP(K173,[29]Minimas!$A$15:$F$29,5),IF(AND(H173&gt;2001,H173&lt;2004),VLOOKUP(K173,[29]Minimas!$A$15:$F$29,4),IF(AND(H173&gt;2003,H173&lt;2006),VLOOKUP(K173,[29]Minimas!$A$15:$F$29,3),VLOOKUP(K173,[29]Minimas!$A$15:$F$29,2))))),IF(H173&lt;1999,VLOOKUP(K173,[29]Minimas!$G$15:$L$29,6),IF(AND(H173&gt;1998,H173&lt;2002),VLOOKUP(K173,[29]Minimas!$G$15:$L$29,5),IF(AND(H173&gt;2001,H173&lt;2004),VLOOKUP(K173,[29]Minimas!$G$15:$L$29,4),IF(AND(H173&gt;2003,H173&lt;2006),VLOOKUP(K173,[29]Minimas!$G$15:$L$29,3),VLOOKUP(K173,[29]Minimas!$G$15:$L$29,2)))))))</f>
        <v>SE M81</v>
      </c>
      <c r="W173" s="49">
        <f t="shared" si="55"/>
        <v>224.1991116611521</v>
      </c>
      <c r="X173" s="257">
        <v>43492</v>
      </c>
      <c r="Y173" s="261" t="s">
        <v>696</v>
      </c>
      <c r="Z173" s="261" t="s">
        <v>695</v>
      </c>
      <c r="AA173" s="232"/>
      <c r="AB173" s="230">
        <f>T173-HLOOKUP(V173,Minimas!$C$3:$CD$12,2,FALSE)</f>
        <v>35</v>
      </c>
      <c r="AC173" s="230">
        <f>T173-HLOOKUP(V173,Minimas!$C$3:$CD$12,3,FALSE)</f>
        <v>10</v>
      </c>
      <c r="AD173" s="230">
        <f>T173-HLOOKUP(V173,Minimas!$C$3:$CD$12,4,FALSE)</f>
        <v>-15</v>
      </c>
      <c r="AE173" s="230">
        <f>T173-HLOOKUP(V173,Minimas!$C$3:$CD$12,5,FALSE)</f>
        <v>-40</v>
      </c>
      <c r="AF173" s="230">
        <f>T173-HLOOKUP(V173,Minimas!$C$3:$CD$12,6,FALSE)</f>
        <v>-70</v>
      </c>
      <c r="AG173" s="230">
        <f>T173-HLOOKUP(V173,Minimas!$C$3:$CD$12,7,FALSE)</f>
        <v>-95</v>
      </c>
      <c r="AH173" s="230">
        <f>T173-HLOOKUP(V173,Minimas!$C$3:$CD$12,8,FALSE)</f>
        <v>-115</v>
      </c>
      <c r="AI173" s="230">
        <f>T173-HLOOKUP(V173,Minimas!$C$3:$CD$12,9,FALSE)</f>
        <v>-140</v>
      </c>
      <c r="AJ173" s="230">
        <f>T173-HLOOKUP(V173,Minimas!$C$3:$CD$12,10,FALSE)</f>
        <v>-155</v>
      </c>
      <c r="AK173" s="231" t="str">
        <f t="shared" si="56"/>
        <v>DPT +</v>
      </c>
      <c r="AL173" s="232"/>
      <c r="AM173" s="232" t="str">
        <f t="shared" si="57"/>
        <v>DPT +</v>
      </c>
      <c r="AN173" s="232">
        <f t="shared" si="58"/>
        <v>10</v>
      </c>
      <c r="AO173" s="232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  <c r="BF173" s="38"/>
      <c r="BG173" s="38"/>
      <c r="BH173" s="38"/>
      <c r="BI173" s="38"/>
      <c r="BJ173" s="38"/>
      <c r="BK173" s="38"/>
      <c r="BL173" s="38"/>
      <c r="BM173" s="38"/>
      <c r="BN173" s="38"/>
      <c r="BO173" s="38"/>
      <c r="BP173" s="38"/>
      <c r="BQ173" s="38"/>
      <c r="BR173" s="38"/>
      <c r="BS173" s="38"/>
      <c r="BT173" s="38"/>
      <c r="BU173" s="38"/>
      <c r="BV173" s="38"/>
      <c r="BW173" s="38"/>
      <c r="BX173" s="38"/>
      <c r="BY173" s="38"/>
      <c r="BZ173" s="38"/>
      <c r="CA173" s="38"/>
      <c r="CB173" s="38"/>
      <c r="CC173" s="38"/>
      <c r="CD173" s="38"/>
      <c r="CE173" s="38"/>
      <c r="CF173" s="38"/>
      <c r="CG173" s="38"/>
      <c r="CH173" s="38"/>
      <c r="CI173" s="38"/>
      <c r="CJ173" s="38"/>
      <c r="CK173" s="38"/>
      <c r="CL173" s="38"/>
      <c r="CM173" s="38"/>
      <c r="CN173" s="38"/>
      <c r="CO173" s="38"/>
      <c r="CP173" s="38"/>
      <c r="CQ173" s="38"/>
      <c r="CR173" s="38"/>
      <c r="CS173" s="38"/>
      <c r="CT173" s="38"/>
      <c r="CU173" s="38"/>
      <c r="CV173" s="38"/>
      <c r="CW173" s="38"/>
      <c r="CX173" s="38"/>
      <c r="CY173" s="38"/>
      <c r="CZ173" s="38"/>
      <c r="DA173" s="38"/>
      <c r="DB173" s="38"/>
      <c r="DC173" s="38"/>
      <c r="DD173" s="38"/>
      <c r="DE173" s="38"/>
      <c r="DF173" s="38"/>
      <c r="DG173" s="38"/>
      <c r="DH173" s="38"/>
      <c r="DI173" s="38"/>
      <c r="DJ173" s="38"/>
      <c r="DK173" s="38"/>
      <c r="DL173" s="38"/>
      <c r="DM173" s="38"/>
      <c r="DN173" s="38"/>
      <c r="DO173" s="38"/>
      <c r="DP173" s="38"/>
      <c r="DQ173" s="38"/>
      <c r="DR173" s="38"/>
      <c r="DS173" s="38"/>
      <c r="DT173" s="38"/>
    </row>
    <row r="174" spans="1:124" s="5" customFormat="1" ht="30" customHeight="1" x14ac:dyDescent="0.25">
      <c r="B174" s="524" t="s">
        <v>543</v>
      </c>
      <c r="C174" s="429">
        <v>383718</v>
      </c>
      <c r="D174" s="710"/>
      <c r="E174" s="315" t="s">
        <v>40</v>
      </c>
      <c r="F174" s="319" t="s">
        <v>294</v>
      </c>
      <c r="G174" s="320" t="s">
        <v>382</v>
      </c>
      <c r="H174" s="562">
        <v>1981</v>
      </c>
      <c r="I174" s="569" t="s">
        <v>214</v>
      </c>
      <c r="J174" s="876"/>
      <c r="K174" s="849">
        <v>79</v>
      </c>
      <c r="L174" s="295">
        <v>75</v>
      </c>
      <c r="M174" s="296">
        <v>-80</v>
      </c>
      <c r="N174" s="296">
        <v>80</v>
      </c>
      <c r="O174" s="363">
        <f t="shared" si="52"/>
        <v>80</v>
      </c>
      <c r="P174" s="295">
        <v>95</v>
      </c>
      <c r="Q174" s="296">
        <v>100</v>
      </c>
      <c r="R174" s="296">
        <v>-105</v>
      </c>
      <c r="S174" s="363">
        <f t="shared" si="53"/>
        <v>100</v>
      </c>
      <c r="T174" s="364">
        <f t="shared" si="59"/>
        <v>180</v>
      </c>
      <c r="U174" s="360" t="str">
        <f t="shared" si="54"/>
        <v>DPT + 10</v>
      </c>
      <c r="V174" s="360" t="str">
        <f>IF(E174=0," ",IF(E174="H",IF(H174&lt;1999,VLOOKUP(K174,[3]Minimas!$A$15:$F$29,6),IF(AND(H174&gt;1998,H174&lt;2002),VLOOKUP(K174,[3]Minimas!$A$15:$F$29,5),IF(AND(H174&gt;2001,H174&lt;2004),VLOOKUP(K174,[3]Minimas!$A$15:$F$29,4),IF(AND(H174&gt;2003,H174&lt;2006),VLOOKUP(K174,[3]Minimas!$A$15:$F$29,3),VLOOKUP(K174,[3]Minimas!$A$15:$F$29,2))))),IF(H174&lt;1999,VLOOKUP(K174,[3]Minimas!$G$15:$L$29,6),IF(AND(H174&gt;1998,H174&lt;2002),VLOOKUP(K174,[3]Minimas!$G$15:$L$29,5),IF(AND(H174&gt;2001,H174&lt;2004),VLOOKUP(K174,[3]Minimas!$G$15:$L$29,4),IF(AND(H174&gt;2003,H174&lt;2006),VLOOKUP(K174,[3]Minimas!$G$15:$L$29,3),VLOOKUP(K174,[3]Minimas!$G$15:$L$29,2)))))))</f>
        <v>SE M81</v>
      </c>
      <c r="W174" s="366">
        <f t="shared" si="55"/>
        <v>221.63647529597208</v>
      </c>
      <c r="X174" s="257">
        <v>43610</v>
      </c>
      <c r="Y174" s="261" t="s">
        <v>892</v>
      </c>
      <c r="Z174" s="261" t="s">
        <v>829</v>
      </c>
      <c r="AA174" s="232"/>
      <c r="AB174" s="230">
        <f>T174-HLOOKUP(V174,[3]Minimas!$C$3:$CD$12,2,FALSE)</f>
        <v>35</v>
      </c>
      <c r="AC174" s="230">
        <f>T174-HLOOKUP(V174,[3]Minimas!$C$3:$CD$12,3,FALSE)</f>
        <v>10</v>
      </c>
      <c r="AD174" s="230">
        <f>T174-HLOOKUP(V174,[3]Minimas!$C$3:$CD$12,4,FALSE)</f>
        <v>-15</v>
      </c>
      <c r="AE174" s="230">
        <f>T174-HLOOKUP(V174,[3]Minimas!$C$3:$CD$12,5,FALSE)</f>
        <v>-40</v>
      </c>
      <c r="AF174" s="230">
        <f>T174-HLOOKUP(V174,[3]Minimas!$C$3:$CD$12,6,FALSE)</f>
        <v>-70</v>
      </c>
      <c r="AG174" s="230">
        <f>T174-HLOOKUP(V174,[3]Minimas!$C$3:$CD$12,7,FALSE)</f>
        <v>-95</v>
      </c>
      <c r="AH174" s="230">
        <f>T174-HLOOKUP(V174,[3]Minimas!$C$3:$CD$12,8,FALSE)</f>
        <v>-115</v>
      </c>
      <c r="AI174" s="230">
        <f>T174-HLOOKUP(V174,[3]Minimas!$C$3:$CD$12,9,FALSE)</f>
        <v>-140</v>
      </c>
      <c r="AJ174" s="230">
        <f>T174-HLOOKUP(V174,[3]Minimas!$C$3:$CD$12,10,FALSE)</f>
        <v>-155</v>
      </c>
      <c r="AK174" s="231" t="str">
        <f t="shared" si="56"/>
        <v>DPT +</v>
      </c>
      <c r="AL174" s="232"/>
      <c r="AM174" s="232" t="str">
        <f t="shared" si="57"/>
        <v>DPT +</v>
      </c>
      <c r="AN174" s="232">
        <f t="shared" si="58"/>
        <v>10</v>
      </c>
      <c r="AO174" s="232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  <c r="BF174" s="38"/>
      <c r="BG174" s="38"/>
      <c r="BH174" s="38"/>
      <c r="BI174" s="38"/>
      <c r="BJ174" s="38"/>
      <c r="BK174" s="38"/>
      <c r="BL174" s="38"/>
      <c r="BM174" s="38"/>
      <c r="BN174" s="38"/>
      <c r="BO174" s="38"/>
      <c r="BP174" s="38"/>
      <c r="BQ174" s="38"/>
      <c r="BR174" s="38"/>
      <c r="BS174" s="38"/>
      <c r="BT174" s="38"/>
      <c r="BU174" s="38"/>
      <c r="BV174" s="38"/>
      <c r="BW174" s="38"/>
      <c r="BX174" s="38"/>
      <c r="BY174" s="38"/>
      <c r="BZ174" s="38"/>
      <c r="CA174" s="38"/>
      <c r="CB174" s="38"/>
      <c r="CC174" s="38"/>
      <c r="CD174" s="38"/>
      <c r="CE174" s="38"/>
      <c r="CF174" s="38"/>
      <c r="CG174" s="38"/>
      <c r="CH174" s="38"/>
      <c r="CI174" s="38"/>
      <c r="CJ174" s="38"/>
      <c r="CK174" s="38"/>
      <c r="CL174" s="38"/>
      <c r="CM174" s="38"/>
      <c r="CN174" s="38"/>
      <c r="CO174" s="38"/>
      <c r="CP174" s="38"/>
      <c r="CQ174" s="38"/>
      <c r="CR174" s="38"/>
      <c r="CS174" s="38"/>
      <c r="CT174" s="38"/>
      <c r="CU174" s="38"/>
      <c r="CV174" s="38"/>
      <c r="CW174" s="38"/>
      <c r="CX174" s="38"/>
      <c r="CY174" s="38"/>
      <c r="CZ174" s="38"/>
      <c r="DA174" s="38"/>
      <c r="DB174" s="38"/>
      <c r="DC174" s="38"/>
      <c r="DD174" s="38"/>
      <c r="DE174" s="38"/>
      <c r="DF174" s="38"/>
      <c r="DG174" s="38"/>
      <c r="DH174" s="38"/>
      <c r="DI174" s="38"/>
      <c r="DJ174" s="38"/>
      <c r="DK174" s="38"/>
      <c r="DL174" s="38"/>
      <c r="DM174" s="38"/>
      <c r="DN174" s="38"/>
      <c r="DO174" s="38"/>
      <c r="DP174" s="38"/>
      <c r="DQ174" s="38"/>
      <c r="DR174" s="38"/>
      <c r="DS174" s="38"/>
      <c r="DT174" s="38"/>
    </row>
    <row r="175" spans="1:124" s="5" customFormat="1" ht="30" customHeight="1" thickBot="1" x14ac:dyDescent="0.3">
      <c r="A175" s="484"/>
      <c r="B175" s="524" t="s">
        <v>543</v>
      </c>
      <c r="C175" s="429">
        <v>445673</v>
      </c>
      <c r="D175" s="710"/>
      <c r="E175" s="315" t="s">
        <v>40</v>
      </c>
      <c r="F175" s="319" t="s">
        <v>457</v>
      </c>
      <c r="G175" s="320" t="s">
        <v>905</v>
      </c>
      <c r="H175" s="306">
        <v>1990</v>
      </c>
      <c r="I175" s="569" t="s">
        <v>322</v>
      </c>
      <c r="J175" s="323"/>
      <c r="K175" s="326">
        <v>73.900000000000006</v>
      </c>
      <c r="L175" s="300">
        <v>75</v>
      </c>
      <c r="M175" s="301">
        <v>-82</v>
      </c>
      <c r="N175" s="301">
        <v>-82</v>
      </c>
      <c r="O175" s="363">
        <f t="shared" si="52"/>
        <v>75</v>
      </c>
      <c r="P175" s="300">
        <v>95</v>
      </c>
      <c r="Q175" s="301">
        <v>99</v>
      </c>
      <c r="R175" s="301">
        <v>103</v>
      </c>
      <c r="S175" s="363">
        <f t="shared" si="53"/>
        <v>103</v>
      </c>
      <c r="T175" s="364">
        <f t="shared" si="59"/>
        <v>178</v>
      </c>
      <c r="U175" s="360" t="str">
        <f t="shared" si="54"/>
        <v>DPT + 8</v>
      </c>
      <c r="V175" s="360" t="str">
        <f>IF(E175=0," ",IF(E175="H",IF(H175&lt;1999,VLOOKUP(K175,[3]Minimas!$A$15:$F$29,6),IF(AND(H175&gt;1998,H175&lt;2002),VLOOKUP(K175,[3]Minimas!$A$15:$F$29,5),IF(AND(H175&gt;2001,H175&lt;2004),VLOOKUP(K175,[3]Minimas!$A$15:$F$29,4),IF(AND(H175&gt;2003,H175&lt;2006),VLOOKUP(K175,[3]Minimas!$A$15:$F$29,3),VLOOKUP(K175,[3]Minimas!$A$15:$F$29,2))))),IF(H175&lt;1999,VLOOKUP(K175,[3]Minimas!$G$15:$L$29,6),IF(AND(H175&gt;1998,H175&lt;2002),VLOOKUP(K175,[3]Minimas!$G$15:$L$29,5),IF(AND(H175&gt;2001,H175&lt;2004),VLOOKUP(K175,[3]Minimas!$G$15:$L$29,4),IF(AND(H175&gt;2003,H175&lt;2006),VLOOKUP(K175,[3]Minimas!$G$15:$L$29,3),VLOOKUP(K175,[3]Minimas!$G$15:$L$29,2)))))))</f>
        <v>SE M81</v>
      </c>
      <c r="W175" s="361">
        <f t="shared" si="55"/>
        <v>227.26395665340814</v>
      </c>
      <c r="X175" s="257">
        <v>43610</v>
      </c>
      <c r="Y175" s="261" t="s">
        <v>892</v>
      </c>
      <c r="Z175" s="261" t="s">
        <v>829</v>
      </c>
      <c r="AA175" s="232"/>
      <c r="AB175" s="230">
        <f>T175-HLOOKUP(V175,[3]Minimas!$C$3:$CD$12,2,FALSE)</f>
        <v>33</v>
      </c>
      <c r="AC175" s="230">
        <f>T175-HLOOKUP(V175,[3]Minimas!$C$3:$CD$12,3,FALSE)</f>
        <v>8</v>
      </c>
      <c r="AD175" s="230">
        <f>T175-HLOOKUP(V175,[3]Minimas!$C$3:$CD$12,4,FALSE)</f>
        <v>-17</v>
      </c>
      <c r="AE175" s="230">
        <f>T175-HLOOKUP(V175,[3]Minimas!$C$3:$CD$12,5,FALSE)</f>
        <v>-42</v>
      </c>
      <c r="AF175" s="230">
        <f>T175-HLOOKUP(V175,[3]Minimas!$C$3:$CD$12,6,FALSE)</f>
        <v>-72</v>
      </c>
      <c r="AG175" s="230">
        <f>T175-HLOOKUP(V175,[3]Minimas!$C$3:$CD$12,7,FALSE)</f>
        <v>-97</v>
      </c>
      <c r="AH175" s="230">
        <f>T175-HLOOKUP(V175,[3]Minimas!$C$3:$CD$12,8,FALSE)</f>
        <v>-117</v>
      </c>
      <c r="AI175" s="230">
        <f>T175-HLOOKUP(V175,[3]Minimas!$C$3:$CD$12,9,FALSE)</f>
        <v>-142</v>
      </c>
      <c r="AJ175" s="230">
        <f>T175-HLOOKUP(V175,[3]Minimas!$C$3:$CD$12,10,FALSE)</f>
        <v>-157</v>
      </c>
      <c r="AK175" s="231" t="str">
        <f t="shared" si="56"/>
        <v>DPT +</v>
      </c>
      <c r="AL175" s="232"/>
      <c r="AM175" s="232" t="str">
        <f t="shared" si="57"/>
        <v>DPT +</v>
      </c>
      <c r="AN175" s="232">
        <f t="shared" si="58"/>
        <v>8</v>
      </c>
      <c r="AO175" s="232"/>
      <c r="AP175" s="485"/>
      <c r="AQ175" s="485"/>
      <c r="AR175" s="485"/>
      <c r="AS175" s="485"/>
      <c r="AT175" s="485"/>
      <c r="AU175" s="485"/>
      <c r="AV175" s="485"/>
      <c r="AW175" s="485"/>
      <c r="AX175" s="485"/>
      <c r="AY175" s="485"/>
      <c r="AZ175" s="485"/>
      <c r="BA175" s="485"/>
      <c r="BB175" s="485"/>
      <c r="BC175" s="485"/>
      <c r="BD175" s="485"/>
      <c r="BE175" s="485"/>
      <c r="BF175" s="485"/>
      <c r="BG175" s="485"/>
      <c r="BH175" s="485"/>
      <c r="BI175" s="485"/>
      <c r="BJ175" s="485"/>
      <c r="BK175" s="485"/>
      <c r="BL175" s="485"/>
      <c r="BM175" s="485"/>
      <c r="BN175" s="485"/>
      <c r="BO175" s="485"/>
      <c r="BP175" s="485"/>
      <c r="BQ175" s="485"/>
      <c r="BR175" s="485"/>
      <c r="BS175" s="485"/>
      <c r="BT175" s="485"/>
      <c r="BU175" s="485"/>
      <c r="BV175" s="485"/>
      <c r="BW175" s="485"/>
      <c r="BX175" s="485"/>
      <c r="BY175" s="485"/>
      <c r="BZ175" s="485"/>
      <c r="CA175" s="485"/>
      <c r="CB175" s="485"/>
      <c r="CC175" s="485"/>
      <c r="CD175" s="485"/>
      <c r="CE175" s="485"/>
      <c r="CF175" s="485"/>
      <c r="CG175" s="485"/>
      <c r="CH175" s="485"/>
      <c r="CI175" s="485"/>
      <c r="CJ175" s="485"/>
      <c r="CK175" s="485"/>
      <c r="CL175" s="485"/>
      <c r="CM175" s="485"/>
      <c r="CN175" s="485"/>
      <c r="CO175" s="485"/>
      <c r="CP175" s="485"/>
      <c r="CQ175" s="485"/>
      <c r="CR175" s="485"/>
      <c r="CS175" s="485"/>
      <c r="CT175" s="485"/>
      <c r="CU175" s="485"/>
      <c r="CV175" s="485"/>
      <c r="CW175" s="485"/>
      <c r="CX175" s="485"/>
      <c r="CY175" s="485"/>
      <c r="CZ175" s="485"/>
      <c r="DA175" s="485"/>
      <c r="DB175" s="485"/>
      <c r="DC175" s="485"/>
      <c r="DD175" s="485"/>
      <c r="DE175" s="485"/>
      <c r="DF175" s="485"/>
      <c r="DG175" s="485"/>
      <c r="DH175" s="485"/>
      <c r="DI175" s="485"/>
      <c r="DJ175" s="485"/>
      <c r="DK175" s="485"/>
      <c r="DL175" s="485"/>
      <c r="DM175" s="485"/>
      <c r="DN175" s="485"/>
      <c r="DO175" s="485"/>
      <c r="DP175" s="485"/>
      <c r="DQ175" s="485"/>
      <c r="DR175" s="485"/>
      <c r="DS175" s="485"/>
      <c r="DT175" s="485"/>
    </row>
    <row r="176" spans="1:124" s="5" customFormat="1" ht="30" customHeight="1" x14ac:dyDescent="0.3">
      <c r="B176" s="136" t="s">
        <v>543</v>
      </c>
      <c r="C176" s="362">
        <v>75093</v>
      </c>
      <c r="D176" s="99"/>
      <c r="E176" s="724" t="s">
        <v>40</v>
      </c>
      <c r="F176" s="302" t="s">
        <v>259</v>
      </c>
      <c r="G176" s="303" t="s">
        <v>260</v>
      </c>
      <c r="H176" s="833">
        <v>1976</v>
      </c>
      <c r="I176" s="140" t="s">
        <v>254</v>
      </c>
      <c r="J176" s="290" t="s">
        <v>44</v>
      </c>
      <c r="K176" s="294">
        <v>78.7</v>
      </c>
      <c r="L176" s="295">
        <v>73</v>
      </c>
      <c r="M176" s="301">
        <v>76</v>
      </c>
      <c r="N176" s="301">
        <v>78</v>
      </c>
      <c r="O176" s="490">
        <f t="shared" si="52"/>
        <v>78</v>
      </c>
      <c r="P176" s="783">
        <v>90</v>
      </c>
      <c r="Q176" s="458">
        <v>95</v>
      </c>
      <c r="R176" s="458">
        <v>98</v>
      </c>
      <c r="S176" s="490">
        <f t="shared" si="53"/>
        <v>98</v>
      </c>
      <c r="T176" s="502">
        <f t="shared" si="59"/>
        <v>176</v>
      </c>
      <c r="U176" s="48" t="str">
        <f t="shared" si="54"/>
        <v>DPT + 6</v>
      </c>
      <c r="V176" s="48" t="str">
        <f>IF(E176=0," ",IF(E176="H",IF(H176&lt;1999,VLOOKUP(K176,Minimas!$A$15:$F$29,6),IF(AND(H176&gt;1998,H176&lt;2002),VLOOKUP(K176,Minimas!$A$15:$F$29,5),IF(AND(H176&gt;2001,H176&lt;2004),VLOOKUP(K176,Minimas!$A$15:$F$29,4),IF(AND(H176&gt;2003,H176&lt;2006),VLOOKUP(K176,Minimas!$A$15:$F$29,3),VLOOKUP(K176,Minimas!$A$15:$F$29,2))))),IF(H176&lt;1999,VLOOKUP(K176,Minimas!$G$15:$L$29,6),IF(AND(H176&gt;1998,H176&lt;2002),VLOOKUP(K176,Minimas!$G$15:$L$29,5),IF(AND(H176&gt;2001,H176&lt;2004),VLOOKUP(K176,Minimas!$G$15:$L$29,4),IF(AND(H176&gt;2003,H176&lt;2006),VLOOKUP(K176,Minimas!$G$15:$L$29,3),VLOOKUP(K176,Minimas!$G$15:$L$29,2)))))))</f>
        <v>SE M81</v>
      </c>
      <c r="W176" s="49">
        <f t="shared" si="55"/>
        <v>217.1425399089751</v>
      </c>
      <c r="X176" s="184">
        <v>43386</v>
      </c>
      <c r="Y176" s="284" t="s">
        <v>505</v>
      </c>
      <c r="Z176" s="284" t="s">
        <v>504</v>
      </c>
      <c r="AA176" s="232"/>
      <c r="AB176" s="230">
        <f>T176-HLOOKUP(V176,Minimas!$C$3:$CD$12,2,FALSE)</f>
        <v>31</v>
      </c>
      <c r="AC176" s="230">
        <f>T176-HLOOKUP(V176,Minimas!$C$3:$CD$12,3,FALSE)</f>
        <v>6</v>
      </c>
      <c r="AD176" s="230">
        <f>T176-HLOOKUP(V176,Minimas!$C$3:$CD$12,4,FALSE)</f>
        <v>-19</v>
      </c>
      <c r="AE176" s="230">
        <f>T176-HLOOKUP(V176,Minimas!$C$3:$CD$12,5,FALSE)</f>
        <v>-44</v>
      </c>
      <c r="AF176" s="230">
        <f>T176-HLOOKUP(V176,Minimas!$C$3:$CD$12,6,FALSE)</f>
        <v>-74</v>
      </c>
      <c r="AG176" s="230">
        <f>T176-HLOOKUP(V176,Minimas!$C$3:$CD$12,7,FALSE)</f>
        <v>-99</v>
      </c>
      <c r="AH176" s="230">
        <f>T176-HLOOKUP(V176,Minimas!$C$3:$CD$12,8,FALSE)</f>
        <v>-119</v>
      </c>
      <c r="AI176" s="230">
        <f>T176-HLOOKUP(V176,Minimas!$C$3:$CD$12,9,FALSE)</f>
        <v>-144</v>
      </c>
      <c r="AJ176" s="230">
        <f>T176-HLOOKUP(V176,Minimas!$C$3:$CD$12,10,FALSE)</f>
        <v>-159</v>
      </c>
      <c r="AK176" s="231" t="str">
        <f t="shared" si="56"/>
        <v>DPT +</v>
      </c>
      <c r="AL176" s="232"/>
      <c r="AM176" s="232" t="str">
        <f t="shared" si="57"/>
        <v>DPT +</v>
      </c>
      <c r="AN176" s="232">
        <f t="shared" si="58"/>
        <v>6</v>
      </c>
      <c r="AO176" s="232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  <c r="BA176" s="38"/>
      <c r="BB176" s="38"/>
      <c r="BC176" s="38"/>
      <c r="BD176" s="38"/>
      <c r="BE176" s="38"/>
      <c r="BF176" s="38"/>
      <c r="BG176" s="38"/>
      <c r="BH176" s="38"/>
      <c r="BI176" s="38"/>
      <c r="BJ176" s="38"/>
      <c r="BK176" s="38"/>
      <c r="BL176" s="38"/>
      <c r="BM176" s="38"/>
      <c r="BN176" s="38"/>
      <c r="BO176" s="38"/>
      <c r="BP176" s="38"/>
      <c r="BQ176" s="38"/>
      <c r="BR176" s="38"/>
      <c r="BS176" s="38"/>
      <c r="BT176" s="38"/>
      <c r="BU176" s="38"/>
      <c r="BV176" s="38"/>
      <c r="BW176" s="38"/>
      <c r="BX176" s="38"/>
      <c r="BY176" s="38"/>
      <c r="BZ176" s="38"/>
      <c r="CA176" s="38"/>
      <c r="CB176" s="38"/>
      <c r="CC176" s="38"/>
      <c r="CD176" s="38"/>
      <c r="CE176" s="38"/>
      <c r="CF176" s="38"/>
      <c r="CG176" s="38"/>
      <c r="CH176" s="38"/>
      <c r="CI176" s="38"/>
      <c r="CJ176" s="38"/>
      <c r="CK176" s="38"/>
      <c r="CL176" s="38"/>
      <c r="CM176" s="38"/>
      <c r="CN176" s="38"/>
      <c r="CO176" s="38"/>
      <c r="CP176" s="38"/>
      <c r="CQ176" s="38"/>
      <c r="CR176" s="38"/>
      <c r="CS176" s="38"/>
      <c r="CT176" s="38"/>
      <c r="CU176" s="38"/>
      <c r="CV176" s="38"/>
      <c r="CW176" s="38"/>
      <c r="CX176" s="38"/>
      <c r="CY176" s="38"/>
      <c r="CZ176" s="38"/>
      <c r="DA176" s="38"/>
      <c r="DB176" s="38"/>
      <c r="DC176" s="38"/>
      <c r="DD176" s="38"/>
      <c r="DE176" s="38"/>
      <c r="DF176" s="38"/>
      <c r="DG176" s="38"/>
      <c r="DH176" s="38"/>
      <c r="DI176" s="38"/>
      <c r="DJ176" s="38"/>
      <c r="DK176" s="38"/>
      <c r="DL176" s="38"/>
      <c r="DM176" s="38"/>
      <c r="DN176" s="38"/>
      <c r="DO176" s="38"/>
      <c r="DP176" s="38"/>
      <c r="DQ176" s="38"/>
      <c r="DR176" s="38"/>
      <c r="DS176" s="38"/>
      <c r="DT176" s="38"/>
    </row>
    <row r="177" spans="1:124" s="5" customFormat="1" ht="30" customHeight="1" x14ac:dyDescent="0.25">
      <c r="B177" s="136" t="s">
        <v>543</v>
      </c>
      <c r="C177" s="525">
        <v>420471</v>
      </c>
      <c r="D177" s="265"/>
      <c r="E177" s="406" t="s">
        <v>40</v>
      </c>
      <c r="F177" s="423" t="s">
        <v>618</v>
      </c>
      <c r="G177" s="415" t="s">
        <v>346</v>
      </c>
      <c r="H177" s="424">
        <v>1979</v>
      </c>
      <c r="I177" s="127" t="s">
        <v>587</v>
      </c>
      <c r="J177" s="576"/>
      <c r="K177" s="585">
        <v>77</v>
      </c>
      <c r="L177" s="788">
        <v>-70</v>
      </c>
      <c r="M177" s="457">
        <v>70</v>
      </c>
      <c r="N177" s="457">
        <v>75</v>
      </c>
      <c r="O177" s="490">
        <f t="shared" si="52"/>
        <v>75</v>
      </c>
      <c r="P177" s="456">
        <v>90</v>
      </c>
      <c r="Q177" s="457">
        <v>95</v>
      </c>
      <c r="R177" s="457">
        <v>100</v>
      </c>
      <c r="S177" s="490">
        <f t="shared" si="53"/>
        <v>100</v>
      </c>
      <c r="T177" s="502">
        <f t="shared" si="59"/>
        <v>175</v>
      </c>
      <c r="U177" s="48" t="str">
        <f t="shared" si="54"/>
        <v>DPT + 5</v>
      </c>
      <c r="V177" s="48" t="str">
        <f>IF(E177=0," ",IF(E177="H",IF(H177&lt;1999,VLOOKUP(K177,Minimas!$A$15:$F$29,6),IF(AND(H177&gt;1998,H177&lt;2002),VLOOKUP(K177,Minimas!$A$15:$F$29,5),IF(AND(H177&gt;2001,H177&lt;2004),VLOOKUP(K177,Minimas!$A$15:$F$29,4),IF(AND(H177&gt;2003,H177&lt;2006),VLOOKUP(K177,Minimas!$A$15:$F$29,3),VLOOKUP(K177,Minimas!$A$15:$F$29,2))))),IF(H177&lt;1999,VLOOKUP(K177,Minimas!$G$15:$L$29,6),IF(AND(H177&gt;1998,H177&lt;2002),VLOOKUP(K177,Minimas!$G$15:$L$29,5),IF(AND(H177&gt;2001,H177&lt;2004),VLOOKUP(K177,Minimas!$G$15:$L$29,4),IF(AND(H177&gt;2003,H177&lt;2006),VLOOKUP(K177,Minimas!$G$15:$L$29,3),VLOOKUP(K177,Minimas!$G$15:$L$29,2)))))))</f>
        <v>SE M81</v>
      </c>
      <c r="W177" s="49">
        <f t="shared" si="55"/>
        <v>218.42684611345922</v>
      </c>
      <c r="X177" s="257">
        <v>43484</v>
      </c>
      <c r="Y177" s="261" t="s">
        <v>630</v>
      </c>
      <c r="Z177" s="261" t="s">
        <v>581</v>
      </c>
      <c r="AA177" s="232"/>
      <c r="AB177" s="230">
        <f>T177-HLOOKUP(V177,Minimas!$C$3:$CD$12,2,FALSE)</f>
        <v>30</v>
      </c>
      <c r="AC177" s="230">
        <f>T177-HLOOKUP(V177,Minimas!$C$3:$CD$12,3,FALSE)</f>
        <v>5</v>
      </c>
      <c r="AD177" s="230">
        <f>T177-HLOOKUP(V177,Minimas!$C$3:$CD$12,4,FALSE)</f>
        <v>-20</v>
      </c>
      <c r="AE177" s="230">
        <f>T177-HLOOKUP(V177,Minimas!$C$3:$CD$12,5,FALSE)</f>
        <v>-45</v>
      </c>
      <c r="AF177" s="230">
        <f>T177-HLOOKUP(V177,Minimas!$C$3:$CD$12,6,FALSE)</f>
        <v>-75</v>
      </c>
      <c r="AG177" s="230">
        <f>T177-HLOOKUP(V177,Minimas!$C$3:$CD$12,7,FALSE)</f>
        <v>-100</v>
      </c>
      <c r="AH177" s="230">
        <f>T177-HLOOKUP(V177,Minimas!$C$3:$CD$12,8,FALSE)</f>
        <v>-120</v>
      </c>
      <c r="AI177" s="230">
        <f>T177-HLOOKUP(V177,Minimas!$C$3:$CD$12,9,FALSE)</f>
        <v>-145</v>
      </c>
      <c r="AJ177" s="230">
        <f>T177-HLOOKUP(V177,Minimas!$C$3:$CD$12,10,FALSE)</f>
        <v>-160</v>
      </c>
      <c r="AK177" s="231" t="str">
        <f t="shared" si="56"/>
        <v>DPT +</v>
      </c>
      <c r="AL177" s="232"/>
      <c r="AM177" s="232" t="str">
        <f t="shared" si="57"/>
        <v>DPT +</v>
      </c>
      <c r="AN177" s="232">
        <f t="shared" si="58"/>
        <v>5</v>
      </c>
      <c r="AO177" s="232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  <c r="BA177" s="38"/>
      <c r="BB177" s="38"/>
      <c r="BC177" s="38"/>
      <c r="BD177" s="38"/>
      <c r="BE177" s="38"/>
      <c r="BF177" s="38"/>
      <c r="BG177" s="38"/>
      <c r="BH177" s="38"/>
      <c r="BI177" s="38"/>
      <c r="BJ177" s="38"/>
      <c r="BK177" s="38"/>
      <c r="BL177" s="38"/>
      <c r="BM177" s="38"/>
      <c r="BN177" s="38"/>
      <c r="BO177" s="38"/>
      <c r="BP177" s="38"/>
      <c r="BQ177" s="38"/>
      <c r="BR177" s="38"/>
      <c r="BS177" s="38"/>
      <c r="BT177" s="38"/>
      <c r="BU177" s="38"/>
      <c r="BV177" s="38"/>
      <c r="BW177" s="38"/>
      <c r="BX177" s="38"/>
      <c r="BY177" s="38"/>
      <c r="BZ177" s="38"/>
      <c r="CA177" s="38"/>
      <c r="CB177" s="38"/>
      <c r="CC177" s="38"/>
      <c r="CD177" s="38"/>
      <c r="CE177" s="38"/>
      <c r="CF177" s="38"/>
      <c r="CG177" s="38"/>
      <c r="CH177" s="38"/>
      <c r="CI177" s="38"/>
      <c r="CJ177" s="38"/>
      <c r="CK177" s="38"/>
      <c r="CL177" s="38"/>
      <c r="CM177" s="38"/>
      <c r="CN177" s="38"/>
      <c r="CO177" s="38"/>
      <c r="CP177" s="38"/>
      <c r="CQ177" s="38"/>
      <c r="CR177" s="38"/>
      <c r="CS177" s="38"/>
      <c r="CT177" s="38"/>
      <c r="CU177" s="38"/>
      <c r="CV177" s="38"/>
      <c r="CW177" s="38"/>
      <c r="CX177" s="38"/>
      <c r="CY177" s="38"/>
      <c r="CZ177" s="38"/>
      <c r="DA177" s="38"/>
      <c r="DB177" s="38"/>
      <c r="DC177" s="38"/>
      <c r="DD177" s="38"/>
      <c r="DE177" s="38"/>
      <c r="DF177" s="38"/>
      <c r="DG177" s="38"/>
      <c r="DH177" s="38"/>
      <c r="DI177" s="38"/>
      <c r="DJ177" s="38"/>
      <c r="DK177" s="38"/>
      <c r="DL177" s="38"/>
      <c r="DM177" s="38"/>
      <c r="DN177" s="38"/>
      <c r="DO177" s="38"/>
      <c r="DP177" s="38"/>
      <c r="DQ177" s="38"/>
      <c r="DR177" s="38"/>
      <c r="DS177" s="38"/>
      <c r="DT177" s="38"/>
    </row>
    <row r="178" spans="1:124" s="5" customFormat="1" ht="30" customHeight="1" x14ac:dyDescent="0.3">
      <c r="B178" s="515" t="s">
        <v>543</v>
      </c>
      <c r="C178" s="527"/>
      <c r="D178" s="712"/>
      <c r="E178" s="534" t="s">
        <v>40</v>
      </c>
      <c r="F178" s="486" t="s">
        <v>286</v>
      </c>
      <c r="G178" s="487" t="s">
        <v>287</v>
      </c>
      <c r="H178" s="492">
        <v>1995</v>
      </c>
      <c r="I178" s="528" t="s">
        <v>155</v>
      </c>
      <c r="J178" s="493" t="s">
        <v>41</v>
      </c>
      <c r="K178" s="297">
        <v>81</v>
      </c>
      <c r="L178" s="300">
        <v>80</v>
      </c>
      <c r="M178" s="449">
        <v>-83</v>
      </c>
      <c r="N178" s="449">
        <v>-85</v>
      </c>
      <c r="O178" s="490">
        <f t="shared" si="52"/>
        <v>80</v>
      </c>
      <c r="P178" s="783">
        <v>85</v>
      </c>
      <c r="Q178" s="458">
        <v>90</v>
      </c>
      <c r="R178" s="458">
        <v>93</v>
      </c>
      <c r="S178" s="490">
        <f t="shared" si="53"/>
        <v>93</v>
      </c>
      <c r="T178" s="489">
        <f t="shared" si="59"/>
        <v>173</v>
      </c>
      <c r="U178" s="48" t="str">
        <f t="shared" si="54"/>
        <v>DPT + 3</v>
      </c>
      <c r="V178" s="48" t="str">
        <f>IF(E178=0," ",IF(E178="H",IF(H178&lt;1999,VLOOKUP(K178,Minimas!$A$15:$F$29,6),IF(AND(H178&gt;1998,H178&lt;2002),VLOOKUP(K178,Minimas!$A$15:$F$29,5),IF(AND(H178&gt;2001,H178&lt;2004),VLOOKUP(K178,Minimas!$A$15:$F$29,4),IF(AND(H178&gt;2003,H178&lt;2006),VLOOKUP(K178,Minimas!$A$15:$F$29,3),VLOOKUP(K178,Minimas!$A$15:$F$29,2))))),IF(H178&lt;1999,VLOOKUP(K178,Minimas!$G$15:$L$29,6),IF(AND(H178&gt;1998,H178&lt;2002),VLOOKUP(K178,Minimas!$G$15:$L$29,5),IF(AND(H178&gt;2001,H178&lt;2004),VLOOKUP(K178,Minimas!$G$15:$L$29,4),IF(AND(H178&gt;2003,H178&lt;2006),VLOOKUP(K178,Minimas!$G$15:$L$29,3),VLOOKUP(K178,Minimas!$G$15:$L$29,2)))))))</f>
        <v>SE M81</v>
      </c>
      <c r="W178" s="49">
        <f t="shared" si="55"/>
        <v>210.30164353120307</v>
      </c>
      <c r="X178" s="184">
        <v>43401</v>
      </c>
      <c r="Y178" s="284" t="s">
        <v>505</v>
      </c>
      <c r="Z178" s="284" t="s">
        <v>506</v>
      </c>
      <c r="AA178" s="232"/>
      <c r="AB178" s="230">
        <f>T178-HLOOKUP(V178,Minimas!$C$3:$CD$12,2,FALSE)</f>
        <v>28</v>
      </c>
      <c r="AC178" s="230">
        <f>T178-HLOOKUP(V178,Minimas!$C$3:$CD$12,3,FALSE)</f>
        <v>3</v>
      </c>
      <c r="AD178" s="230">
        <f>T178-HLOOKUP(V178,Minimas!$C$3:$CD$12,4,FALSE)</f>
        <v>-22</v>
      </c>
      <c r="AE178" s="230">
        <f>T178-HLOOKUP(V178,Minimas!$C$3:$CD$12,5,FALSE)</f>
        <v>-47</v>
      </c>
      <c r="AF178" s="230">
        <f>T178-HLOOKUP(V178,Minimas!$C$3:$CD$12,6,FALSE)</f>
        <v>-77</v>
      </c>
      <c r="AG178" s="230">
        <f>T178-HLOOKUP(V178,Minimas!$C$3:$CD$12,7,FALSE)</f>
        <v>-102</v>
      </c>
      <c r="AH178" s="230">
        <f>T178-HLOOKUP(V178,Minimas!$C$3:$CD$12,8,FALSE)</f>
        <v>-122</v>
      </c>
      <c r="AI178" s="230">
        <f>T178-HLOOKUP(V178,Minimas!$C$3:$CD$12,9,FALSE)</f>
        <v>-147</v>
      </c>
      <c r="AJ178" s="230">
        <f>T178-HLOOKUP(V178,Minimas!$C$3:$CD$12,10,FALSE)</f>
        <v>-162</v>
      </c>
      <c r="AK178" s="231" t="str">
        <f t="shared" si="56"/>
        <v>DPT +</v>
      </c>
      <c r="AL178" s="232"/>
      <c r="AM178" s="232" t="str">
        <f t="shared" si="57"/>
        <v>DPT +</v>
      </c>
      <c r="AN178" s="232">
        <f t="shared" si="58"/>
        <v>3</v>
      </c>
      <c r="AO178" s="232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38"/>
      <c r="BA178" s="38"/>
      <c r="BB178" s="38"/>
      <c r="BC178" s="38"/>
      <c r="BD178" s="38"/>
      <c r="BE178" s="38"/>
      <c r="BF178" s="38"/>
      <c r="BG178" s="38"/>
      <c r="BH178" s="38"/>
      <c r="BI178" s="38"/>
      <c r="BJ178" s="38"/>
      <c r="BK178" s="38"/>
      <c r="BL178" s="38"/>
      <c r="BM178" s="38"/>
      <c r="BN178" s="38"/>
      <c r="BO178" s="38"/>
      <c r="BP178" s="38"/>
      <c r="BQ178" s="38"/>
      <c r="BR178" s="38"/>
      <c r="BS178" s="38"/>
      <c r="BT178" s="38"/>
      <c r="BU178" s="38"/>
      <c r="BV178" s="38"/>
      <c r="BW178" s="38"/>
      <c r="BX178" s="38"/>
      <c r="BY178" s="38"/>
      <c r="BZ178" s="38"/>
      <c r="CA178" s="38"/>
      <c r="CB178" s="38"/>
      <c r="CC178" s="38"/>
      <c r="CD178" s="38"/>
      <c r="CE178" s="38"/>
      <c r="CF178" s="38"/>
      <c r="CG178" s="38"/>
      <c r="CH178" s="38"/>
      <c r="CI178" s="38"/>
      <c r="CJ178" s="38"/>
      <c r="CK178" s="38"/>
      <c r="CL178" s="38"/>
      <c r="CM178" s="38"/>
      <c r="CN178" s="38"/>
      <c r="CO178" s="38"/>
      <c r="CP178" s="38"/>
      <c r="CQ178" s="38"/>
      <c r="CR178" s="38"/>
      <c r="CS178" s="38"/>
      <c r="CT178" s="38"/>
      <c r="CU178" s="38"/>
      <c r="CV178" s="38"/>
      <c r="CW178" s="38"/>
      <c r="CX178" s="38"/>
      <c r="CY178" s="38"/>
      <c r="CZ178" s="38"/>
      <c r="DA178" s="38"/>
      <c r="DB178" s="38"/>
      <c r="DC178" s="38"/>
      <c r="DD178" s="38"/>
      <c r="DE178" s="38"/>
      <c r="DF178" s="38"/>
      <c r="DG178" s="38"/>
      <c r="DH178" s="38"/>
      <c r="DI178" s="38"/>
      <c r="DJ178" s="38"/>
      <c r="DK178" s="38"/>
      <c r="DL178" s="38"/>
      <c r="DM178" s="38"/>
      <c r="DN178" s="38"/>
      <c r="DO178" s="38"/>
      <c r="DP178" s="38"/>
      <c r="DQ178" s="38"/>
      <c r="DR178" s="38"/>
      <c r="DS178" s="38"/>
      <c r="DT178" s="38"/>
    </row>
    <row r="179" spans="1:124" s="5" customFormat="1" ht="30" customHeight="1" x14ac:dyDescent="0.25">
      <c r="A179" s="1"/>
      <c r="B179" s="515" t="s">
        <v>543</v>
      </c>
      <c r="C179" s="499">
        <v>365904</v>
      </c>
      <c r="D179" s="496"/>
      <c r="E179" s="315" t="s">
        <v>40</v>
      </c>
      <c r="F179" s="486" t="s">
        <v>465</v>
      </c>
      <c r="G179" s="487" t="s">
        <v>466</v>
      </c>
      <c r="H179" s="492">
        <v>1978</v>
      </c>
      <c r="I179" s="528" t="s">
        <v>129</v>
      </c>
      <c r="J179" s="494" t="s">
        <v>44</v>
      </c>
      <c r="K179" s="488">
        <v>76.3</v>
      </c>
      <c r="L179" s="300">
        <v>70</v>
      </c>
      <c r="M179" s="301">
        <v>74</v>
      </c>
      <c r="N179" s="449">
        <v>-78</v>
      </c>
      <c r="O179" s="490">
        <f t="shared" si="52"/>
        <v>74</v>
      </c>
      <c r="P179" s="300">
        <v>90</v>
      </c>
      <c r="Q179" s="301">
        <v>95</v>
      </c>
      <c r="R179" s="301">
        <v>-100</v>
      </c>
      <c r="S179" s="490">
        <f t="shared" si="53"/>
        <v>95</v>
      </c>
      <c r="T179" s="489">
        <f>IF(E179="","",O179+S179)</f>
        <v>169</v>
      </c>
      <c r="U179" s="48" t="str">
        <f t="shared" si="54"/>
        <v>DEB 24</v>
      </c>
      <c r="V179" s="48" t="str">
        <f>IF(E179=0," ",IF(E179="H",IF(H179&lt;1999,VLOOKUP(K179,[31]Minimas!$A$15:$F$29,6),IF(AND(H179&gt;1998,H179&lt;2002),VLOOKUP(K179,[31]Minimas!$A$15:$F$29,5),IF(AND(H179&gt;2001,H179&lt;2004),VLOOKUP(K179,[31]Minimas!$A$15:$F$29,4),IF(AND(H179&gt;2003,H179&lt;2006),VLOOKUP(K179,[31]Minimas!$A$15:$F$29,3),VLOOKUP(K179,[31]Minimas!$A$15:$F$29,2))))),IF(H179&lt;1999,VLOOKUP(K179,[31]Minimas!$G$15:$L$29,6),IF(AND(H179&gt;1998,H179&lt;2002),VLOOKUP(K179,[31]Minimas!$G$15:$L$29,5),IF(AND(H179&gt;2001,H179&lt;2004),VLOOKUP(K179,[31]Minimas!$G$15:$L$29,4),IF(AND(H179&gt;2003,H179&lt;2006),VLOOKUP(K179,[31]Minimas!$G$15:$L$29,3),VLOOKUP(K179,[31]Minimas!$G$15:$L$29,2)))))))</f>
        <v>SE M81</v>
      </c>
      <c r="W179" s="49">
        <f t="shared" si="55"/>
        <v>211.98284159609605</v>
      </c>
      <c r="X179" s="257">
        <v>43540</v>
      </c>
      <c r="Y179" s="261" t="s">
        <v>714</v>
      </c>
      <c r="Z179" s="261" t="s">
        <v>704</v>
      </c>
      <c r="AA179" s="463"/>
      <c r="AB179" s="230">
        <f>T179-HLOOKUP(V179,Minimas!$C$3:$CD$12,2,FALSE)</f>
        <v>24</v>
      </c>
      <c r="AC179" s="230">
        <f>T179-HLOOKUP(V179,Minimas!$C$3:$CD$12,3,FALSE)</f>
        <v>-1</v>
      </c>
      <c r="AD179" s="230">
        <f>T179-HLOOKUP(V179,Minimas!$C$3:$CD$12,4,FALSE)</f>
        <v>-26</v>
      </c>
      <c r="AE179" s="230">
        <f>T179-HLOOKUP(V179,Minimas!$C$3:$CD$12,5,FALSE)</f>
        <v>-51</v>
      </c>
      <c r="AF179" s="230">
        <f>T179-HLOOKUP(V179,Minimas!$C$3:$CD$12,6,FALSE)</f>
        <v>-81</v>
      </c>
      <c r="AG179" s="230">
        <f>T179-HLOOKUP(V179,Minimas!$C$3:$CD$12,7,FALSE)</f>
        <v>-106</v>
      </c>
      <c r="AH179" s="230">
        <f>T179-HLOOKUP(V179,Minimas!$C$3:$CD$12,8,FALSE)</f>
        <v>-126</v>
      </c>
      <c r="AI179" s="230">
        <f>T179-HLOOKUP(V179,Minimas!$C$3:$CD$12,9,FALSE)</f>
        <v>-151</v>
      </c>
      <c r="AJ179" s="230">
        <f>T179-HLOOKUP(V179,Minimas!$C$3:$CD$12,10,FALSE)</f>
        <v>-166</v>
      </c>
      <c r="AK179" s="231" t="str">
        <f t="shared" si="56"/>
        <v>DEB</v>
      </c>
      <c r="AL179" s="232"/>
      <c r="AM179" s="232" t="str">
        <f t="shared" si="57"/>
        <v>DEB</v>
      </c>
      <c r="AN179" s="232">
        <f t="shared" si="58"/>
        <v>24</v>
      </c>
      <c r="AO179" s="463"/>
      <c r="AP179" s="34"/>
      <c r="AQ179" s="34"/>
      <c r="AR179" s="34"/>
      <c r="AS179" s="34"/>
      <c r="AT179" s="34"/>
      <c r="AU179" s="34"/>
      <c r="AV179" s="34"/>
      <c r="AW179" s="34"/>
      <c r="AX179" s="34"/>
      <c r="AY179" s="34"/>
      <c r="AZ179" s="34"/>
      <c r="BA179" s="34"/>
      <c r="BB179" s="34"/>
      <c r="BC179" s="34"/>
      <c r="BD179" s="34"/>
      <c r="BE179" s="34"/>
      <c r="BF179" s="34"/>
      <c r="BG179" s="34"/>
      <c r="BH179" s="34"/>
      <c r="BI179" s="34"/>
      <c r="BJ179" s="34"/>
      <c r="BK179" s="34"/>
      <c r="BL179" s="34"/>
      <c r="BM179" s="34"/>
      <c r="BN179" s="34"/>
      <c r="BO179" s="34"/>
      <c r="BP179" s="34"/>
      <c r="BQ179" s="34"/>
      <c r="BR179" s="34"/>
      <c r="BS179" s="34"/>
      <c r="BT179" s="34"/>
      <c r="BU179" s="34"/>
      <c r="BV179" s="34"/>
      <c r="BW179" s="34"/>
      <c r="BX179" s="34"/>
      <c r="BY179" s="34"/>
      <c r="BZ179" s="34"/>
      <c r="CA179" s="34"/>
      <c r="CB179" s="34"/>
      <c r="CC179" s="34"/>
      <c r="CD179" s="34"/>
      <c r="CE179" s="34"/>
      <c r="CF179" s="34"/>
      <c r="CG179" s="34"/>
      <c r="CH179" s="34"/>
      <c r="CI179" s="34"/>
      <c r="CJ179" s="34"/>
      <c r="CK179" s="34"/>
      <c r="CL179" s="34"/>
      <c r="CM179" s="34"/>
      <c r="CN179" s="34"/>
      <c r="CO179" s="34"/>
      <c r="CP179" s="34"/>
      <c r="CQ179" s="34"/>
      <c r="CR179" s="34"/>
      <c r="CS179" s="34"/>
      <c r="CT179" s="34"/>
      <c r="CU179" s="34"/>
      <c r="CV179" s="34"/>
      <c r="CW179" s="34"/>
      <c r="CX179" s="34"/>
      <c r="CY179" s="34"/>
      <c r="CZ179" s="34"/>
      <c r="DA179" s="34"/>
      <c r="DB179" s="34"/>
      <c r="DC179" s="34"/>
      <c r="DD179" s="34"/>
      <c r="DE179" s="34"/>
      <c r="DF179" s="34"/>
      <c r="DG179" s="34"/>
      <c r="DH179" s="34"/>
      <c r="DI179" s="34"/>
      <c r="DJ179" s="34"/>
      <c r="DK179" s="34"/>
      <c r="DL179" s="34"/>
      <c r="DM179" s="34"/>
      <c r="DN179" s="34"/>
      <c r="DO179" s="34"/>
      <c r="DP179" s="34"/>
      <c r="DQ179" s="34"/>
      <c r="DR179" s="34"/>
      <c r="DS179" s="34"/>
      <c r="DT179" s="34"/>
    </row>
    <row r="180" spans="1:124" s="5" customFormat="1" ht="30" customHeight="1" x14ac:dyDescent="0.3">
      <c r="B180" s="515" t="s">
        <v>543</v>
      </c>
      <c r="C180" s="525">
        <v>418543</v>
      </c>
      <c r="D180" s="533"/>
      <c r="E180" s="399" t="s">
        <v>40</v>
      </c>
      <c r="F180" s="414" t="s">
        <v>383</v>
      </c>
      <c r="G180" s="415" t="s">
        <v>384</v>
      </c>
      <c r="H180" s="417">
        <v>1982</v>
      </c>
      <c r="I180" s="746" t="s">
        <v>329</v>
      </c>
      <c r="J180" s="379" t="s">
        <v>44</v>
      </c>
      <c r="K180" s="581">
        <v>75.5</v>
      </c>
      <c r="L180" s="590">
        <v>-70</v>
      </c>
      <c r="M180" s="457">
        <v>70</v>
      </c>
      <c r="N180" s="597">
        <v>-75</v>
      </c>
      <c r="O180" s="490">
        <f t="shared" si="52"/>
        <v>70</v>
      </c>
      <c r="P180" s="452">
        <v>90</v>
      </c>
      <c r="Q180" s="453">
        <v>95</v>
      </c>
      <c r="R180" s="597">
        <v>-100</v>
      </c>
      <c r="S180" s="490">
        <f t="shared" si="53"/>
        <v>95</v>
      </c>
      <c r="T180" s="489">
        <f>IF(E180="","",IF(OR(O180=0,S180=0),0,O180+S180))</f>
        <v>165</v>
      </c>
      <c r="U180" s="48" t="str">
        <f t="shared" si="54"/>
        <v>DEB 20</v>
      </c>
      <c r="V180" s="48" t="str">
        <f>IF(E180=0," ",IF(E180="H",IF(H180&lt;1999,VLOOKUP(K180,Minimas!$A$15:$F$29,6),IF(AND(H180&gt;1998,H180&lt;2002),VLOOKUP(K180,Minimas!$A$15:$F$29,5),IF(AND(H180&gt;2001,H180&lt;2004),VLOOKUP(K180,Minimas!$A$15:$F$29,4),IF(AND(H180&gt;2003,H180&lt;2006),VLOOKUP(K180,Minimas!$A$15:$F$29,3),VLOOKUP(K180,Minimas!$A$15:$F$29,2))))),IF(H180&lt;1999,VLOOKUP(K180,Minimas!$G$15:$L$29,6),IF(AND(H180&gt;1998,H180&lt;2002),VLOOKUP(K180,Minimas!$G$15:$L$29,5),IF(AND(H180&gt;2001,H180&lt;2004),VLOOKUP(K180,Minimas!$G$15:$L$29,4),IF(AND(H180&gt;2003,H180&lt;2006),VLOOKUP(K180,Minimas!$G$15:$L$29,3),VLOOKUP(K180,Minimas!$G$15:$L$29,2)))))))</f>
        <v>SE M81</v>
      </c>
      <c r="W180" s="49">
        <f t="shared" si="55"/>
        <v>208.16332397794196</v>
      </c>
      <c r="X180" s="184">
        <v>43401</v>
      </c>
      <c r="Y180" s="284" t="s">
        <v>507</v>
      </c>
      <c r="Z180" s="284" t="s">
        <v>506</v>
      </c>
      <c r="AA180" s="232"/>
      <c r="AB180" s="230">
        <f>T180-HLOOKUP(V180,Minimas!$C$3:$CD$12,2,FALSE)</f>
        <v>20</v>
      </c>
      <c r="AC180" s="230">
        <f>T180-HLOOKUP(V180,Minimas!$C$3:$CD$12,3,FALSE)</f>
        <v>-5</v>
      </c>
      <c r="AD180" s="230">
        <f>T180-HLOOKUP(V180,Minimas!$C$3:$CD$12,4,FALSE)</f>
        <v>-30</v>
      </c>
      <c r="AE180" s="230">
        <f>T180-HLOOKUP(V180,Minimas!$C$3:$CD$12,5,FALSE)</f>
        <v>-55</v>
      </c>
      <c r="AF180" s="230">
        <f>T180-HLOOKUP(V180,Minimas!$C$3:$CD$12,6,FALSE)</f>
        <v>-85</v>
      </c>
      <c r="AG180" s="230">
        <f>T180-HLOOKUP(V180,Minimas!$C$3:$CD$12,7,FALSE)</f>
        <v>-110</v>
      </c>
      <c r="AH180" s="230">
        <f>T180-HLOOKUP(V180,Minimas!$C$3:$CD$12,8,FALSE)</f>
        <v>-130</v>
      </c>
      <c r="AI180" s="230">
        <f>T180-HLOOKUP(V180,Minimas!$C$3:$CD$12,9,FALSE)</f>
        <v>-155</v>
      </c>
      <c r="AJ180" s="230">
        <f>T180-HLOOKUP(V180,Minimas!$C$3:$CD$12,10,FALSE)</f>
        <v>-170</v>
      </c>
      <c r="AK180" s="231" t="str">
        <f t="shared" si="56"/>
        <v>DEB</v>
      </c>
      <c r="AL180" s="232"/>
      <c r="AM180" s="232" t="str">
        <f t="shared" si="57"/>
        <v>DEB</v>
      </c>
      <c r="AN180" s="232">
        <f t="shared" si="58"/>
        <v>20</v>
      </c>
      <c r="AO180" s="232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8"/>
      <c r="BA180" s="38"/>
      <c r="BB180" s="38"/>
      <c r="BC180" s="38"/>
      <c r="BD180" s="38"/>
      <c r="BE180" s="38"/>
      <c r="BF180" s="38"/>
      <c r="BG180" s="38"/>
      <c r="BH180" s="38"/>
      <c r="BI180" s="38"/>
      <c r="BJ180" s="38"/>
      <c r="BK180" s="38"/>
      <c r="BL180" s="38"/>
      <c r="BM180" s="38"/>
      <c r="BN180" s="38"/>
      <c r="BO180" s="38"/>
      <c r="BP180" s="38"/>
      <c r="BQ180" s="38"/>
      <c r="BR180" s="38"/>
      <c r="BS180" s="38"/>
      <c r="BT180" s="38"/>
      <c r="BU180" s="38"/>
      <c r="BV180" s="38"/>
      <c r="BW180" s="38"/>
      <c r="BX180" s="38"/>
      <c r="BY180" s="38"/>
      <c r="BZ180" s="38"/>
      <c r="CA180" s="38"/>
      <c r="CB180" s="38"/>
      <c r="CC180" s="38"/>
      <c r="CD180" s="38"/>
      <c r="CE180" s="38"/>
      <c r="CF180" s="38"/>
      <c r="CG180" s="38"/>
      <c r="CH180" s="38"/>
      <c r="CI180" s="38"/>
      <c r="CJ180" s="38"/>
      <c r="CK180" s="38"/>
      <c r="CL180" s="38"/>
      <c r="CM180" s="38"/>
      <c r="CN180" s="38"/>
      <c r="CO180" s="38"/>
      <c r="CP180" s="38"/>
      <c r="CQ180" s="38"/>
      <c r="CR180" s="38"/>
      <c r="CS180" s="38"/>
      <c r="CT180" s="38"/>
      <c r="CU180" s="38"/>
      <c r="CV180" s="38"/>
      <c r="CW180" s="38"/>
      <c r="CX180" s="38"/>
      <c r="CY180" s="38"/>
      <c r="CZ180" s="38"/>
      <c r="DA180" s="38"/>
      <c r="DB180" s="38"/>
      <c r="DC180" s="38"/>
      <c r="DD180" s="38"/>
      <c r="DE180" s="38"/>
      <c r="DF180" s="38"/>
      <c r="DG180" s="38"/>
      <c r="DH180" s="38"/>
      <c r="DI180" s="38"/>
      <c r="DJ180" s="38"/>
      <c r="DK180" s="38"/>
      <c r="DL180" s="38"/>
      <c r="DM180" s="38"/>
      <c r="DN180" s="38"/>
      <c r="DO180" s="38"/>
      <c r="DP180" s="38"/>
      <c r="DQ180" s="38"/>
      <c r="DR180" s="38"/>
      <c r="DS180" s="38"/>
      <c r="DT180" s="38"/>
    </row>
    <row r="181" spans="1:124" s="5" customFormat="1" ht="30" customHeight="1" x14ac:dyDescent="0.25">
      <c r="A181" s="1"/>
      <c r="B181" s="515" t="s">
        <v>543</v>
      </c>
      <c r="C181" s="499">
        <v>442647</v>
      </c>
      <c r="D181" s="496"/>
      <c r="E181" s="323" t="s">
        <v>40</v>
      </c>
      <c r="F181" s="486" t="s">
        <v>682</v>
      </c>
      <c r="G181" s="487" t="s">
        <v>240</v>
      </c>
      <c r="H181" s="492">
        <v>1986</v>
      </c>
      <c r="I181" s="528" t="s">
        <v>139</v>
      </c>
      <c r="J181" s="493" t="s">
        <v>44</v>
      </c>
      <c r="K181" s="488">
        <v>77</v>
      </c>
      <c r="L181" s="300">
        <v>68</v>
      </c>
      <c r="M181" s="301">
        <v>70</v>
      </c>
      <c r="N181" s="301">
        <v>73</v>
      </c>
      <c r="O181" s="490">
        <f t="shared" si="52"/>
        <v>73</v>
      </c>
      <c r="P181" s="300">
        <v>83</v>
      </c>
      <c r="Q181" s="301">
        <v>86</v>
      </c>
      <c r="R181" s="301">
        <v>90</v>
      </c>
      <c r="S181" s="490">
        <f t="shared" si="53"/>
        <v>90</v>
      </c>
      <c r="T181" s="489">
        <f>IF(E181="","",O181+S181)</f>
        <v>163</v>
      </c>
      <c r="U181" s="48" t="str">
        <f t="shared" si="54"/>
        <v>DEB 18</v>
      </c>
      <c r="V181" s="48" t="str">
        <f>IF(E181=0," ",IF(E181="H",IF(H181&lt;1999,VLOOKUP(K181,[18]Minimas!$A$15:$F$29,6),IF(AND(H181&gt;1998,H181&lt;2002),VLOOKUP(K181,[18]Minimas!$A$15:$F$29,5),IF(AND(H181&gt;2001,H181&lt;2004),VLOOKUP(K181,[18]Minimas!$A$15:$F$29,4),IF(AND(H181&gt;2003,H181&lt;2006),VLOOKUP(K181,[18]Minimas!$A$15:$F$29,3),VLOOKUP(K181,[18]Minimas!$A$15:$F$29,2))))),IF(H181&lt;1999,VLOOKUP(K181,[18]Minimas!$G$15:$L$29,6),IF(AND(H181&gt;1998,H181&lt;2002),VLOOKUP(K181,[18]Minimas!$G$15:$L$29,5),IF(AND(H181&gt;2001,H181&lt;2004),VLOOKUP(K181,[18]Minimas!$G$15:$L$29,4),IF(AND(H181&gt;2003,H181&lt;2006),VLOOKUP(K181,[18]Minimas!$G$15:$L$29,3),VLOOKUP(K181,[18]Minimas!$G$15:$L$29,2)))))))</f>
        <v>SE M81</v>
      </c>
      <c r="W181" s="49">
        <f t="shared" si="55"/>
        <v>203.44900523710771</v>
      </c>
      <c r="X181" s="257">
        <v>43540</v>
      </c>
      <c r="Y181" s="261" t="s">
        <v>714</v>
      </c>
      <c r="Z181" s="261" t="s">
        <v>514</v>
      </c>
      <c r="AA181" s="463"/>
      <c r="AB181" s="230">
        <f>T181-HLOOKUP(V181,Minimas!$C$3:$CD$12,2,FALSE)</f>
        <v>18</v>
      </c>
      <c r="AC181" s="230">
        <f>T181-HLOOKUP(V181,Minimas!$C$3:$CD$12,3,FALSE)</f>
        <v>-7</v>
      </c>
      <c r="AD181" s="230">
        <f>T181-HLOOKUP(V181,Minimas!$C$3:$CD$12,4,FALSE)</f>
        <v>-32</v>
      </c>
      <c r="AE181" s="230">
        <f>T181-HLOOKUP(V181,Minimas!$C$3:$CD$12,5,FALSE)</f>
        <v>-57</v>
      </c>
      <c r="AF181" s="230">
        <f>T181-HLOOKUP(V181,Minimas!$C$3:$CD$12,6,FALSE)</f>
        <v>-87</v>
      </c>
      <c r="AG181" s="230">
        <f>T181-HLOOKUP(V181,Minimas!$C$3:$CD$12,7,FALSE)</f>
        <v>-112</v>
      </c>
      <c r="AH181" s="230">
        <f>T181-HLOOKUP(V181,Minimas!$C$3:$CD$12,8,FALSE)</f>
        <v>-132</v>
      </c>
      <c r="AI181" s="230">
        <f>T181-HLOOKUP(V181,Minimas!$C$3:$CD$12,9,FALSE)</f>
        <v>-157</v>
      </c>
      <c r="AJ181" s="230">
        <f>T181-HLOOKUP(V181,Minimas!$C$3:$CD$12,10,FALSE)</f>
        <v>-172</v>
      </c>
      <c r="AK181" s="231" t="str">
        <f t="shared" si="56"/>
        <v>DEB</v>
      </c>
      <c r="AL181" s="232"/>
      <c r="AM181" s="232" t="str">
        <f t="shared" si="57"/>
        <v>DEB</v>
      </c>
      <c r="AN181" s="232">
        <f t="shared" si="58"/>
        <v>18</v>
      </c>
      <c r="AO181" s="463"/>
      <c r="AP181" s="34"/>
      <c r="AQ181" s="34"/>
      <c r="AR181" s="34"/>
      <c r="AS181" s="34"/>
      <c r="AT181" s="34"/>
      <c r="AU181" s="34"/>
      <c r="AV181" s="34"/>
      <c r="AW181" s="34"/>
      <c r="AX181" s="34"/>
      <c r="AY181" s="34"/>
      <c r="AZ181" s="34"/>
      <c r="BA181" s="34"/>
      <c r="BB181" s="34"/>
      <c r="BC181" s="34"/>
      <c r="BD181" s="34"/>
      <c r="BE181" s="34"/>
      <c r="BF181" s="34"/>
      <c r="BG181" s="34"/>
      <c r="BH181" s="34"/>
      <c r="BI181" s="34"/>
      <c r="BJ181" s="34"/>
      <c r="BK181" s="34"/>
      <c r="BL181" s="34"/>
      <c r="BM181" s="34"/>
      <c r="BN181" s="34"/>
      <c r="BO181" s="34"/>
      <c r="BP181" s="34"/>
      <c r="BQ181" s="34"/>
      <c r="BR181" s="34"/>
      <c r="BS181" s="34"/>
      <c r="BT181" s="34"/>
      <c r="BU181" s="34"/>
      <c r="BV181" s="34"/>
      <c r="BW181" s="34"/>
      <c r="BX181" s="34"/>
      <c r="BY181" s="34"/>
      <c r="BZ181" s="34"/>
      <c r="CA181" s="34"/>
      <c r="CB181" s="34"/>
      <c r="CC181" s="34"/>
      <c r="CD181" s="34"/>
      <c r="CE181" s="34"/>
      <c r="CF181" s="34"/>
      <c r="CG181" s="34"/>
      <c r="CH181" s="34"/>
      <c r="CI181" s="34"/>
      <c r="CJ181" s="34"/>
      <c r="CK181" s="34"/>
      <c r="CL181" s="34"/>
      <c r="CM181" s="34"/>
      <c r="CN181" s="34"/>
      <c r="CO181" s="34"/>
      <c r="CP181" s="34"/>
      <c r="CQ181" s="34"/>
      <c r="CR181" s="34"/>
      <c r="CS181" s="34"/>
      <c r="CT181" s="34"/>
      <c r="CU181" s="34"/>
      <c r="CV181" s="34"/>
      <c r="CW181" s="34"/>
      <c r="CX181" s="34"/>
      <c r="CY181" s="34"/>
      <c r="CZ181" s="34"/>
      <c r="DA181" s="34"/>
      <c r="DB181" s="34"/>
      <c r="DC181" s="34"/>
      <c r="DD181" s="34"/>
      <c r="DE181" s="34"/>
      <c r="DF181" s="34"/>
      <c r="DG181" s="34"/>
      <c r="DH181" s="34"/>
      <c r="DI181" s="34"/>
      <c r="DJ181" s="34"/>
      <c r="DK181" s="34"/>
      <c r="DL181" s="34"/>
      <c r="DM181" s="34"/>
      <c r="DN181" s="34"/>
      <c r="DO181" s="34"/>
      <c r="DP181" s="34"/>
      <c r="DQ181" s="34"/>
      <c r="DR181" s="34"/>
      <c r="DS181" s="34"/>
      <c r="DT181" s="34"/>
    </row>
    <row r="182" spans="1:124" s="5" customFormat="1" ht="30" customHeight="1" x14ac:dyDescent="0.25">
      <c r="A182" s="484"/>
      <c r="B182" s="495" t="s">
        <v>543</v>
      </c>
      <c r="C182" s="499">
        <v>449984</v>
      </c>
      <c r="D182" s="496"/>
      <c r="E182" s="323" t="s">
        <v>40</v>
      </c>
      <c r="F182" s="328" t="s">
        <v>801</v>
      </c>
      <c r="G182" s="487" t="s">
        <v>802</v>
      </c>
      <c r="H182" s="329">
        <v>1990</v>
      </c>
      <c r="I182" s="330" t="s">
        <v>440</v>
      </c>
      <c r="J182" s="331" t="s">
        <v>44</v>
      </c>
      <c r="K182" s="488">
        <v>78</v>
      </c>
      <c r="L182" s="300">
        <v>73</v>
      </c>
      <c r="M182" s="449">
        <v>-76</v>
      </c>
      <c r="N182" s="301">
        <v>76</v>
      </c>
      <c r="O182" s="490">
        <f t="shared" si="52"/>
        <v>76</v>
      </c>
      <c r="P182" s="300">
        <v>80</v>
      </c>
      <c r="Q182" s="301">
        <v>85</v>
      </c>
      <c r="R182" s="449">
        <v>-88</v>
      </c>
      <c r="S182" s="490">
        <f t="shared" si="53"/>
        <v>85</v>
      </c>
      <c r="T182" s="489">
        <f>IF(E182="","",IF(OR(O182=0,S182=0),0,O182+S182))</f>
        <v>161</v>
      </c>
      <c r="U182" s="48" t="str">
        <f t="shared" si="54"/>
        <v>DEB 16</v>
      </c>
      <c r="V182" s="48" t="str">
        <f>IF(E182=0," ",IF(E182="H",IF(H182&lt;1999,VLOOKUP(K182,[5]Minimas!$A$15:$F$29,6),IF(AND(H182&gt;1998,H182&lt;2002),VLOOKUP(K182,[5]Minimas!$A$15:$F$29,5),IF(AND(H182&gt;2001,H182&lt;2004),VLOOKUP(K182,[5]Minimas!$A$15:$F$29,4),IF(AND(H182&gt;2003,H182&lt;2006),VLOOKUP(K182,[5]Minimas!$A$15:$F$29,3),VLOOKUP(K182,[5]Minimas!$A$15:$F$29,2))))),IF(H182&lt;1999,VLOOKUP(K182,[5]Minimas!$G$15:$L$29,6),IF(AND(H182&gt;1998,H182&lt;2002),VLOOKUP(K182,[5]Minimas!$G$15:$L$29,5),IF(AND(H182&gt;2001,H182&lt;2004),VLOOKUP(K182,[5]Minimas!$G$15:$L$29,4),IF(AND(H182&gt;2003,H182&lt;2006),VLOOKUP(K182,[5]Minimas!$G$15:$L$29,3),VLOOKUP(K182,[5]Minimas!$G$15:$L$29,2)))))))</f>
        <v>SE M81</v>
      </c>
      <c r="W182" s="49">
        <f t="shared" si="55"/>
        <v>199.57309980890892</v>
      </c>
      <c r="X182" s="257">
        <v>43555</v>
      </c>
      <c r="Y182" s="261" t="s">
        <v>805</v>
      </c>
      <c r="Z182" s="261" t="s">
        <v>806</v>
      </c>
      <c r="AA182" s="232"/>
      <c r="AB182" s="230">
        <f>T182-HLOOKUP(V182,[5]Minimas!$C$3:$CD$12,2,FALSE)</f>
        <v>16</v>
      </c>
      <c r="AC182" s="230">
        <f>T182-HLOOKUP(V182,[5]Minimas!$C$3:$CD$12,3,FALSE)</f>
        <v>-9</v>
      </c>
      <c r="AD182" s="230">
        <f>T182-HLOOKUP(V182,[5]Minimas!$C$3:$CD$12,4,FALSE)</f>
        <v>-34</v>
      </c>
      <c r="AE182" s="230">
        <f>T182-HLOOKUP(V182,[5]Minimas!$C$3:$CD$12,5,FALSE)</f>
        <v>-59</v>
      </c>
      <c r="AF182" s="230">
        <f>T182-HLOOKUP(V182,[5]Minimas!$C$3:$CD$12,6,FALSE)</f>
        <v>-89</v>
      </c>
      <c r="AG182" s="230">
        <f>T182-HLOOKUP(V182,[5]Minimas!$C$3:$CD$12,7,FALSE)</f>
        <v>-114</v>
      </c>
      <c r="AH182" s="230">
        <f>T182-HLOOKUP(V182,[5]Minimas!$C$3:$CD$12,8,FALSE)</f>
        <v>-134</v>
      </c>
      <c r="AI182" s="230">
        <f>T182-HLOOKUP(V182,[5]Minimas!$C$3:$CD$12,9,FALSE)</f>
        <v>-159</v>
      </c>
      <c r="AJ182" s="230">
        <f>T182-HLOOKUP(V182,[5]Minimas!$C$3:$CD$12,10,FALSE)</f>
        <v>-174</v>
      </c>
      <c r="AK182" s="231" t="str">
        <f t="shared" si="56"/>
        <v>DEB</v>
      </c>
      <c r="AL182" s="232"/>
      <c r="AM182" s="232" t="str">
        <f t="shared" si="57"/>
        <v>DEB</v>
      </c>
      <c r="AN182" s="232">
        <f t="shared" si="58"/>
        <v>16</v>
      </c>
      <c r="AO182" s="232"/>
      <c r="AP182" s="485"/>
      <c r="AQ182" s="485"/>
      <c r="AR182" s="485"/>
      <c r="AS182" s="485"/>
      <c r="AT182" s="485"/>
      <c r="AU182" s="485"/>
      <c r="AV182" s="485"/>
      <c r="AW182" s="485"/>
      <c r="AX182" s="485"/>
      <c r="AY182" s="485"/>
      <c r="AZ182" s="485"/>
      <c r="BA182" s="485"/>
      <c r="BB182" s="485"/>
      <c r="BC182" s="485"/>
      <c r="BD182" s="485"/>
      <c r="BE182" s="485"/>
      <c r="BF182" s="485"/>
      <c r="BG182" s="485"/>
      <c r="BH182" s="485"/>
      <c r="BI182" s="485"/>
      <c r="BJ182" s="485"/>
      <c r="BK182" s="485"/>
      <c r="BL182" s="485"/>
      <c r="BM182" s="485"/>
      <c r="BN182" s="485"/>
      <c r="BO182" s="485"/>
      <c r="BP182" s="485"/>
      <c r="BQ182" s="485"/>
      <c r="BR182" s="485"/>
      <c r="BS182" s="485"/>
      <c r="BT182" s="485"/>
      <c r="BU182" s="485"/>
      <c r="BV182" s="485"/>
      <c r="BW182" s="485"/>
      <c r="BX182" s="485"/>
      <c r="BY182" s="485"/>
      <c r="BZ182" s="485"/>
      <c r="CA182" s="485"/>
      <c r="CB182" s="485"/>
      <c r="CC182" s="485"/>
      <c r="CD182" s="485"/>
      <c r="CE182" s="485"/>
      <c r="CF182" s="485"/>
      <c r="CG182" s="485"/>
      <c r="CH182" s="485"/>
      <c r="CI182" s="485"/>
      <c r="CJ182" s="485"/>
      <c r="CK182" s="485"/>
      <c r="CL182" s="485"/>
      <c r="CM182" s="485"/>
      <c r="CN182" s="485"/>
      <c r="CO182" s="485"/>
      <c r="CP182" s="485"/>
      <c r="CQ182" s="485"/>
      <c r="CR182" s="485"/>
      <c r="CS182" s="485"/>
      <c r="CT182" s="485"/>
      <c r="CU182" s="485"/>
      <c r="CV182" s="485"/>
      <c r="CW182" s="485"/>
      <c r="CX182" s="485"/>
      <c r="CY182" s="485"/>
      <c r="CZ182" s="485"/>
      <c r="DA182" s="485"/>
      <c r="DB182" s="485"/>
      <c r="DC182" s="485"/>
      <c r="DD182" s="485"/>
      <c r="DE182" s="485"/>
      <c r="DF182" s="485"/>
      <c r="DG182" s="485"/>
      <c r="DH182" s="485"/>
      <c r="DI182" s="485"/>
      <c r="DJ182" s="485"/>
      <c r="DK182" s="485"/>
      <c r="DL182" s="485"/>
      <c r="DM182" s="485"/>
      <c r="DN182" s="485"/>
      <c r="DO182" s="485"/>
      <c r="DP182" s="485"/>
      <c r="DQ182" s="485"/>
      <c r="DR182" s="485"/>
      <c r="DS182" s="485"/>
      <c r="DT182" s="485"/>
    </row>
    <row r="183" spans="1:124" s="5" customFormat="1" ht="30" customHeight="1" x14ac:dyDescent="0.3">
      <c r="B183" s="515" t="s">
        <v>543</v>
      </c>
      <c r="C183" s="525">
        <v>441231</v>
      </c>
      <c r="D183" s="532"/>
      <c r="E183" s="399" t="s">
        <v>40</v>
      </c>
      <c r="F183" s="414" t="s">
        <v>441</v>
      </c>
      <c r="G183" s="415" t="s">
        <v>442</v>
      </c>
      <c r="H183" s="417">
        <v>1986</v>
      </c>
      <c r="I183" s="425" t="s">
        <v>184</v>
      </c>
      <c r="J183" s="878" t="s">
        <v>44</v>
      </c>
      <c r="K183" s="581">
        <v>80.150000000000006</v>
      </c>
      <c r="L183" s="590">
        <v>-70</v>
      </c>
      <c r="M183" s="597">
        <v>-70</v>
      </c>
      <c r="N183" s="453">
        <v>70</v>
      </c>
      <c r="O183" s="490">
        <f t="shared" si="52"/>
        <v>70</v>
      </c>
      <c r="P183" s="452">
        <v>90</v>
      </c>
      <c r="Q183" s="597">
        <v>-95</v>
      </c>
      <c r="R183" s="597">
        <v>-95</v>
      </c>
      <c r="S183" s="490">
        <f t="shared" si="53"/>
        <v>90</v>
      </c>
      <c r="T183" s="489">
        <f>IF(E183="","",IF(OR(O183=0,S183=0),0,O183+S183))</f>
        <v>160</v>
      </c>
      <c r="U183" s="48" t="str">
        <f t="shared" si="54"/>
        <v>DEB 15</v>
      </c>
      <c r="V183" s="48" t="str">
        <f>IF(E183=0," ",IF(E183="H",IF(H183&lt;1999,VLOOKUP(K183,Minimas!$A$15:$F$29,6),IF(AND(H183&gt;1998,H183&lt;2002),VLOOKUP(K183,Minimas!$A$15:$F$29,5),IF(AND(H183&gt;2001,H183&lt;2004),VLOOKUP(K183,Minimas!$A$15:$F$29,4),IF(AND(H183&gt;2003,H183&lt;2006),VLOOKUP(K183,Minimas!$A$15:$F$29,3),VLOOKUP(K183,Minimas!$A$15:$F$29,2))))),IF(H183&lt;1999,VLOOKUP(K183,Minimas!$G$15:$L$29,6),IF(AND(H183&gt;1998,H183&lt;2002),VLOOKUP(K183,Minimas!$G$15:$L$29,5),IF(AND(H183&gt;2001,H183&lt;2004),VLOOKUP(K183,Minimas!$G$15:$L$29,4),IF(AND(H183&gt;2003,H183&lt;2006),VLOOKUP(K183,Minimas!$G$15:$L$29,3),VLOOKUP(K183,Minimas!$G$15:$L$29,2)))))))</f>
        <v>SE M81</v>
      </c>
      <c r="W183" s="49">
        <f t="shared" si="55"/>
        <v>195.54472006226473</v>
      </c>
      <c r="X183" s="184">
        <v>43429</v>
      </c>
      <c r="Y183" s="284" t="s">
        <v>509</v>
      </c>
      <c r="Z183" s="284" t="s">
        <v>510</v>
      </c>
      <c r="AA183" s="232"/>
      <c r="AB183" s="230">
        <f>T183-HLOOKUP(V183,Minimas!$C$3:$CD$12,2,FALSE)</f>
        <v>15</v>
      </c>
      <c r="AC183" s="230">
        <f>T183-HLOOKUP(V183,Minimas!$C$3:$CD$12,3,FALSE)</f>
        <v>-10</v>
      </c>
      <c r="AD183" s="230">
        <f>T183-HLOOKUP(V183,Minimas!$C$3:$CD$12,4,FALSE)</f>
        <v>-35</v>
      </c>
      <c r="AE183" s="230">
        <f>T183-HLOOKUP(V183,Minimas!$C$3:$CD$12,5,FALSE)</f>
        <v>-60</v>
      </c>
      <c r="AF183" s="230">
        <f>T183-HLOOKUP(V183,Minimas!$C$3:$CD$12,6,FALSE)</f>
        <v>-90</v>
      </c>
      <c r="AG183" s="230">
        <f>T183-HLOOKUP(V183,Minimas!$C$3:$CD$12,7,FALSE)</f>
        <v>-115</v>
      </c>
      <c r="AH183" s="230">
        <f>T183-HLOOKUP(V183,Minimas!$C$3:$CD$12,8,FALSE)</f>
        <v>-135</v>
      </c>
      <c r="AI183" s="230">
        <f>T183-HLOOKUP(V183,Minimas!$C$3:$CD$12,9,FALSE)</f>
        <v>-160</v>
      </c>
      <c r="AJ183" s="230">
        <f>T183-HLOOKUP(V183,Minimas!$C$3:$CD$12,10,FALSE)</f>
        <v>-175</v>
      </c>
      <c r="AK183" s="231" t="str">
        <f t="shared" si="56"/>
        <v>DEB</v>
      </c>
      <c r="AL183" s="232"/>
      <c r="AM183" s="232" t="str">
        <f t="shared" si="57"/>
        <v>DEB</v>
      </c>
      <c r="AN183" s="232">
        <f t="shared" si="58"/>
        <v>15</v>
      </c>
      <c r="AO183" s="232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  <c r="AZ183" s="38"/>
      <c r="BA183" s="38"/>
      <c r="BB183" s="38"/>
      <c r="BC183" s="38"/>
      <c r="BD183" s="38"/>
      <c r="BE183" s="38"/>
      <c r="BF183" s="38"/>
      <c r="BG183" s="38"/>
      <c r="BH183" s="38"/>
      <c r="BI183" s="38"/>
      <c r="BJ183" s="38"/>
      <c r="BK183" s="38"/>
      <c r="BL183" s="38"/>
      <c r="BM183" s="38"/>
      <c r="BN183" s="38"/>
      <c r="BO183" s="38"/>
      <c r="BP183" s="38"/>
      <c r="BQ183" s="38"/>
      <c r="BR183" s="38"/>
      <c r="BS183" s="38"/>
      <c r="BT183" s="38"/>
      <c r="BU183" s="38"/>
      <c r="BV183" s="38"/>
      <c r="BW183" s="38"/>
      <c r="BX183" s="38"/>
      <c r="BY183" s="38"/>
      <c r="BZ183" s="38"/>
      <c r="CA183" s="38"/>
      <c r="CB183" s="38"/>
      <c r="CC183" s="38"/>
      <c r="CD183" s="38"/>
      <c r="CE183" s="38"/>
      <c r="CF183" s="38"/>
      <c r="CG183" s="38"/>
      <c r="CH183" s="38"/>
      <c r="CI183" s="38"/>
      <c r="CJ183" s="38"/>
      <c r="CK183" s="38"/>
      <c r="CL183" s="38"/>
      <c r="CM183" s="38"/>
      <c r="CN183" s="38"/>
      <c r="CO183" s="38"/>
      <c r="CP183" s="38"/>
      <c r="CQ183" s="38"/>
      <c r="CR183" s="38"/>
      <c r="CS183" s="38"/>
      <c r="CT183" s="38"/>
      <c r="CU183" s="38"/>
      <c r="CV183" s="38"/>
      <c r="CW183" s="38"/>
      <c r="CX183" s="38"/>
      <c r="CY183" s="38"/>
      <c r="CZ183" s="38"/>
      <c r="DA183" s="38"/>
      <c r="DB183" s="38"/>
      <c r="DC183" s="38"/>
      <c r="DD183" s="38"/>
      <c r="DE183" s="38"/>
      <c r="DF183" s="38"/>
      <c r="DG183" s="38"/>
      <c r="DH183" s="38"/>
      <c r="DI183" s="38"/>
      <c r="DJ183" s="38"/>
      <c r="DK183" s="38"/>
      <c r="DL183" s="38"/>
      <c r="DM183" s="38"/>
      <c r="DN183" s="38"/>
      <c r="DO183" s="38"/>
      <c r="DP183" s="38"/>
      <c r="DQ183" s="38"/>
      <c r="DR183" s="38"/>
      <c r="DS183" s="38"/>
      <c r="DT183" s="38"/>
    </row>
    <row r="184" spans="1:124" s="5" customFormat="1" ht="30" customHeight="1" x14ac:dyDescent="0.25">
      <c r="B184" s="312" t="s">
        <v>543</v>
      </c>
      <c r="C184" s="499">
        <v>448058</v>
      </c>
      <c r="D184" s="313"/>
      <c r="E184" s="315" t="s">
        <v>40</v>
      </c>
      <c r="F184" s="486" t="s">
        <v>619</v>
      </c>
      <c r="G184" s="487" t="s">
        <v>687</v>
      </c>
      <c r="H184" s="492">
        <v>1992</v>
      </c>
      <c r="I184" s="528" t="s">
        <v>155</v>
      </c>
      <c r="J184" s="493" t="s">
        <v>44</v>
      </c>
      <c r="K184" s="297">
        <v>78.400000000000006</v>
      </c>
      <c r="L184" s="300">
        <v>72</v>
      </c>
      <c r="M184" s="301">
        <v>-76</v>
      </c>
      <c r="N184" s="301">
        <v>-76</v>
      </c>
      <c r="O184" s="490">
        <f t="shared" si="52"/>
        <v>72</v>
      </c>
      <c r="P184" s="300">
        <v>82</v>
      </c>
      <c r="Q184" s="301">
        <v>-86</v>
      </c>
      <c r="R184" s="301">
        <v>87</v>
      </c>
      <c r="S184" s="490">
        <f t="shared" si="53"/>
        <v>87</v>
      </c>
      <c r="T184" s="489">
        <f>IF(E184="","",IF(OR(O184=0,S184=0),0,O184+S184))</f>
        <v>159</v>
      </c>
      <c r="U184" s="48" t="str">
        <f t="shared" si="54"/>
        <v>DEB 14</v>
      </c>
      <c r="V184" s="48" t="str">
        <f>IF(E184=0," ",IF(E184="H",IF(H184&lt;1999,VLOOKUP(K184,[29]Minimas!$A$15:$F$29,6),IF(AND(H184&gt;1998,H184&lt;2002),VLOOKUP(K184,[29]Minimas!$A$15:$F$29,5),IF(AND(H184&gt;2001,H184&lt;2004),VLOOKUP(K184,[29]Minimas!$A$15:$F$29,4),IF(AND(H184&gt;2003,H184&lt;2006),VLOOKUP(K184,[29]Minimas!$A$15:$F$29,3),VLOOKUP(K184,[29]Minimas!$A$15:$F$29,2))))),IF(H184&lt;1999,VLOOKUP(K184,[29]Minimas!$G$15:$L$29,6),IF(AND(H184&gt;1998,H184&lt;2002),VLOOKUP(K184,[29]Minimas!$G$15:$L$29,5),IF(AND(H184&gt;2001,H184&lt;2004),VLOOKUP(K184,[29]Minimas!$G$15:$L$29,4),IF(AND(H184&gt;2003,H184&lt;2006),VLOOKUP(K184,[29]Minimas!$G$15:$L$29,3),VLOOKUP(K184,[29]Minimas!$G$15:$L$29,2)))))))</f>
        <v>SE M81</v>
      </c>
      <c r="W184" s="49">
        <f t="shared" si="55"/>
        <v>196.56233988118566</v>
      </c>
      <c r="X184" s="257">
        <v>43492</v>
      </c>
      <c r="Y184" s="261" t="s">
        <v>696</v>
      </c>
      <c r="Z184" s="261" t="s">
        <v>695</v>
      </c>
      <c r="AA184" s="232"/>
      <c r="AB184" s="230">
        <f>T184-HLOOKUP(V184,Minimas!$C$3:$CD$12,2,FALSE)</f>
        <v>14</v>
      </c>
      <c r="AC184" s="230">
        <f>T184-HLOOKUP(V184,Minimas!$C$3:$CD$12,3,FALSE)</f>
        <v>-11</v>
      </c>
      <c r="AD184" s="230">
        <f>T184-HLOOKUP(V184,Minimas!$C$3:$CD$12,4,FALSE)</f>
        <v>-36</v>
      </c>
      <c r="AE184" s="230">
        <f>T184-HLOOKUP(V184,Minimas!$C$3:$CD$12,5,FALSE)</f>
        <v>-61</v>
      </c>
      <c r="AF184" s="230">
        <f>T184-HLOOKUP(V184,Minimas!$C$3:$CD$12,6,FALSE)</f>
        <v>-91</v>
      </c>
      <c r="AG184" s="230">
        <f>T184-HLOOKUP(V184,Minimas!$C$3:$CD$12,7,FALSE)</f>
        <v>-116</v>
      </c>
      <c r="AH184" s="230">
        <f>T184-HLOOKUP(V184,Minimas!$C$3:$CD$12,8,FALSE)</f>
        <v>-136</v>
      </c>
      <c r="AI184" s="230">
        <f>T184-HLOOKUP(V184,Minimas!$C$3:$CD$12,9,FALSE)</f>
        <v>-161</v>
      </c>
      <c r="AJ184" s="230">
        <f>T184-HLOOKUP(V184,Minimas!$C$3:$CD$12,10,FALSE)</f>
        <v>-176</v>
      </c>
      <c r="AK184" s="231" t="str">
        <f t="shared" si="56"/>
        <v>DEB</v>
      </c>
      <c r="AL184" s="232"/>
      <c r="AM184" s="232" t="str">
        <f t="shared" si="57"/>
        <v>DEB</v>
      </c>
      <c r="AN184" s="232">
        <f t="shared" si="58"/>
        <v>14</v>
      </c>
      <c r="AO184" s="232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  <c r="BA184" s="38"/>
      <c r="BB184" s="38"/>
      <c r="BC184" s="38"/>
      <c r="BD184" s="38"/>
      <c r="BE184" s="38"/>
      <c r="BF184" s="38"/>
      <c r="BG184" s="38"/>
      <c r="BH184" s="38"/>
      <c r="BI184" s="38"/>
      <c r="BJ184" s="38"/>
      <c r="BK184" s="38"/>
      <c r="BL184" s="38"/>
      <c r="BM184" s="38"/>
      <c r="BN184" s="38"/>
      <c r="BO184" s="38"/>
      <c r="BP184" s="38"/>
      <c r="BQ184" s="38"/>
      <c r="BR184" s="38"/>
      <c r="BS184" s="38"/>
      <c r="BT184" s="38"/>
      <c r="BU184" s="38"/>
      <c r="BV184" s="38"/>
      <c r="BW184" s="38"/>
      <c r="BX184" s="38"/>
      <c r="BY184" s="38"/>
      <c r="BZ184" s="38"/>
      <c r="CA184" s="38"/>
      <c r="CB184" s="38"/>
      <c r="CC184" s="38"/>
      <c r="CD184" s="38"/>
      <c r="CE184" s="38"/>
      <c r="CF184" s="38"/>
      <c r="CG184" s="38"/>
      <c r="CH184" s="38"/>
      <c r="CI184" s="38"/>
      <c r="CJ184" s="38"/>
      <c r="CK184" s="38"/>
      <c r="CL184" s="38"/>
      <c r="CM184" s="38"/>
      <c r="CN184" s="38"/>
      <c r="CO184" s="38"/>
      <c r="CP184" s="38"/>
      <c r="CQ184" s="38"/>
      <c r="CR184" s="38"/>
      <c r="CS184" s="38"/>
      <c r="CT184" s="38"/>
      <c r="CU184" s="38"/>
      <c r="CV184" s="38"/>
      <c r="CW184" s="38"/>
      <c r="CX184" s="38"/>
      <c r="CY184" s="38"/>
      <c r="CZ184" s="38"/>
      <c r="DA184" s="38"/>
      <c r="DB184" s="38"/>
      <c r="DC184" s="38"/>
      <c r="DD184" s="38"/>
      <c r="DE184" s="38"/>
      <c r="DF184" s="38"/>
      <c r="DG184" s="38"/>
      <c r="DH184" s="38"/>
      <c r="DI184" s="38"/>
      <c r="DJ184" s="38"/>
      <c r="DK184" s="38"/>
      <c r="DL184" s="38"/>
      <c r="DM184" s="38"/>
      <c r="DN184" s="38"/>
      <c r="DO184" s="38"/>
      <c r="DP184" s="38"/>
      <c r="DQ184" s="38"/>
      <c r="DR184" s="38"/>
      <c r="DS184" s="38"/>
      <c r="DT184" s="38"/>
    </row>
    <row r="185" spans="1:124" s="5" customFormat="1" ht="30" customHeight="1" x14ac:dyDescent="0.25">
      <c r="A185" s="1"/>
      <c r="B185" s="515" t="s">
        <v>543</v>
      </c>
      <c r="C185" s="499">
        <v>445969</v>
      </c>
      <c r="D185" s="496"/>
      <c r="E185" s="315" t="s">
        <v>40</v>
      </c>
      <c r="F185" s="486" t="s">
        <v>753</v>
      </c>
      <c r="G185" s="487" t="s">
        <v>461</v>
      </c>
      <c r="H185" s="492">
        <v>1996</v>
      </c>
      <c r="I185" s="528" t="s">
        <v>129</v>
      </c>
      <c r="J185" s="493" t="s">
        <v>44</v>
      </c>
      <c r="K185" s="488">
        <v>77</v>
      </c>
      <c r="L185" s="300">
        <v>55</v>
      </c>
      <c r="M185" s="301">
        <v>60</v>
      </c>
      <c r="N185" s="301">
        <v>65</v>
      </c>
      <c r="O185" s="490">
        <f t="shared" si="52"/>
        <v>65</v>
      </c>
      <c r="P185" s="300">
        <v>70</v>
      </c>
      <c r="Q185" s="301">
        <v>80</v>
      </c>
      <c r="R185" s="301">
        <v>90</v>
      </c>
      <c r="S185" s="490">
        <f t="shared" si="53"/>
        <v>90</v>
      </c>
      <c r="T185" s="489">
        <f>IF(E185="","",O185+S185)</f>
        <v>155</v>
      </c>
      <c r="U185" s="48" t="str">
        <f t="shared" si="54"/>
        <v>DEB 10</v>
      </c>
      <c r="V185" s="48" t="str">
        <f>IF(E185=0," ",IF(E185="H",IF(H185&lt;1999,VLOOKUP(K185,[13]Minimas!$A$15:$F$29,6),IF(AND(H185&gt;1998,H185&lt;2002),VLOOKUP(K185,[13]Minimas!$A$15:$F$29,5),IF(AND(H185&gt;2001,H185&lt;2004),VLOOKUP(K185,[13]Minimas!$A$15:$F$29,4),IF(AND(H185&gt;2003,H185&lt;2006),VLOOKUP(K185,[13]Minimas!$A$15:$F$29,3),VLOOKUP(K185,[13]Minimas!$A$15:$F$29,2))))),IF(H185&lt;1999,VLOOKUP(K185,[13]Minimas!$G$15:$L$29,6),IF(AND(H185&gt;1998,H185&lt;2002),VLOOKUP(K185,[13]Minimas!$G$15:$L$29,5),IF(AND(H185&gt;2001,H185&lt;2004),VLOOKUP(K185,[13]Minimas!$G$15:$L$29,4),IF(AND(H185&gt;2003,H185&lt;2006),VLOOKUP(K185,[13]Minimas!$G$15:$L$29,3),VLOOKUP(K185,[13]Minimas!$G$15:$L$29,2)))))))</f>
        <v>SE M81</v>
      </c>
      <c r="W185" s="49">
        <f t="shared" si="55"/>
        <v>193.46377798620674</v>
      </c>
      <c r="X185" s="257">
        <v>43540</v>
      </c>
      <c r="Y185" s="261" t="s">
        <v>714</v>
      </c>
      <c r="Z185" s="261" t="s">
        <v>704</v>
      </c>
      <c r="AA185" s="463"/>
      <c r="AB185" s="230">
        <f>T185-HLOOKUP(V185,Minimas!$C$3:$CD$12,2,FALSE)</f>
        <v>10</v>
      </c>
      <c r="AC185" s="230">
        <f>T185-HLOOKUP(V185,Minimas!$C$3:$CD$12,3,FALSE)</f>
        <v>-15</v>
      </c>
      <c r="AD185" s="230">
        <f>T185-HLOOKUP(V185,Minimas!$C$3:$CD$12,4,FALSE)</f>
        <v>-40</v>
      </c>
      <c r="AE185" s="230">
        <f>T185-HLOOKUP(V185,Minimas!$C$3:$CD$12,5,FALSE)</f>
        <v>-65</v>
      </c>
      <c r="AF185" s="230">
        <f>T185-HLOOKUP(V185,Minimas!$C$3:$CD$12,6,FALSE)</f>
        <v>-95</v>
      </c>
      <c r="AG185" s="230">
        <f>T185-HLOOKUP(V185,Minimas!$C$3:$CD$12,7,FALSE)</f>
        <v>-120</v>
      </c>
      <c r="AH185" s="230">
        <f>T185-HLOOKUP(V185,Minimas!$C$3:$CD$12,8,FALSE)</f>
        <v>-140</v>
      </c>
      <c r="AI185" s="230">
        <f>T185-HLOOKUP(V185,Minimas!$C$3:$CD$12,9,FALSE)</f>
        <v>-165</v>
      </c>
      <c r="AJ185" s="230">
        <f>T185-HLOOKUP(V185,Minimas!$C$3:$CD$12,10,FALSE)</f>
        <v>-180</v>
      </c>
      <c r="AK185" s="231" t="str">
        <f t="shared" si="56"/>
        <v>DEB</v>
      </c>
      <c r="AL185" s="232"/>
      <c r="AM185" s="232" t="str">
        <f t="shared" si="57"/>
        <v>DEB</v>
      </c>
      <c r="AN185" s="232">
        <f t="shared" si="58"/>
        <v>10</v>
      </c>
      <c r="AO185" s="463"/>
      <c r="AP185" s="34"/>
      <c r="AQ185" s="34"/>
      <c r="AR185" s="34"/>
      <c r="AS185" s="34"/>
      <c r="AT185" s="34"/>
      <c r="AU185" s="34"/>
      <c r="AV185" s="34"/>
      <c r="AW185" s="34"/>
      <c r="AX185" s="34"/>
      <c r="AY185" s="34"/>
      <c r="AZ185" s="34"/>
      <c r="BA185" s="34"/>
      <c r="BB185" s="34"/>
      <c r="BC185" s="34"/>
      <c r="BD185" s="34"/>
      <c r="BE185" s="34"/>
      <c r="BF185" s="34"/>
      <c r="BG185" s="34"/>
      <c r="BH185" s="34"/>
      <c r="BI185" s="34"/>
      <c r="BJ185" s="34"/>
      <c r="BK185" s="34"/>
      <c r="BL185" s="34"/>
      <c r="BM185" s="34"/>
      <c r="BN185" s="34"/>
      <c r="BO185" s="34"/>
      <c r="BP185" s="34"/>
      <c r="BQ185" s="34"/>
      <c r="BR185" s="34"/>
      <c r="BS185" s="34"/>
      <c r="BT185" s="34"/>
      <c r="BU185" s="34"/>
      <c r="BV185" s="34"/>
      <c r="BW185" s="34"/>
      <c r="BX185" s="34"/>
      <c r="BY185" s="34"/>
      <c r="BZ185" s="34"/>
      <c r="CA185" s="34"/>
      <c r="CB185" s="34"/>
      <c r="CC185" s="34"/>
      <c r="CD185" s="34"/>
      <c r="CE185" s="34"/>
      <c r="CF185" s="34"/>
      <c r="CG185" s="34"/>
      <c r="CH185" s="34"/>
      <c r="CI185" s="34"/>
      <c r="CJ185" s="34"/>
      <c r="CK185" s="34"/>
      <c r="CL185" s="34"/>
      <c r="CM185" s="34"/>
      <c r="CN185" s="34"/>
      <c r="CO185" s="34"/>
      <c r="CP185" s="34"/>
      <c r="CQ185" s="34"/>
      <c r="CR185" s="34"/>
      <c r="CS185" s="34"/>
      <c r="CT185" s="34"/>
      <c r="CU185" s="34"/>
      <c r="CV185" s="34"/>
      <c r="CW185" s="34"/>
      <c r="CX185" s="34"/>
      <c r="CY185" s="34"/>
      <c r="CZ185" s="34"/>
      <c r="DA185" s="34"/>
      <c r="DB185" s="34"/>
      <c r="DC185" s="34"/>
      <c r="DD185" s="34"/>
      <c r="DE185" s="34"/>
      <c r="DF185" s="34"/>
      <c r="DG185" s="34"/>
      <c r="DH185" s="34"/>
      <c r="DI185" s="34"/>
      <c r="DJ185" s="34"/>
      <c r="DK185" s="34"/>
      <c r="DL185" s="34"/>
      <c r="DM185" s="34"/>
      <c r="DN185" s="34"/>
      <c r="DO185" s="34"/>
      <c r="DP185" s="34"/>
      <c r="DQ185" s="34"/>
      <c r="DR185" s="34"/>
      <c r="DS185" s="34"/>
      <c r="DT185" s="34"/>
    </row>
    <row r="186" spans="1:124" s="5" customFormat="1" ht="30" customHeight="1" x14ac:dyDescent="0.25">
      <c r="A186" s="484"/>
      <c r="B186" s="515" t="s">
        <v>543</v>
      </c>
      <c r="C186" s="525">
        <v>433302</v>
      </c>
      <c r="D186" s="539"/>
      <c r="E186" s="399" t="s">
        <v>40</v>
      </c>
      <c r="F186" s="423" t="s">
        <v>620</v>
      </c>
      <c r="G186" s="415" t="s">
        <v>621</v>
      </c>
      <c r="H186" s="380">
        <v>1970</v>
      </c>
      <c r="I186" s="425" t="s">
        <v>322</v>
      </c>
      <c r="J186" s="381"/>
      <c r="K186" s="585">
        <v>78.900000000000006</v>
      </c>
      <c r="L186" s="788">
        <v>-70</v>
      </c>
      <c r="M186" s="596">
        <v>-70</v>
      </c>
      <c r="N186" s="457">
        <v>70</v>
      </c>
      <c r="O186" s="490">
        <f t="shared" si="52"/>
        <v>70</v>
      </c>
      <c r="P186" s="788">
        <v>-85</v>
      </c>
      <c r="Q186" s="457">
        <v>85</v>
      </c>
      <c r="R186" s="596">
        <v>-90</v>
      </c>
      <c r="S186" s="490">
        <f t="shared" si="53"/>
        <v>85</v>
      </c>
      <c r="T186" s="489">
        <f>IF(E186="","",IF(OR(O186=0,S186=0),0,O186+S186))</f>
        <v>155</v>
      </c>
      <c r="U186" s="48" t="str">
        <f t="shared" si="54"/>
        <v>DEB 10</v>
      </c>
      <c r="V186" s="48" t="str">
        <f>IF(E186=0," ",IF(E186="H",IF(H186&lt;1999,VLOOKUP(K186,Minimas!$A$15:$F$29,6),IF(AND(H186&gt;1998,H186&lt;2002),VLOOKUP(K186,Minimas!$A$15:$F$29,5),IF(AND(H186&gt;2001,H186&lt;2004),VLOOKUP(K186,Minimas!$A$15:$F$29,4),IF(AND(H186&gt;2003,H186&lt;2006),VLOOKUP(K186,Minimas!$A$15:$F$29,3),VLOOKUP(K186,Minimas!$A$15:$F$29,2))))),IF(H186&lt;1999,VLOOKUP(K186,Minimas!$G$15:$L$29,6),IF(AND(H186&gt;1998,H186&lt;2002),VLOOKUP(K186,Minimas!$G$15:$L$29,5),IF(AND(H186&gt;2001,H186&lt;2004),VLOOKUP(K186,Minimas!$G$15:$L$29,4),IF(AND(H186&gt;2003,H186&lt;2006),VLOOKUP(K186,Minimas!$G$15:$L$29,3),VLOOKUP(K186,Minimas!$G$15:$L$29,2)))))))</f>
        <v>SE M81</v>
      </c>
      <c r="W186" s="49">
        <f t="shared" si="55"/>
        <v>190.97980508542443</v>
      </c>
      <c r="X186" s="257">
        <v>43484</v>
      </c>
      <c r="Y186" s="261" t="s">
        <v>630</v>
      </c>
      <c r="Z186" s="261" t="s">
        <v>581</v>
      </c>
      <c r="AA186" s="232"/>
      <c r="AB186" s="230">
        <f>T186-HLOOKUP(V186,Minimas!$C$3:$CD$12,2,FALSE)</f>
        <v>10</v>
      </c>
      <c r="AC186" s="230">
        <f>T186-HLOOKUP(V186,Minimas!$C$3:$CD$12,3,FALSE)</f>
        <v>-15</v>
      </c>
      <c r="AD186" s="230">
        <f>T186-HLOOKUP(V186,Minimas!$C$3:$CD$12,4,FALSE)</f>
        <v>-40</v>
      </c>
      <c r="AE186" s="230">
        <f>T186-HLOOKUP(V186,Minimas!$C$3:$CD$12,5,FALSE)</f>
        <v>-65</v>
      </c>
      <c r="AF186" s="230">
        <f>T186-HLOOKUP(V186,Minimas!$C$3:$CD$12,6,FALSE)</f>
        <v>-95</v>
      </c>
      <c r="AG186" s="230">
        <f>T186-HLOOKUP(V186,Minimas!$C$3:$CD$12,7,FALSE)</f>
        <v>-120</v>
      </c>
      <c r="AH186" s="230">
        <f>T186-HLOOKUP(V186,Minimas!$C$3:$CD$12,8,FALSE)</f>
        <v>-140</v>
      </c>
      <c r="AI186" s="230">
        <f>T186-HLOOKUP(V186,Minimas!$C$3:$CD$12,9,FALSE)</f>
        <v>-165</v>
      </c>
      <c r="AJ186" s="230">
        <f>T186-HLOOKUP(V186,Minimas!$C$3:$CD$12,10,FALSE)</f>
        <v>-180</v>
      </c>
      <c r="AK186" s="231" t="str">
        <f t="shared" si="56"/>
        <v>DEB</v>
      </c>
      <c r="AL186" s="232"/>
      <c r="AM186" s="232" t="str">
        <f t="shared" si="57"/>
        <v>DEB</v>
      </c>
      <c r="AN186" s="232">
        <f t="shared" si="58"/>
        <v>10</v>
      </c>
      <c r="AO186" s="232"/>
      <c r="AP186" s="485"/>
      <c r="AQ186" s="485"/>
      <c r="AR186" s="485"/>
      <c r="AS186" s="485"/>
      <c r="AT186" s="485"/>
      <c r="AU186" s="485"/>
      <c r="AV186" s="485"/>
      <c r="AW186" s="485"/>
      <c r="AX186" s="485"/>
      <c r="AY186" s="485"/>
      <c r="AZ186" s="485"/>
      <c r="BA186" s="485"/>
      <c r="BB186" s="485"/>
      <c r="BC186" s="485"/>
      <c r="BD186" s="485"/>
      <c r="BE186" s="485"/>
      <c r="BF186" s="485"/>
      <c r="BG186" s="485"/>
      <c r="BH186" s="485"/>
      <c r="BI186" s="485"/>
      <c r="BJ186" s="485"/>
      <c r="BK186" s="485"/>
      <c r="BL186" s="485"/>
      <c r="BM186" s="485"/>
      <c r="BN186" s="485"/>
      <c r="BO186" s="485"/>
      <c r="BP186" s="485"/>
      <c r="BQ186" s="485"/>
      <c r="BR186" s="485"/>
      <c r="BS186" s="485"/>
      <c r="BT186" s="485"/>
      <c r="BU186" s="485"/>
      <c r="BV186" s="485"/>
      <c r="BW186" s="485"/>
      <c r="BX186" s="485"/>
      <c r="BY186" s="485"/>
      <c r="BZ186" s="485"/>
      <c r="CA186" s="485"/>
      <c r="CB186" s="485"/>
      <c r="CC186" s="485"/>
      <c r="CD186" s="485"/>
      <c r="CE186" s="485"/>
      <c r="CF186" s="485"/>
      <c r="CG186" s="485"/>
      <c r="CH186" s="485"/>
      <c r="CI186" s="485"/>
      <c r="CJ186" s="485"/>
      <c r="CK186" s="485"/>
      <c r="CL186" s="485"/>
      <c r="CM186" s="485"/>
      <c r="CN186" s="485"/>
      <c r="CO186" s="485"/>
      <c r="CP186" s="485"/>
      <c r="CQ186" s="485"/>
      <c r="CR186" s="485"/>
      <c r="CS186" s="485"/>
      <c r="CT186" s="485"/>
      <c r="CU186" s="485"/>
      <c r="CV186" s="485"/>
      <c r="CW186" s="485"/>
      <c r="CX186" s="485"/>
      <c r="CY186" s="485"/>
      <c r="CZ186" s="485"/>
      <c r="DA186" s="485"/>
      <c r="DB186" s="485"/>
      <c r="DC186" s="485"/>
      <c r="DD186" s="485"/>
      <c r="DE186" s="485"/>
      <c r="DF186" s="485"/>
      <c r="DG186" s="485"/>
      <c r="DH186" s="485"/>
      <c r="DI186" s="485"/>
      <c r="DJ186" s="485"/>
      <c r="DK186" s="485"/>
      <c r="DL186" s="485"/>
      <c r="DM186" s="485"/>
      <c r="DN186" s="485"/>
      <c r="DO186" s="485"/>
      <c r="DP186" s="485"/>
      <c r="DQ186" s="485"/>
      <c r="DR186" s="485"/>
      <c r="DS186" s="485"/>
      <c r="DT186" s="485"/>
    </row>
    <row r="187" spans="1:124" s="5" customFormat="1" ht="30" customHeight="1" x14ac:dyDescent="0.3">
      <c r="B187" s="136" t="s">
        <v>543</v>
      </c>
      <c r="C187" s="166">
        <v>67456</v>
      </c>
      <c r="D187" s="171"/>
      <c r="E187" s="476" t="s">
        <v>40</v>
      </c>
      <c r="F187" s="143" t="s">
        <v>467</v>
      </c>
      <c r="G187" s="144" t="s">
        <v>426</v>
      </c>
      <c r="H187" s="145">
        <v>1974</v>
      </c>
      <c r="I187" s="172" t="s">
        <v>254</v>
      </c>
      <c r="J187" s="146" t="s">
        <v>44</v>
      </c>
      <c r="K187" s="147">
        <v>74.849999999999994</v>
      </c>
      <c r="L187" s="783">
        <v>65</v>
      </c>
      <c r="M187" s="794">
        <v>-70</v>
      </c>
      <c r="N187" s="794">
        <v>-72</v>
      </c>
      <c r="O187" s="490">
        <f t="shared" si="52"/>
        <v>65</v>
      </c>
      <c r="P187" s="783">
        <v>80</v>
      </c>
      <c r="Q187" s="794">
        <v>-85</v>
      </c>
      <c r="R187" s="458">
        <v>85</v>
      </c>
      <c r="S187" s="490">
        <f t="shared" si="53"/>
        <v>85</v>
      </c>
      <c r="T187" s="489">
        <f>IF(E187="","",IF(OR(O187=0,S187=0),0,O187+S187))</f>
        <v>150</v>
      </c>
      <c r="U187" s="48" t="str">
        <f t="shared" si="54"/>
        <v>DEB 5</v>
      </c>
      <c r="V187" s="48" t="str">
        <f>IF(E187=0," ",IF(E187="H",IF(H187&lt;1999,VLOOKUP(K187,Minimas!$A$15:$F$29,6),IF(AND(H187&gt;1998,H187&lt;2002),VLOOKUP(K187,Minimas!$A$15:$F$29,5),IF(AND(H187&gt;2001,H187&lt;2004),VLOOKUP(K187,Minimas!$A$15:$F$29,4),IF(AND(H187&gt;2003,H187&lt;2006),VLOOKUP(K187,Minimas!$A$15:$F$29,3),VLOOKUP(K187,Minimas!$A$15:$F$29,2))))),IF(H187&lt;1999,VLOOKUP(K187,Minimas!$G$15:$L$29,6),IF(AND(H187&gt;1998,H187&lt;2002),VLOOKUP(K187,Minimas!$G$15:$L$29,5),IF(AND(H187&gt;2001,H187&lt;2004),VLOOKUP(K187,Minimas!$G$15:$L$29,4),IF(AND(H187&gt;2003,H187&lt;2006),VLOOKUP(K187,Minimas!$G$15:$L$29,3),VLOOKUP(K187,Minimas!$G$15:$L$29,2)))))))</f>
        <v>SE M81</v>
      </c>
      <c r="W187" s="49">
        <f t="shared" si="55"/>
        <v>190.14767991423653</v>
      </c>
      <c r="X187" s="184">
        <v>43435</v>
      </c>
      <c r="Y187" s="284" t="s">
        <v>509</v>
      </c>
      <c r="Z187" s="284" t="s">
        <v>504</v>
      </c>
      <c r="AA187" s="232"/>
      <c r="AB187" s="230">
        <f>T187-HLOOKUP(V187,Minimas!$C$3:$CD$12,2,FALSE)</f>
        <v>5</v>
      </c>
      <c r="AC187" s="230">
        <f>T187-HLOOKUP(V187,Minimas!$C$3:$CD$12,3,FALSE)</f>
        <v>-20</v>
      </c>
      <c r="AD187" s="230">
        <f>T187-HLOOKUP(V187,Minimas!$C$3:$CD$12,4,FALSE)</f>
        <v>-45</v>
      </c>
      <c r="AE187" s="230">
        <f>T187-HLOOKUP(V187,Minimas!$C$3:$CD$12,5,FALSE)</f>
        <v>-70</v>
      </c>
      <c r="AF187" s="230">
        <f>T187-HLOOKUP(V187,Minimas!$C$3:$CD$12,6,FALSE)</f>
        <v>-100</v>
      </c>
      <c r="AG187" s="230">
        <f>T187-HLOOKUP(V187,Minimas!$C$3:$CD$12,7,FALSE)</f>
        <v>-125</v>
      </c>
      <c r="AH187" s="230">
        <f>T187-HLOOKUP(V187,Minimas!$C$3:$CD$12,8,FALSE)</f>
        <v>-145</v>
      </c>
      <c r="AI187" s="230">
        <f>T187-HLOOKUP(V187,Minimas!$C$3:$CD$12,9,FALSE)</f>
        <v>-170</v>
      </c>
      <c r="AJ187" s="230">
        <f>T187-HLOOKUP(V187,Minimas!$C$3:$CD$12,10,FALSE)</f>
        <v>-185</v>
      </c>
      <c r="AK187" s="231" t="str">
        <f t="shared" si="56"/>
        <v>DEB</v>
      </c>
      <c r="AL187" s="232"/>
      <c r="AM187" s="232" t="str">
        <f t="shared" si="57"/>
        <v>DEB</v>
      </c>
      <c r="AN187" s="232">
        <f t="shared" si="58"/>
        <v>5</v>
      </c>
      <c r="AO187" s="232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  <c r="AZ187" s="38"/>
      <c r="BA187" s="38"/>
      <c r="BB187" s="38"/>
      <c r="BC187" s="38"/>
      <c r="BD187" s="38"/>
      <c r="BE187" s="38"/>
      <c r="BF187" s="38"/>
      <c r="BG187" s="38"/>
      <c r="BH187" s="38"/>
      <c r="BI187" s="38"/>
      <c r="BJ187" s="38"/>
      <c r="BK187" s="38"/>
      <c r="BL187" s="38"/>
      <c r="BM187" s="38"/>
      <c r="BN187" s="38"/>
      <c r="BO187" s="38"/>
      <c r="BP187" s="38"/>
      <c r="BQ187" s="38"/>
      <c r="BR187" s="38"/>
      <c r="BS187" s="38"/>
      <c r="BT187" s="38"/>
      <c r="BU187" s="38"/>
      <c r="BV187" s="38"/>
      <c r="BW187" s="38"/>
      <c r="BX187" s="38"/>
      <c r="BY187" s="38"/>
      <c r="BZ187" s="38"/>
      <c r="CA187" s="38"/>
      <c r="CB187" s="38"/>
      <c r="CC187" s="38"/>
      <c r="CD187" s="38"/>
      <c r="CE187" s="38"/>
      <c r="CF187" s="38"/>
      <c r="CG187" s="38"/>
      <c r="CH187" s="38"/>
      <c r="CI187" s="38"/>
      <c r="CJ187" s="38"/>
      <c r="CK187" s="38"/>
      <c r="CL187" s="38"/>
      <c r="CM187" s="38"/>
      <c r="CN187" s="38"/>
      <c r="CO187" s="38"/>
      <c r="CP187" s="38"/>
      <c r="CQ187" s="38"/>
      <c r="CR187" s="38"/>
      <c r="CS187" s="38"/>
      <c r="CT187" s="38"/>
      <c r="CU187" s="38"/>
      <c r="CV187" s="38"/>
      <c r="CW187" s="38"/>
      <c r="CX187" s="38"/>
      <c r="CY187" s="38"/>
      <c r="CZ187" s="38"/>
      <c r="DA187" s="38"/>
      <c r="DB187" s="38"/>
      <c r="DC187" s="38"/>
      <c r="DD187" s="38"/>
      <c r="DE187" s="38"/>
      <c r="DF187" s="38"/>
      <c r="DG187" s="38"/>
      <c r="DH187" s="38"/>
      <c r="DI187" s="38"/>
      <c r="DJ187" s="38"/>
      <c r="DK187" s="38"/>
      <c r="DL187" s="38"/>
      <c r="DM187" s="38"/>
      <c r="DN187" s="38"/>
      <c r="DO187" s="38"/>
      <c r="DP187" s="38"/>
      <c r="DQ187" s="38"/>
      <c r="DR187" s="38"/>
      <c r="DS187" s="38"/>
      <c r="DT187" s="38"/>
    </row>
    <row r="188" spans="1:124" s="5" customFormat="1" ht="30" customHeight="1" x14ac:dyDescent="0.3">
      <c r="B188" s="136" t="s">
        <v>543</v>
      </c>
      <c r="C188" s="173">
        <v>418922</v>
      </c>
      <c r="D188" s="174"/>
      <c r="E188" s="175" t="s">
        <v>40</v>
      </c>
      <c r="F188" s="176" t="s">
        <v>358</v>
      </c>
      <c r="G188" s="177" t="s">
        <v>359</v>
      </c>
      <c r="H188" s="178">
        <v>1980</v>
      </c>
      <c r="I188" s="179" t="s">
        <v>170</v>
      </c>
      <c r="J188" s="104" t="s">
        <v>44</v>
      </c>
      <c r="K188" s="181">
        <v>75.900000000000006</v>
      </c>
      <c r="L188" s="452">
        <v>65</v>
      </c>
      <c r="M188" s="796">
        <v>-70</v>
      </c>
      <c r="N188" s="796">
        <v>-71</v>
      </c>
      <c r="O188" s="52">
        <f t="shared" si="52"/>
        <v>65</v>
      </c>
      <c r="P188" s="452">
        <v>80</v>
      </c>
      <c r="Q188" s="453">
        <v>85</v>
      </c>
      <c r="R188" s="796">
        <v>-90</v>
      </c>
      <c r="S188" s="52">
        <f t="shared" si="53"/>
        <v>85</v>
      </c>
      <c r="T188" s="51">
        <f>IF(E188="","",IF(OR(O188=0,S188=0),0,O188+S188))</f>
        <v>150</v>
      </c>
      <c r="U188" s="48" t="str">
        <f t="shared" si="54"/>
        <v>DEB 5</v>
      </c>
      <c r="V188" s="48" t="str">
        <f>IF(E188=0," ",IF(E188="H",IF(H188&lt;1999,VLOOKUP(K188,Minimas!$A$15:$F$29,6),IF(AND(H188&gt;1998,H188&lt;2002),VLOOKUP(K188,Minimas!$A$15:$F$29,5),IF(AND(H188&gt;2001,H188&lt;2004),VLOOKUP(K188,Minimas!$A$15:$F$29,4),IF(AND(H188&gt;2003,H188&lt;2006),VLOOKUP(K188,Minimas!$A$15:$F$29,3),VLOOKUP(K188,Minimas!$A$15:$F$29,2))))),IF(H188&lt;1999,VLOOKUP(K188,Minimas!$G$15:$L$29,6),IF(AND(H188&gt;1998,H188&lt;2002),VLOOKUP(K188,Minimas!$G$15:$L$29,5),IF(AND(H188&gt;2001,H188&lt;2004),VLOOKUP(K188,Minimas!$G$15:$L$29,4),IF(AND(H188&gt;2003,H188&lt;2006),VLOOKUP(K188,Minimas!$G$15:$L$29,3),VLOOKUP(K188,Minimas!$G$15:$L$29,2)))))))</f>
        <v>SE M81</v>
      </c>
      <c r="W188" s="49">
        <f t="shared" si="55"/>
        <v>188.69098661507661</v>
      </c>
      <c r="X188" s="184">
        <v>43435</v>
      </c>
      <c r="Y188" s="284" t="s">
        <v>509</v>
      </c>
      <c r="Z188" s="284" t="s">
        <v>511</v>
      </c>
      <c r="AA188" s="232"/>
      <c r="AB188" s="230">
        <f>T188-HLOOKUP(V188,Minimas!$C$3:$CD$12,2,FALSE)</f>
        <v>5</v>
      </c>
      <c r="AC188" s="230">
        <f>T188-HLOOKUP(V188,Minimas!$C$3:$CD$12,3,FALSE)</f>
        <v>-20</v>
      </c>
      <c r="AD188" s="230">
        <f>T188-HLOOKUP(V188,Minimas!$C$3:$CD$12,4,FALSE)</f>
        <v>-45</v>
      </c>
      <c r="AE188" s="230">
        <f>T188-HLOOKUP(V188,Minimas!$C$3:$CD$12,5,FALSE)</f>
        <v>-70</v>
      </c>
      <c r="AF188" s="230">
        <f>T188-HLOOKUP(V188,Minimas!$C$3:$CD$12,6,FALSE)</f>
        <v>-100</v>
      </c>
      <c r="AG188" s="230">
        <f>T188-HLOOKUP(V188,Minimas!$C$3:$CD$12,7,FALSE)</f>
        <v>-125</v>
      </c>
      <c r="AH188" s="230">
        <f>T188-HLOOKUP(V188,Minimas!$C$3:$CD$12,8,FALSE)</f>
        <v>-145</v>
      </c>
      <c r="AI188" s="230">
        <f>T188-HLOOKUP(V188,Minimas!$C$3:$CD$12,9,FALSE)</f>
        <v>-170</v>
      </c>
      <c r="AJ188" s="230">
        <f>T188-HLOOKUP(V188,Minimas!$C$3:$CD$12,10,FALSE)</f>
        <v>-185</v>
      </c>
      <c r="AK188" s="231" t="str">
        <f t="shared" si="56"/>
        <v>DEB</v>
      </c>
      <c r="AL188" s="232"/>
      <c r="AM188" s="232" t="str">
        <f t="shared" si="57"/>
        <v>DEB</v>
      </c>
      <c r="AN188" s="232">
        <f t="shared" si="58"/>
        <v>5</v>
      </c>
      <c r="AO188" s="232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38"/>
      <c r="BA188" s="38"/>
      <c r="BB188" s="38"/>
      <c r="BC188" s="38"/>
      <c r="BD188" s="38"/>
      <c r="BE188" s="38"/>
      <c r="BF188" s="38"/>
      <c r="BG188" s="38"/>
      <c r="BH188" s="38"/>
      <c r="BI188" s="38"/>
      <c r="BJ188" s="38"/>
      <c r="BK188" s="38"/>
      <c r="BL188" s="38"/>
      <c r="BM188" s="38"/>
      <c r="BN188" s="38"/>
      <c r="BO188" s="38"/>
      <c r="BP188" s="38"/>
      <c r="BQ188" s="38"/>
      <c r="BR188" s="38"/>
      <c r="BS188" s="38"/>
      <c r="BT188" s="38"/>
      <c r="BU188" s="38"/>
      <c r="BV188" s="38"/>
      <c r="BW188" s="38"/>
      <c r="BX188" s="38"/>
      <c r="BY188" s="38"/>
      <c r="BZ188" s="38"/>
      <c r="CA188" s="38"/>
      <c r="CB188" s="38"/>
      <c r="CC188" s="38"/>
      <c r="CD188" s="38"/>
      <c r="CE188" s="38"/>
      <c r="CF188" s="38"/>
      <c r="CG188" s="38"/>
      <c r="CH188" s="38"/>
      <c r="CI188" s="38"/>
      <c r="CJ188" s="38"/>
      <c r="CK188" s="38"/>
      <c r="CL188" s="38"/>
      <c r="CM188" s="38"/>
      <c r="CN188" s="38"/>
      <c r="CO188" s="38"/>
      <c r="CP188" s="38"/>
      <c r="CQ188" s="38"/>
      <c r="CR188" s="38"/>
      <c r="CS188" s="38"/>
      <c r="CT188" s="38"/>
      <c r="CU188" s="38"/>
      <c r="CV188" s="38"/>
      <c r="CW188" s="38"/>
      <c r="CX188" s="38"/>
      <c r="CY188" s="38"/>
      <c r="CZ188" s="38"/>
      <c r="DA188" s="38"/>
      <c r="DB188" s="38"/>
      <c r="DC188" s="38"/>
      <c r="DD188" s="38"/>
      <c r="DE188" s="38"/>
      <c r="DF188" s="38"/>
      <c r="DG188" s="38"/>
      <c r="DH188" s="38"/>
      <c r="DI188" s="38"/>
      <c r="DJ188" s="38"/>
      <c r="DK188" s="38"/>
      <c r="DL188" s="38"/>
      <c r="DM188" s="38"/>
      <c r="DN188" s="38"/>
      <c r="DO188" s="38"/>
      <c r="DP188" s="38"/>
      <c r="DQ188" s="38"/>
      <c r="DR188" s="38"/>
      <c r="DS188" s="38"/>
      <c r="DT188" s="38"/>
    </row>
    <row r="189" spans="1:124" s="5" customFormat="1" ht="30" customHeight="1" x14ac:dyDescent="0.3">
      <c r="B189" s="136" t="s">
        <v>543</v>
      </c>
      <c r="C189" s="166">
        <v>372424</v>
      </c>
      <c r="D189" s="167"/>
      <c r="E189" s="476" t="s">
        <v>40</v>
      </c>
      <c r="F189" s="143" t="s">
        <v>463</v>
      </c>
      <c r="G189" s="144" t="s">
        <v>464</v>
      </c>
      <c r="H189" s="145">
        <v>1982</v>
      </c>
      <c r="I189" s="170" t="s">
        <v>254</v>
      </c>
      <c r="J189" s="146" t="s">
        <v>44</v>
      </c>
      <c r="K189" s="147">
        <v>77.099999999999994</v>
      </c>
      <c r="L189" s="790">
        <v>-65</v>
      </c>
      <c r="M189" s="458">
        <v>67</v>
      </c>
      <c r="N189" s="794">
        <v>-70</v>
      </c>
      <c r="O189" s="490">
        <f t="shared" si="52"/>
        <v>67</v>
      </c>
      <c r="P189" s="783">
        <v>75</v>
      </c>
      <c r="Q189" s="458">
        <v>80</v>
      </c>
      <c r="R189" s="794">
        <v>-85</v>
      </c>
      <c r="S189" s="490">
        <f t="shared" si="53"/>
        <v>80</v>
      </c>
      <c r="T189" s="489">
        <f>IF(E189="","",IF(OR(O189=0,S189=0),0,O189+S189))</f>
        <v>147</v>
      </c>
      <c r="U189" s="48" t="str">
        <f t="shared" si="54"/>
        <v>DEB 2</v>
      </c>
      <c r="V189" s="48" t="str">
        <f>IF(E189=0," ",IF(E189="H",IF(H189&lt;1999,VLOOKUP(K189,Minimas!$A$15:$F$29,6),IF(AND(H189&gt;1998,H189&lt;2002),VLOOKUP(K189,Minimas!$A$15:$F$29,5),IF(AND(H189&gt;2001,H189&lt;2004),VLOOKUP(K189,Minimas!$A$15:$F$29,4),IF(AND(H189&gt;2003,H189&lt;2006),VLOOKUP(K189,Minimas!$A$15:$F$29,3),VLOOKUP(K189,Minimas!$A$15:$F$29,2))))),IF(H189&lt;1999,VLOOKUP(K189,Minimas!$G$15:$L$29,6),IF(AND(H189&gt;1998,H189&lt;2002),VLOOKUP(K189,Minimas!$G$15:$L$29,5),IF(AND(H189&gt;2001,H189&lt;2004),VLOOKUP(K189,Minimas!$G$15:$L$29,4),IF(AND(H189&gt;2003,H189&lt;2006),VLOOKUP(K189,Minimas!$G$15:$L$29,3),VLOOKUP(K189,Minimas!$G$15:$L$29,2)))))))</f>
        <v>SE M81</v>
      </c>
      <c r="W189" s="49">
        <f t="shared" si="55"/>
        <v>183.35055870456796</v>
      </c>
      <c r="X189" s="184">
        <v>43435</v>
      </c>
      <c r="Y189" s="284" t="s">
        <v>509</v>
      </c>
      <c r="Z189" s="284" t="s">
        <v>504</v>
      </c>
      <c r="AA189" s="232"/>
      <c r="AB189" s="230">
        <f>T189-HLOOKUP(V189,Minimas!$C$3:$CD$12,2,FALSE)</f>
        <v>2</v>
      </c>
      <c r="AC189" s="230">
        <f>T189-HLOOKUP(V189,Minimas!$C$3:$CD$12,3,FALSE)</f>
        <v>-23</v>
      </c>
      <c r="AD189" s="230">
        <f>T189-HLOOKUP(V189,Minimas!$C$3:$CD$12,4,FALSE)</f>
        <v>-48</v>
      </c>
      <c r="AE189" s="230">
        <f>T189-HLOOKUP(V189,Minimas!$C$3:$CD$12,5,FALSE)</f>
        <v>-73</v>
      </c>
      <c r="AF189" s="230">
        <f>T189-HLOOKUP(V189,Minimas!$C$3:$CD$12,6,FALSE)</f>
        <v>-103</v>
      </c>
      <c r="AG189" s="230">
        <f>T189-HLOOKUP(V189,Minimas!$C$3:$CD$12,7,FALSE)</f>
        <v>-128</v>
      </c>
      <c r="AH189" s="230">
        <f>T189-HLOOKUP(V189,Minimas!$C$3:$CD$12,8,FALSE)</f>
        <v>-148</v>
      </c>
      <c r="AI189" s="230">
        <f>T189-HLOOKUP(V189,Minimas!$C$3:$CD$12,9,FALSE)</f>
        <v>-173</v>
      </c>
      <c r="AJ189" s="230">
        <f>T189-HLOOKUP(V189,Minimas!$C$3:$CD$12,10,FALSE)</f>
        <v>-188</v>
      </c>
      <c r="AK189" s="231" t="str">
        <f t="shared" si="56"/>
        <v>DEB</v>
      </c>
      <c r="AL189" s="232"/>
      <c r="AM189" s="232" t="str">
        <f t="shared" si="57"/>
        <v>DEB</v>
      </c>
      <c r="AN189" s="232">
        <f t="shared" si="58"/>
        <v>2</v>
      </c>
      <c r="AO189" s="232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  <c r="BA189" s="38"/>
      <c r="BB189" s="38"/>
      <c r="BC189" s="38"/>
      <c r="BD189" s="38"/>
      <c r="BE189" s="38"/>
      <c r="BF189" s="38"/>
      <c r="BG189" s="38"/>
      <c r="BH189" s="38"/>
      <c r="BI189" s="38"/>
      <c r="BJ189" s="38"/>
      <c r="BK189" s="38"/>
      <c r="BL189" s="38"/>
      <c r="BM189" s="38"/>
      <c r="BN189" s="38"/>
      <c r="BO189" s="38"/>
      <c r="BP189" s="38"/>
      <c r="BQ189" s="38"/>
      <c r="BR189" s="38"/>
      <c r="BS189" s="38"/>
      <c r="BT189" s="38"/>
      <c r="BU189" s="38"/>
      <c r="BV189" s="38"/>
      <c r="BW189" s="38"/>
      <c r="BX189" s="38"/>
      <c r="BY189" s="38"/>
      <c r="BZ189" s="38"/>
      <c r="CA189" s="38"/>
      <c r="CB189" s="38"/>
      <c r="CC189" s="38"/>
      <c r="CD189" s="38"/>
      <c r="CE189" s="38"/>
      <c r="CF189" s="38"/>
      <c r="CG189" s="38"/>
      <c r="CH189" s="38"/>
      <c r="CI189" s="38"/>
      <c r="CJ189" s="38"/>
      <c r="CK189" s="38"/>
      <c r="CL189" s="38"/>
      <c r="CM189" s="38"/>
      <c r="CN189" s="38"/>
      <c r="CO189" s="38"/>
      <c r="CP189" s="38"/>
      <c r="CQ189" s="38"/>
      <c r="CR189" s="38"/>
      <c r="CS189" s="38"/>
      <c r="CT189" s="38"/>
      <c r="CU189" s="38"/>
      <c r="CV189" s="38"/>
      <c r="CW189" s="38"/>
      <c r="CX189" s="38"/>
      <c r="CY189" s="38"/>
      <c r="CZ189" s="38"/>
      <c r="DA189" s="38"/>
      <c r="DB189" s="38"/>
      <c r="DC189" s="38"/>
      <c r="DD189" s="38"/>
      <c r="DE189" s="38"/>
      <c r="DF189" s="38"/>
      <c r="DG189" s="38"/>
      <c r="DH189" s="38"/>
      <c r="DI189" s="38"/>
      <c r="DJ189" s="38"/>
      <c r="DK189" s="38"/>
      <c r="DL189" s="38"/>
      <c r="DM189" s="38"/>
      <c r="DN189" s="38"/>
      <c r="DO189" s="38"/>
      <c r="DP189" s="38"/>
      <c r="DQ189" s="38"/>
      <c r="DR189" s="38"/>
      <c r="DS189" s="38"/>
      <c r="DT189" s="38"/>
    </row>
    <row r="190" spans="1:124" s="5" customFormat="1" ht="30" customHeight="1" x14ac:dyDescent="0.25">
      <c r="B190" s="685" t="s">
        <v>543</v>
      </c>
      <c r="C190" s="166">
        <v>443397</v>
      </c>
      <c r="D190" s="167"/>
      <c r="E190" s="476" t="s">
        <v>40</v>
      </c>
      <c r="F190" s="217" t="s">
        <v>683</v>
      </c>
      <c r="G190" s="144" t="s">
        <v>348</v>
      </c>
      <c r="H190" s="218">
        <v>1998</v>
      </c>
      <c r="I190" s="169" t="s">
        <v>139</v>
      </c>
      <c r="J190" s="168" t="s">
        <v>44</v>
      </c>
      <c r="K190" s="147">
        <v>79.2</v>
      </c>
      <c r="L190" s="300">
        <v>57</v>
      </c>
      <c r="M190" s="301">
        <v>60</v>
      </c>
      <c r="N190" s="301">
        <v>62</v>
      </c>
      <c r="O190" s="52">
        <f t="shared" si="52"/>
        <v>62</v>
      </c>
      <c r="P190" s="300">
        <v>-76</v>
      </c>
      <c r="Q190" s="301">
        <v>78</v>
      </c>
      <c r="R190" s="301">
        <v>83</v>
      </c>
      <c r="S190" s="52">
        <f t="shared" si="53"/>
        <v>83</v>
      </c>
      <c r="T190" s="489">
        <f>IF(E190="","",IF(OR(O190=0,S190=0),0,O190+S190))</f>
        <v>145</v>
      </c>
      <c r="U190" s="48" t="str">
        <f t="shared" si="54"/>
        <v>DEB 0</v>
      </c>
      <c r="V190" s="48" t="str">
        <f>IF(E190=0," ",IF(E190="H",IF(H190&lt;1999,VLOOKUP(K190,[25]Minimas!$A$15:$F$29,6),IF(AND(H190&gt;1998,H190&lt;2002),VLOOKUP(K190,[25]Minimas!$A$15:$F$29,5),IF(AND(H190&gt;2001,H190&lt;2004),VLOOKUP(K190,[25]Minimas!$A$15:$F$29,4),IF(AND(H190&gt;2003,H190&lt;2006),VLOOKUP(K190,[25]Minimas!$A$15:$F$29,3),VLOOKUP(K190,[25]Minimas!$A$15:$F$29,2))))),IF(H190&lt;1999,VLOOKUP(K190,[25]Minimas!$G$15:$L$29,6),IF(AND(H190&gt;1998,H190&lt;2002),VLOOKUP(K190,[25]Minimas!$G$15:$L$29,5),IF(AND(H190&gt;2001,H190&lt;2004),VLOOKUP(K190,[25]Minimas!$G$15:$L$29,4),IF(AND(H190&gt;2003,H190&lt;2006),VLOOKUP(K190,[25]Minimas!$G$15:$L$29,3),VLOOKUP(K190,[25]Minimas!$G$15:$L$29,2)))))))</f>
        <v>SE M81</v>
      </c>
      <c r="W190" s="49">
        <f t="shared" si="55"/>
        <v>178.30566674643541</v>
      </c>
      <c r="X190" s="257">
        <v>43492</v>
      </c>
      <c r="Y190" s="261" t="s">
        <v>525</v>
      </c>
      <c r="Z190" s="261" t="s">
        <v>695</v>
      </c>
      <c r="AA190" s="232"/>
      <c r="AB190" s="230">
        <f>T190-HLOOKUP(V190,Minimas!$C$3:$CD$12,2,FALSE)</f>
        <v>0</v>
      </c>
      <c r="AC190" s="230">
        <f>T190-HLOOKUP(V190,Minimas!$C$3:$CD$12,3,FALSE)</f>
        <v>-25</v>
      </c>
      <c r="AD190" s="230">
        <f>T190-HLOOKUP(V190,Minimas!$C$3:$CD$12,4,FALSE)</f>
        <v>-50</v>
      </c>
      <c r="AE190" s="230">
        <f>T190-HLOOKUP(V190,Minimas!$C$3:$CD$12,5,FALSE)</f>
        <v>-75</v>
      </c>
      <c r="AF190" s="230">
        <f>T190-HLOOKUP(V190,Minimas!$C$3:$CD$12,6,FALSE)</f>
        <v>-105</v>
      </c>
      <c r="AG190" s="230">
        <f>T190-HLOOKUP(V190,Minimas!$C$3:$CD$12,7,FALSE)</f>
        <v>-130</v>
      </c>
      <c r="AH190" s="230">
        <f>T190-HLOOKUP(V190,Minimas!$C$3:$CD$12,8,FALSE)</f>
        <v>-150</v>
      </c>
      <c r="AI190" s="230">
        <f>T190-HLOOKUP(V190,Minimas!$C$3:$CD$12,9,FALSE)</f>
        <v>-175</v>
      </c>
      <c r="AJ190" s="230">
        <f>T190-HLOOKUP(V190,Minimas!$C$3:$CD$12,10,FALSE)</f>
        <v>-190</v>
      </c>
      <c r="AK190" s="231" t="str">
        <f t="shared" si="56"/>
        <v>DEB</v>
      </c>
      <c r="AL190" s="232"/>
      <c r="AM190" s="232" t="str">
        <f t="shared" si="57"/>
        <v>DEB</v>
      </c>
      <c r="AN190" s="232">
        <f t="shared" si="58"/>
        <v>0</v>
      </c>
      <c r="AO190" s="232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  <c r="BA190" s="38"/>
      <c r="BB190" s="38"/>
      <c r="BC190" s="38"/>
      <c r="BD190" s="38"/>
      <c r="BE190" s="38"/>
      <c r="BF190" s="38"/>
      <c r="BG190" s="38"/>
      <c r="BH190" s="38"/>
      <c r="BI190" s="38"/>
      <c r="BJ190" s="38"/>
      <c r="BK190" s="38"/>
      <c r="BL190" s="38"/>
      <c r="BM190" s="38"/>
      <c r="BN190" s="38"/>
      <c r="BO190" s="38"/>
      <c r="BP190" s="38"/>
      <c r="BQ190" s="38"/>
      <c r="BR190" s="38"/>
      <c r="BS190" s="38"/>
      <c r="BT190" s="38"/>
      <c r="BU190" s="38"/>
      <c r="BV190" s="38"/>
      <c r="BW190" s="38"/>
      <c r="BX190" s="38"/>
      <c r="BY190" s="38"/>
      <c r="BZ190" s="38"/>
      <c r="CA190" s="38"/>
      <c r="CB190" s="38"/>
      <c r="CC190" s="38"/>
      <c r="CD190" s="38"/>
      <c r="CE190" s="38"/>
      <c r="CF190" s="38"/>
      <c r="CG190" s="38"/>
      <c r="CH190" s="38"/>
      <c r="CI190" s="38"/>
      <c r="CJ190" s="38"/>
      <c r="CK190" s="38"/>
      <c r="CL190" s="38"/>
      <c r="CM190" s="38"/>
      <c r="CN190" s="38"/>
      <c r="CO190" s="38"/>
      <c r="CP190" s="38"/>
      <c r="CQ190" s="38"/>
      <c r="CR190" s="38"/>
      <c r="CS190" s="38"/>
      <c r="CT190" s="38"/>
      <c r="CU190" s="38"/>
      <c r="CV190" s="38"/>
      <c r="CW190" s="38"/>
      <c r="CX190" s="38"/>
      <c r="CY190" s="38"/>
      <c r="CZ190" s="38"/>
      <c r="DA190" s="38"/>
      <c r="DB190" s="38"/>
      <c r="DC190" s="38"/>
      <c r="DD190" s="38"/>
      <c r="DE190" s="38"/>
      <c r="DF190" s="38"/>
      <c r="DG190" s="38"/>
      <c r="DH190" s="38"/>
      <c r="DI190" s="38"/>
      <c r="DJ190" s="38"/>
      <c r="DK190" s="38"/>
      <c r="DL190" s="38"/>
      <c r="DM190" s="38"/>
      <c r="DN190" s="38"/>
      <c r="DO190" s="38"/>
      <c r="DP190" s="38"/>
      <c r="DQ190" s="38"/>
      <c r="DR190" s="38"/>
      <c r="DS190" s="38"/>
      <c r="DT190" s="38"/>
    </row>
    <row r="191" spans="1:124" s="5" customFormat="1" ht="30" customHeight="1" x14ac:dyDescent="0.25">
      <c r="A191" s="1"/>
      <c r="B191" s="136" t="s">
        <v>543</v>
      </c>
      <c r="C191" s="166">
        <v>442068</v>
      </c>
      <c r="D191" s="167"/>
      <c r="E191" s="476" t="s">
        <v>40</v>
      </c>
      <c r="F191" s="143" t="s">
        <v>729</v>
      </c>
      <c r="G191" s="144" t="s">
        <v>527</v>
      </c>
      <c r="H191" s="145">
        <v>1998</v>
      </c>
      <c r="I191" s="172" t="s">
        <v>129</v>
      </c>
      <c r="J191" s="155" t="s">
        <v>44</v>
      </c>
      <c r="K191" s="200">
        <v>75.7</v>
      </c>
      <c r="L191" s="300">
        <v>50</v>
      </c>
      <c r="M191" s="449">
        <v>-57</v>
      </c>
      <c r="N191" s="301">
        <v>62</v>
      </c>
      <c r="O191" s="52">
        <f t="shared" si="52"/>
        <v>62</v>
      </c>
      <c r="P191" s="448">
        <v>-70</v>
      </c>
      <c r="Q191" s="301">
        <v>70</v>
      </c>
      <c r="R191" s="301">
        <v>77</v>
      </c>
      <c r="S191" s="52">
        <f t="shared" si="53"/>
        <v>77</v>
      </c>
      <c r="T191" s="51">
        <f>IF(E191="","",O191+S191)</f>
        <v>139</v>
      </c>
      <c r="U191" s="48" t="str">
        <f t="shared" si="54"/>
        <v>DEB -6</v>
      </c>
      <c r="V191" s="48" t="str">
        <f>IF(E191=0," ",IF(E191="H",IF(H191&lt;1999,VLOOKUP(K191,[13]Minimas!$A$15:$F$29,6),IF(AND(H191&gt;1998,H191&lt;2002),VLOOKUP(K191,[13]Minimas!$A$15:$F$29,5),IF(AND(H191&gt;2001,H191&lt;2004),VLOOKUP(K191,[13]Minimas!$A$15:$F$29,4),IF(AND(H191&gt;2003,H191&lt;2006),VLOOKUP(K191,[13]Minimas!$A$15:$F$29,3),VLOOKUP(K191,[13]Minimas!$A$15:$F$29,2))))),IF(H191&lt;1999,VLOOKUP(K191,[13]Minimas!$G$15:$L$29,6),IF(AND(H191&gt;1998,H191&lt;2002),VLOOKUP(K191,[13]Minimas!$G$15:$L$29,5),IF(AND(H191&gt;2001,H191&lt;2004),VLOOKUP(K191,[13]Minimas!$G$15:$L$29,4),IF(AND(H191&gt;2003,H191&lt;2006),VLOOKUP(K191,[13]Minimas!$G$15:$L$29,3),VLOOKUP(K191,[13]Minimas!$G$15:$L$29,2)))))))</f>
        <v>SE M81</v>
      </c>
      <c r="W191" s="49">
        <f t="shared" si="55"/>
        <v>175.10681988634551</v>
      </c>
      <c r="X191" s="257">
        <v>43540</v>
      </c>
      <c r="Y191" s="261" t="s">
        <v>714</v>
      </c>
      <c r="Z191" s="261" t="s">
        <v>704</v>
      </c>
      <c r="AA191" s="463"/>
      <c r="AB191" s="230">
        <f>T191-HLOOKUP(V191,Minimas!$C$3:$CD$12,2,FALSE)</f>
        <v>-6</v>
      </c>
      <c r="AC191" s="230">
        <f>T191-HLOOKUP(V191,Minimas!$C$3:$CD$12,3,FALSE)</f>
        <v>-31</v>
      </c>
      <c r="AD191" s="230">
        <f>T191-HLOOKUP(V191,Minimas!$C$3:$CD$12,4,FALSE)</f>
        <v>-56</v>
      </c>
      <c r="AE191" s="230">
        <f>T191-HLOOKUP(V191,Minimas!$C$3:$CD$12,5,FALSE)</f>
        <v>-81</v>
      </c>
      <c r="AF191" s="230">
        <f>T191-HLOOKUP(V191,Minimas!$C$3:$CD$12,6,FALSE)</f>
        <v>-111</v>
      </c>
      <c r="AG191" s="230">
        <f>T191-HLOOKUP(V191,Minimas!$C$3:$CD$12,7,FALSE)</f>
        <v>-136</v>
      </c>
      <c r="AH191" s="230">
        <f>T191-HLOOKUP(V191,Minimas!$C$3:$CD$12,8,FALSE)</f>
        <v>-156</v>
      </c>
      <c r="AI191" s="230">
        <f>T191-HLOOKUP(V191,Minimas!$C$3:$CD$12,9,FALSE)</f>
        <v>-181</v>
      </c>
      <c r="AJ191" s="230">
        <f>T191-HLOOKUP(V191,Minimas!$C$3:$CD$12,10,FALSE)</f>
        <v>-196</v>
      </c>
      <c r="AK191" s="231" t="str">
        <f t="shared" si="56"/>
        <v>DEB</v>
      </c>
      <c r="AL191" s="232"/>
      <c r="AM191" s="232" t="str">
        <f t="shared" si="57"/>
        <v>DEB</v>
      </c>
      <c r="AN191" s="232">
        <f t="shared" si="58"/>
        <v>-6</v>
      </c>
      <c r="AO191" s="463"/>
      <c r="AP191" s="34"/>
      <c r="AQ191" s="34"/>
      <c r="AR191" s="34"/>
      <c r="AS191" s="34"/>
      <c r="AT191" s="34"/>
      <c r="AU191" s="34"/>
      <c r="AV191" s="34"/>
      <c r="AW191" s="34"/>
      <c r="AX191" s="34"/>
      <c r="AY191" s="34"/>
      <c r="AZ191" s="34"/>
      <c r="BA191" s="34"/>
      <c r="BB191" s="34"/>
      <c r="BC191" s="34"/>
      <c r="BD191" s="34"/>
      <c r="BE191" s="34"/>
      <c r="BF191" s="34"/>
      <c r="BG191" s="34"/>
      <c r="BH191" s="34"/>
      <c r="BI191" s="34"/>
      <c r="BJ191" s="34"/>
      <c r="BK191" s="34"/>
      <c r="BL191" s="34"/>
      <c r="BM191" s="34"/>
      <c r="BN191" s="34"/>
      <c r="BO191" s="34"/>
      <c r="BP191" s="34"/>
      <c r="BQ191" s="34"/>
      <c r="BR191" s="34"/>
      <c r="BS191" s="34"/>
      <c r="BT191" s="34"/>
      <c r="BU191" s="34"/>
      <c r="BV191" s="34"/>
      <c r="BW191" s="34"/>
      <c r="BX191" s="34"/>
      <c r="BY191" s="34"/>
      <c r="BZ191" s="34"/>
      <c r="CA191" s="34"/>
      <c r="CB191" s="34"/>
      <c r="CC191" s="34"/>
      <c r="CD191" s="34"/>
      <c r="CE191" s="34"/>
      <c r="CF191" s="34"/>
      <c r="CG191" s="34"/>
      <c r="CH191" s="34"/>
      <c r="CI191" s="34"/>
      <c r="CJ191" s="34"/>
      <c r="CK191" s="34"/>
      <c r="CL191" s="34"/>
      <c r="CM191" s="34"/>
      <c r="CN191" s="34"/>
      <c r="CO191" s="34"/>
      <c r="CP191" s="34"/>
      <c r="CQ191" s="34"/>
      <c r="CR191" s="34"/>
      <c r="CS191" s="34"/>
      <c r="CT191" s="34"/>
      <c r="CU191" s="34"/>
      <c r="CV191" s="34"/>
      <c r="CW191" s="34"/>
      <c r="CX191" s="34"/>
      <c r="CY191" s="34"/>
      <c r="CZ191" s="34"/>
      <c r="DA191" s="34"/>
      <c r="DB191" s="34"/>
      <c r="DC191" s="34"/>
      <c r="DD191" s="34"/>
      <c r="DE191" s="34"/>
      <c r="DF191" s="34"/>
      <c r="DG191" s="34"/>
      <c r="DH191" s="34"/>
      <c r="DI191" s="34"/>
      <c r="DJ191" s="34"/>
      <c r="DK191" s="34"/>
      <c r="DL191" s="34"/>
      <c r="DM191" s="34"/>
      <c r="DN191" s="34"/>
      <c r="DO191" s="34"/>
      <c r="DP191" s="34"/>
      <c r="DQ191" s="34"/>
      <c r="DR191" s="34"/>
      <c r="DS191" s="34"/>
      <c r="DT191" s="34"/>
    </row>
    <row r="192" spans="1:124" s="5" customFormat="1" ht="30" customHeight="1" x14ac:dyDescent="0.3">
      <c r="B192" s="136" t="s">
        <v>543</v>
      </c>
      <c r="C192" s="116">
        <v>124517</v>
      </c>
      <c r="D192" s="122"/>
      <c r="E192" s="175" t="s">
        <v>40</v>
      </c>
      <c r="F192" s="124" t="s">
        <v>386</v>
      </c>
      <c r="G192" s="125" t="s">
        <v>387</v>
      </c>
      <c r="H192" s="156">
        <v>1951</v>
      </c>
      <c r="I192" s="162" t="s">
        <v>329</v>
      </c>
      <c r="J192" s="104" t="s">
        <v>44</v>
      </c>
      <c r="K192" s="126">
        <v>77.040000000000006</v>
      </c>
      <c r="L192" s="456">
        <v>55</v>
      </c>
      <c r="M192" s="457">
        <v>58</v>
      </c>
      <c r="N192" s="457">
        <v>-60</v>
      </c>
      <c r="O192" s="490">
        <f t="shared" si="52"/>
        <v>58</v>
      </c>
      <c r="P192" s="452">
        <v>75</v>
      </c>
      <c r="Q192" s="453">
        <v>80</v>
      </c>
      <c r="R192" s="453">
        <v>-82</v>
      </c>
      <c r="S192" s="490">
        <f t="shared" si="53"/>
        <v>80</v>
      </c>
      <c r="T192" s="489">
        <f>IF(E192="","",IF(OR(O192=0,S192=0),0,O192+S192))</f>
        <v>138</v>
      </c>
      <c r="U192" s="48" t="str">
        <f t="shared" si="54"/>
        <v>DEB -7</v>
      </c>
      <c r="V192" s="48" t="str">
        <f>IF(E192=0," ",IF(E192="H",IF(H192&lt;1999,VLOOKUP(K192,Minimas!$A$15:$F$29,6),IF(AND(H192&gt;1998,H192&lt;2002),VLOOKUP(K192,Minimas!$A$15:$F$29,5),IF(AND(H192&gt;2001,H192&lt;2004),VLOOKUP(K192,Minimas!$A$15:$F$29,4),IF(AND(H192&gt;2003,H192&lt;2006),VLOOKUP(K192,Minimas!$A$15:$F$29,3),VLOOKUP(K192,Minimas!$A$15:$F$29,2))))),IF(H192&lt;1999,VLOOKUP(K192,Minimas!$G$15:$L$29,6),IF(AND(H192&gt;1998,H192&lt;2002),VLOOKUP(K192,Minimas!$G$15:$L$29,5),IF(AND(H192&gt;2001,H192&lt;2004),VLOOKUP(K192,Minimas!$G$15:$L$29,4),IF(AND(H192&gt;2003,H192&lt;2006),VLOOKUP(K192,Minimas!$G$15:$L$29,3),VLOOKUP(K192,Minimas!$G$15:$L$29,2)))))))</f>
        <v>SE M81</v>
      </c>
      <c r="W192" s="49">
        <f t="shared" si="55"/>
        <v>172.19705624985318</v>
      </c>
      <c r="X192" s="184">
        <v>43401</v>
      </c>
      <c r="Y192" s="284" t="s">
        <v>507</v>
      </c>
      <c r="Z192" s="284" t="s">
        <v>506</v>
      </c>
      <c r="AA192" s="232"/>
      <c r="AB192" s="230">
        <f>T192-HLOOKUP(V192,Minimas!$C$3:$CD$12,2,FALSE)</f>
        <v>-7</v>
      </c>
      <c r="AC192" s="230">
        <f>T192-HLOOKUP(V192,Minimas!$C$3:$CD$12,3,FALSE)</f>
        <v>-32</v>
      </c>
      <c r="AD192" s="230">
        <f>T192-HLOOKUP(V192,Minimas!$C$3:$CD$12,4,FALSE)</f>
        <v>-57</v>
      </c>
      <c r="AE192" s="230">
        <f>T192-HLOOKUP(V192,Minimas!$C$3:$CD$12,5,FALSE)</f>
        <v>-82</v>
      </c>
      <c r="AF192" s="230">
        <f>T192-HLOOKUP(V192,Minimas!$C$3:$CD$12,6,FALSE)</f>
        <v>-112</v>
      </c>
      <c r="AG192" s="230">
        <f>T192-HLOOKUP(V192,Minimas!$C$3:$CD$12,7,FALSE)</f>
        <v>-137</v>
      </c>
      <c r="AH192" s="230">
        <f>T192-HLOOKUP(V192,Minimas!$C$3:$CD$12,8,FALSE)</f>
        <v>-157</v>
      </c>
      <c r="AI192" s="230">
        <f>T192-HLOOKUP(V192,Minimas!$C$3:$CD$12,9,FALSE)</f>
        <v>-182</v>
      </c>
      <c r="AJ192" s="230">
        <f>T192-HLOOKUP(V192,Minimas!$C$3:$CD$12,10,FALSE)</f>
        <v>-197</v>
      </c>
      <c r="AK192" s="231" t="str">
        <f t="shared" si="56"/>
        <v>DEB</v>
      </c>
      <c r="AL192" s="232"/>
      <c r="AM192" s="232" t="str">
        <f t="shared" si="57"/>
        <v>DEB</v>
      </c>
      <c r="AN192" s="232">
        <f t="shared" si="58"/>
        <v>-7</v>
      </c>
      <c r="AO192" s="232"/>
      <c r="AP192" s="38"/>
      <c r="AQ192" s="38"/>
      <c r="AR192" s="38"/>
      <c r="AS192" s="38"/>
      <c r="AT192" s="38"/>
      <c r="AU192" s="38"/>
      <c r="AV192" s="38"/>
      <c r="AW192" s="38"/>
      <c r="AX192" s="38"/>
      <c r="AY192" s="38"/>
      <c r="AZ192" s="38"/>
      <c r="BA192" s="38"/>
      <c r="BB192" s="38"/>
      <c r="BC192" s="38"/>
      <c r="BD192" s="38"/>
      <c r="BE192" s="38"/>
      <c r="BF192" s="38"/>
      <c r="BG192" s="38"/>
      <c r="BH192" s="38"/>
      <c r="BI192" s="38"/>
      <c r="BJ192" s="38"/>
      <c r="BK192" s="38"/>
      <c r="BL192" s="38"/>
      <c r="BM192" s="38"/>
      <c r="BN192" s="38"/>
      <c r="BO192" s="38"/>
      <c r="BP192" s="38"/>
      <c r="BQ192" s="38"/>
      <c r="BR192" s="38"/>
      <c r="BS192" s="38"/>
      <c r="BT192" s="38"/>
      <c r="BU192" s="38"/>
      <c r="BV192" s="38"/>
      <c r="BW192" s="38"/>
      <c r="BX192" s="38"/>
      <c r="BY192" s="38"/>
      <c r="BZ192" s="38"/>
      <c r="CA192" s="38"/>
      <c r="CB192" s="38"/>
      <c r="CC192" s="38"/>
      <c r="CD192" s="38"/>
      <c r="CE192" s="38"/>
      <c r="CF192" s="38"/>
      <c r="CG192" s="38"/>
      <c r="CH192" s="38"/>
      <c r="CI192" s="38"/>
      <c r="CJ192" s="38"/>
      <c r="CK192" s="38"/>
      <c r="CL192" s="38"/>
      <c r="CM192" s="38"/>
      <c r="CN192" s="38"/>
      <c r="CO192" s="38"/>
      <c r="CP192" s="38"/>
      <c r="CQ192" s="38"/>
      <c r="CR192" s="38"/>
      <c r="CS192" s="38"/>
      <c r="CT192" s="38"/>
      <c r="CU192" s="38"/>
      <c r="CV192" s="38"/>
      <c r="CW192" s="38"/>
      <c r="CX192" s="38"/>
      <c r="CY192" s="38"/>
      <c r="CZ192" s="38"/>
      <c r="DA192" s="38"/>
      <c r="DB192" s="38"/>
      <c r="DC192" s="38"/>
      <c r="DD192" s="38"/>
      <c r="DE192" s="38"/>
      <c r="DF192" s="38"/>
      <c r="DG192" s="38"/>
      <c r="DH192" s="38"/>
      <c r="DI192" s="38"/>
      <c r="DJ192" s="38"/>
      <c r="DK192" s="38"/>
      <c r="DL192" s="38"/>
      <c r="DM192" s="38"/>
      <c r="DN192" s="38"/>
      <c r="DO192" s="38"/>
      <c r="DP192" s="38"/>
      <c r="DQ192" s="38"/>
      <c r="DR192" s="38"/>
      <c r="DS192" s="38"/>
      <c r="DT192" s="38"/>
    </row>
    <row r="193" spans="1:124" s="5" customFormat="1" ht="30" customHeight="1" x14ac:dyDescent="0.25">
      <c r="A193" s="1"/>
      <c r="B193" s="136" t="s">
        <v>543</v>
      </c>
      <c r="C193" s="166">
        <v>442064</v>
      </c>
      <c r="D193" s="167"/>
      <c r="E193" s="476" t="s">
        <v>40</v>
      </c>
      <c r="F193" s="143" t="s">
        <v>736</v>
      </c>
      <c r="G193" s="144" t="s">
        <v>737</v>
      </c>
      <c r="H193" s="145">
        <v>1975</v>
      </c>
      <c r="I193" s="172" t="s">
        <v>129</v>
      </c>
      <c r="J193" s="146" t="s">
        <v>44</v>
      </c>
      <c r="K193" s="200">
        <v>80.2</v>
      </c>
      <c r="L193" s="300">
        <v>50</v>
      </c>
      <c r="M193" s="301">
        <v>57</v>
      </c>
      <c r="N193" s="449">
        <v>-62</v>
      </c>
      <c r="O193" s="490">
        <f t="shared" si="52"/>
        <v>57</v>
      </c>
      <c r="P193" s="300">
        <v>65</v>
      </c>
      <c r="Q193" s="301">
        <v>70</v>
      </c>
      <c r="R193" s="301">
        <v>75</v>
      </c>
      <c r="S193" s="490">
        <f t="shared" si="53"/>
        <v>75</v>
      </c>
      <c r="T193" s="489">
        <f>IF(E193="","",O193+S193)</f>
        <v>132</v>
      </c>
      <c r="U193" s="48" t="str">
        <f t="shared" si="54"/>
        <v>DEB -13</v>
      </c>
      <c r="V193" s="48" t="str">
        <f>IF(E193=0," ",IF(E193="H",IF(H193&lt;1999,VLOOKUP(K193,[13]Minimas!$A$15:$F$29,6),IF(AND(H193&gt;1998,H193&lt;2002),VLOOKUP(K193,[13]Minimas!$A$15:$F$29,5),IF(AND(H193&gt;2001,H193&lt;2004),VLOOKUP(K193,[13]Minimas!$A$15:$F$29,4),IF(AND(H193&gt;2003,H193&lt;2006),VLOOKUP(K193,[13]Minimas!$A$15:$F$29,3),VLOOKUP(K193,[13]Minimas!$A$15:$F$29,2))))),IF(H193&lt;1999,VLOOKUP(K193,[13]Minimas!$G$15:$L$29,6),IF(AND(H193&gt;1998,H193&lt;2002),VLOOKUP(K193,[13]Minimas!$G$15:$L$29,5),IF(AND(H193&gt;2001,H193&lt;2004),VLOOKUP(K193,[13]Minimas!$G$15:$L$29,4),IF(AND(H193&gt;2003,H193&lt;2006),VLOOKUP(K193,[13]Minimas!$G$15:$L$29,3),VLOOKUP(K193,[13]Minimas!$G$15:$L$29,2)))))))</f>
        <v>SE M81</v>
      </c>
      <c r="W193" s="49">
        <f t="shared" si="55"/>
        <v>161.27292025582864</v>
      </c>
      <c r="X193" s="257">
        <v>43540</v>
      </c>
      <c r="Y193" s="261" t="s">
        <v>714</v>
      </c>
      <c r="Z193" s="261" t="s">
        <v>704</v>
      </c>
      <c r="AA193" s="463"/>
      <c r="AB193" s="230">
        <f>T193-HLOOKUP(V193,Minimas!$C$3:$CD$12,2,FALSE)</f>
        <v>-13</v>
      </c>
      <c r="AC193" s="230">
        <f>T193-HLOOKUP(V193,Minimas!$C$3:$CD$12,3,FALSE)</f>
        <v>-38</v>
      </c>
      <c r="AD193" s="230">
        <f>T193-HLOOKUP(V193,Minimas!$C$3:$CD$12,4,FALSE)</f>
        <v>-63</v>
      </c>
      <c r="AE193" s="230">
        <f>T193-HLOOKUP(V193,Minimas!$C$3:$CD$12,5,FALSE)</f>
        <v>-88</v>
      </c>
      <c r="AF193" s="230">
        <f>T193-HLOOKUP(V193,Minimas!$C$3:$CD$12,6,FALSE)</f>
        <v>-118</v>
      </c>
      <c r="AG193" s="230">
        <f>T193-HLOOKUP(V193,Minimas!$C$3:$CD$12,7,FALSE)</f>
        <v>-143</v>
      </c>
      <c r="AH193" s="230">
        <f>T193-HLOOKUP(V193,Minimas!$C$3:$CD$12,8,FALSE)</f>
        <v>-163</v>
      </c>
      <c r="AI193" s="230">
        <f>T193-HLOOKUP(V193,Minimas!$C$3:$CD$12,9,FALSE)</f>
        <v>-188</v>
      </c>
      <c r="AJ193" s="230">
        <f>T193-HLOOKUP(V193,Minimas!$C$3:$CD$12,10,FALSE)</f>
        <v>-203</v>
      </c>
      <c r="AK193" s="231" t="str">
        <f t="shared" si="56"/>
        <v>DEB</v>
      </c>
      <c r="AL193" s="232"/>
      <c r="AM193" s="232" t="str">
        <f t="shared" si="57"/>
        <v>DEB</v>
      </c>
      <c r="AN193" s="232">
        <f t="shared" si="58"/>
        <v>-13</v>
      </c>
      <c r="AO193" s="463"/>
      <c r="AP193" s="34"/>
      <c r="AQ193" s="34"/>
      <c r="AR193" s="34"/>
      <c r="AS193" s="34"/>
      <c r="AT193" s="34"/>
      <c r="AU193" s="34"/>
      <c r="AV193" s="34"/>
      <c r="AW193" s="34"/>
      <c r="AX193" s="34"/>
      <c r="AY193" s="34"/>
      <c r="AZ193" s="34"/>
      <c r="BA193" s="34"/>
      <c r="BB193" s="34"/>
      <c r="BC193" s="34"/>
      <c r="BD193" s="34"/>
      <c r="BE193" s="34"/>
      <c r="BF193" s="34"/>
      <c r="BG193" s="34"/>
      <c r="BH193" s="34"/>
      <c r="BI193" s="34"/>
      <c r="BJ193" s="34"/>
      <c r="BK193" s="34"/>
      <c r="BL193" s="34"/>
      <c r="BM193" s="34"/>
      <c r="BN193" s="34"/>
      <c r="BO193" s="34"/>
      <c r="BP193" s="34"/>
      <c r="BQ193" s="34"/>
      <c r="BR193" s="34"/>
      <c r="BS193" s="34"/>
      <c r="BT193" s="34"/>
      <c r="BU193" s="34"/>
      <c r="BV193" s="34"/>
      <c r="BW193" s="34"/>
      <c r="BX193" s="34"/>
      <c r="BY193" s="34"/>
      <c r="BZ193" s="34"/>
      <c r="CA193" s="34"/>
      <c r="CB193" s="34"/>
      <c r="CC193" s="34"/>
      <c r="CD193" s="34"/>
      <c r="CE193" s="34"/>
      <c r="CF193" s="34"/>
      <c r="CG193" s="34"/>
      <c r="CH193" s="34"/>
      <c r="CI193" s="34"/>
      <c r="CJ193" s="34"/>
      <c r="CK193" s="34"/>
      <c r="CL193" s="34"/>
      <c r="CM193" s="34"/>
      <c r="CN193" s="34"/>
      <c r="CO193" s="34"/>
      <c r="CP193" s="34"/>
      <c r="CQ193" s="34"/>
      <c r="CR193" s="34"/>
      <c r="CS193" s="34"/>
      <c r="CT193" s="34"/>
      <c r="CU193" s="34"/>
      <c r="CV193" s="34"/>
      <c r="CW193" s="34"/>
      <c r="CX193" s="34"/>
      <c r="CY193" s="34"/>
      <c r="CZ193" s="34"/>
      <c r="DA193" s="34"/>
      <c r="DB193" s="34"/>
      <c r="DC193" s="34"/>
      <c r="DD193" s="34"/>
      <c r="DE193" s="34"/>
      <c r="DF193" s="34"/>
      <c r="DG193" s="34"/>
      <c r="DH193" s="34"/>
      <c r="DI193" s="34"/>
      <c r="DJ193" s="34"/>
      <c r="DK193" s="34"/>
      <c r="DL193" s="34"/>
      <c r="DM193" s="34"/>
      <c r="DN193" s="34"/>
      <c r="DO193" s="34"/>
      <c r="DP193" s="34"/>
      <c r="DQ193" s="34"/>
      <c r="DR193" s="34"/>
      <c r="DS193" s="34"/>
      <c r="DT193" s="34"/>
    </row>
    <row r="194" spans="1:124" s="5" customFormat="1" ht="30" customHeight="1" x14ac:dyDescent="0.25">
      <c r="B194" s="136" t="s">
        <v>543</v>
      </c>
      <c r="C194" s="473">
        <v>447479</v>
      </c>
      <c r="D194" s="824"/>
      <c r="E194" s="723" t="s">
        <v>40</v>
      </c>
      <c r="F194" s="828" t="s">
        <v>622</v>
      </c>
      <c r="G194" s="830" t="s">
        <v>424</v>
      </c>
      <c r="H194" s="834">
        <v>1995</v>
      </c>
      <c r="I194" s="835" t="s">
        <v>170</v>
      </c>
      <c r="J194" s="842" t="s">
        <v>41</v>
      </c>
      <c r="K194" s="848">
        <v>79</v>
      </c>
      <c r="L194" s="456">
        <v>50</v>
      </c>
      <c r="M194" s="457">
        <v>55</v>
      </c>
      <c r="N194" s="457">
        <v>58</v>
      </c>
      <c r="O194" s="490">
        <f t="shared" ref="O194:O218" si="60">IF(E194="","",IF(MAXA(L194:N194)&lt;=0,0,MAXA(L194:N194)))</f>
        <v>58</v>
      </c>
      <c r="P194" s="456">
        <v>66</v>
      </c>
      <c r="Q194" s="457">
        <v>70</v>
      </c>
      <c r="R194" s="457">
        <v>73</v>
      </c>
      <c r="S194" s="490">
        <f t="shared" ref="S194:S225" si="61">IF(E194="","",IF(MAXA(P194:R194)&lt;=0,0,MAXA(P194:R194)))</f>
        <v>73</v>
      </c>
      <c r="T194" s="489">
        <f>IF(E194="","",IF(OR(O194=0,S194=0),0,O194+S194))</f>
        <v>131</v>
      </c>
      <c r="U194" s="48" t="str">
        <f t="shared" ref="U194:U225" si="62">+CONCATENATE(AM194," ",AN194)</f>
        <v>DEB -14</v>
      </c>
      <c r="V194" s="48" t="str">
        <f>IF(E194=0," ",IF(E194="H",IF(H194&lt;1999,VLOOKUP(K194,Minimas!$A$15:$F$29,6),IF(AND(H194&gt;1998,H194&lt;2002),VLOOKUP(K194,Minimas!$A$15:$F$29,5),IF(AND(H194&gt;2001,H194&lt;2004),VLOOKUP(K194,Minimas!$A$15:$F$29,4),IF(AND(H194&gt;2003,H194&lt;2006),VLOOKUP(K194,Minimas!$A$15:$F$29,3),VLOOKUP(K194,Minimas!$A$15:$F$29,2))))),IF(H194&lt;1999,VLOOKUP(K194,Minimas!$G$15:$L$29,6),IF(AND(H194&gt;1998,H194&lt;2002),VLOOKUP(K194,Minimas!$G$15:$L$29,5),IF(AND(H194&gt;2001,H194&lt;2004),VLOOKUP(K194,Minimas!$G$15:$L$29,4),IF(AND(H194&gt;2003,H194&lt;2006),VLOOKUP(K194,Minimas!$G$15:$L$29,3),VLOOKUP(K194,Minimas!$G$15:$L$29,2)))))))</f>
        <v>SE M81</v>
      </c>
      <c r="W194" s="49">
        <f t="shared" ref="W194:W225" si="63">IF(E194=" "," ",IF(E194="H",10^(0.75194503*LOG(K194/175.508)^2)*T194,IF(E194="F",10^(0.783497476* LOG(K194/153.655)^2)*T194,"")))</f>
        <v>161.3021014654019</v>
      </c>
      <c r="X194" s="257">
        <v>43484</v>
      </c>
      <c r="Y194" s="261" t="s">
        <v>630</v>
      </c>
      <c r="Z194" s="261" t="s">
        <v>581</v>
      </c>
      <c r="AA194" s="232"/>
      <c r="AB194" s="230">
        <f>T194-HLOOKUP(V194,Minimas!$C$3:$CD$12,2,FALSE)</f>
        <v>-14</v>
      </c>
      <c r="AC194" s="230">
        <f>T194-HLOOKUP(V194,Minimas!$C$3:$CD$12,3,FALSE)</f>
        <v>-39</v>
      </c>
      <c r="AD194" s="230">
        <f>T194-HLOOKUP(V194,Minimas!$C$3:$CD$12,4,FALSE)</f>
        <v>-64</v>
      </c>
      <c r="AE194" s="230">
        <f>T194-HLOOKUP(V194,Minimas!$C$3:$CD$12,5,FALSE)</f>
        <v>-89</v>
      </c>
      <c r="AF194" s="230">
        <f>T194-HLOOKUP(V194,Minimas!$C$3:$CD$12,6,FALSE)</f>
        <v>-119</v>
      </c>
      <c r="AG194" s="230">
        <f>T194-HLOOKUP(V194,Minimas!$C$3:$CD$12,7,FALSE)</f>
        <v>-144</v>
      </c>
      <c r="AH194" s="230">
        <f>T194-HLOOKUP(V194,Minimas!$C$3:$CD$12,8,FALSE)</f>
        <v>-164</v>
      </c>
      <c r="AI194" s="230">
        <f>T194-HLOOKUP(V194,Minimas!$C$3:$CD$12,9,FALSE)</f>
        <v>-189</v>
      </c>
      <c r="AJ194" s="230">
        <f>T194-HLOOKUP(V194,Minimas!$C$3:$CD$12,10,FALSE)</f>
        <v>-204</v>
      </c>
      <c r="AK194" s="231" t="str">
        <f t="shared" ref="AK194:AK225" si="64">IF(E194=0," ",IF(AJ194&gt;=0,$AJ$5,IF(AI194&gt;=0,$AI$5,IF(AH194&gt;=0,$AH$5,IF(AG194&gt;=0,$AG$5,IF(AF194&gt;=0,$AF$5,IF(AE194&gt;=0,$AE$5,IF(AD194&gt;=0,$AD$5,IF(AC194&gt;=0,$AC$5,$AB$5)))))))))</f>
        <v>DEB</v>
      </c>
      <c r="AL194" s="232"/>
      <c r="AM194" s="232" t="str">
        <f t="shared" ref="AM194:AM225" si="65">IF(AK194="","",AK194)</f>
        <v>DEB</v>
      </c>
      <c r="AN194" s="232">
        <f t="shared" ref="AN194:AN225" si="66">IF(E194=0," ",IF(AJ194&gt;=0,AJ194,IF(AI194&gt;=0,AI194,IF(AH194&gt;=0,AH194,IF(AG194&gt;=0,AG194,IF(AF194&gt;=0,AF194,IF(AE194&gt;=0,AE194,IF(AD194&gt;=0,AD194,IF(AC194&gt;=0,AC194,AB194)))))))))</f>
        <v>-14</v>
      </c>
      <c r="AO194" s="232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  <c r="AZ194" s="38"/>
      <c r="BA194" s="38"/>
      <c r="BB194" s="38"/>
      <c r="BC194" s="38"/>
      <c r="BD194" s="38"/>
      <c r="BE194" s="38"/>
      <c r="BF194" s="38"/>
      <c r="BG194" s="38"/>
      <c r="BH194" s="38"/>
      <c r="BI194" s="38"/>
      <c r="BJ194" s="38"/>
      <c r="BK194" s="38"/>
      <c r="BL194" s="38"/>
      <c r="BM194" s="38"/>
      <c r="BN194" s="38"/>
      <c r="BO194" s="38"/>
      <c r="BP194" s="38"/>
      <c r="BQ194" s="38"/>
      <c r="BR194" s="38"/>
      <c r="BS194" s="38"/>
      <c r="BT194" s="38"/>
      <c r="BU194" s="38"/>
      <c r="BV194" s="38"/>
      <c r="BW194" s="38"/>
      <c r="BX194" s="38"/>
      <c r="BY194" s="38"/>
      <c r="BZ194" s="38"/>
      <c r="CA194" s="38"/>
      <c r="CB194" s="38"/>
      <c r="CC194" s="38"/>
      <c r="CD194" s="38"/>
      <c r="CE194" s="38"/>
      <c r="CF194" s="38"/>
      <c r="CG194" s="38"/>
      <c r="CH194" s="38"/>
      <c r="CI194" s="38"/>
      <c r="CJ194" s="38"/>
      <c r="CK194" s="38"/>
      <c r="CL194" s="38"/>
      <c r="CM194" s="38"/>
      <c r="CN194" s="38"/>
      <c r="CO194" s="38"/>
      <c r="CP194" s="38"/>
      <c r="CQ194" s="38"/>
      <c r="CR194" s="38"/>
      <c r="CS194" s="38"/>
      <c r="CT194" s="38"/>
      <c r="CU194" s="38"/>
      <c r="CV194" s="38"/>
      <c r="CW194" s="38"/>
      <c r="CX194" s="38"/>
      <c r="CY194" s="38"/>
      <c r="CZ194" s="38"/>
      <c r="DA194" s="38"/>
      <c r="DB194" s="38"/>
      <c r="DC194" s="38"/>
      <c r="DD194" s="38"/>
      <c r="DE194" s="38"/>
      <c r="DF194" s="38"/>
      <c r="DG194" s="38"/>
      <c r="DH194" s="38"/>
      <c r="DI194" s="38"/>
      <c r="DJ194" s="38"/>
      <c r="DK194" s="38"/>
      <c r="DL194" s="38"/>
      <c r="DM194" s="38"/>
      <c r="DN194" s="38"/>
      <c r="DO194" s="38"/>
      <c r="DP194" s="38"/>
      <c r="DQ194" s="38"/>
      <c r="DR194" s="38"/>
      <c r="DS194" s="38"/>
      <c r="DT194" s="38"/>
    </row>
    <row r="195" spans="1:124" s="5" customFormat="1" ht="30" customHeight="1" x14ac:dyDescent="0.25">
      <c r="B195" s="685" t="s">
        <v>543</v>
      </c>
      <c r="C195" s="166">
        <v>443402</v>
      </c>
      <c r="D195" s="167"/>
      <c r="E195" s="476" t="s">
        <v>40</v>
      </c>
      <c r="F195" s="217" t="s">
        <v>684</v>
      </c>
      <c r="G195" s="144" t="s">
        <v>685</v>
      </c>
      <c r="H195" s="218">
        <v>1998</v>
      </c>
      <c r="I195" s="169" t="s">
        <v>139</v>
      </c>
      <c r="J195" s="168" t="s">
        <v>44</v>
      </c>
      <c r="K195" s="147">
        <v>79.3</v>
      </c>
      <c r="L195" s="300">
        <v>50</v>
      </c>
      <c r="M195" s="301">
        <v>55</v>
      </c>
      <c r="N195" s="301">
        <v>-58</v>
      </c>
      <c r="O195" s="490">
        <f t="shared" si="60"/>
        <v>55</v>
      </c>
      <c r="P195" s="300">
        <v>67</v>
      </c>
      <c r="Q195" s="301">
        <v>71</v>
      </c>
      <c r="R195" s="301">
        <v>74</v>
      </c>
      <c r="S195" s="490">
        <f t="shared" si="61"/>
        <v>74</v>
      </c>
      <c r="T195" s="489">
        <f>IF(E195="","",IF(OR(O195=0,S195=0),0,O195+S195))</f>
        <v>129</v>
      </c>
      <c r="U195" s="48" t="str">
        <f t="shared" si="62"/>
        <v>DEB -16</v>
      </c>
      <c r="V195" s="48" t="str">
        <f>IF(E195=0," ",IF(E195="H",IF(H195&lt;1999,VLOOKUP(K195,[25]Minimas!$A$15:$F$29,6),IF(AND(H195&gt;1998,H195&lt;2002),VLOOKUP(K195,[25]Minimas!$A$15:$F$29,5),IF(AND(H195&gt;2001,H195&lt;2004),VLOOKUP(K195,[25]Minimas!$A$15:$F$29,4),IF(AND(H195&gt;2003,H195&lt;2006),VLOOKUP(K195,[25]Minimas!$A$15:$F$29,3),VLOOKUP(K195,[25]Minimas!$A$15:$F$29,2))))),IF(H195&lt;1999,VLOOKUP(K195,[25]Minimas!$G$15:$L$29,6),IF(AND(H195&gt;1998,H195&lt;2002),VLOOKUP(K195,[25]Minimas!$G$15:$L$29,5),IF(AND(H195&gt;2001,H195&lt;2004),VLOOKUP(K195,[25]Minimas!$G$15:$L$29,4),IF(AND(H195&gt;2003,H195&lt;2006),VLOOKUP(K195,[25]Minimas!$G$15:$L$29,3),VLOOKUP(K195,[25]Minimas!$G$15:$L$29,2)))))))</f>
        <v>SE M81</v>
      </c>
      <c r="W195" s="49">
        <f t="shared" si="63"/>
        <v>158.52664921031263</v>
      </c>
      <c r="X195" s="257">
        <v>43492</v>
      </c>
      <c r="Y195" s="261" t="s">
        <v>525</v>
      </c>
      <c r="Z195" s="261" t="s">
        <v>695</v>
      </c>
      <c r="AA195" s="232"/>
      <c r="AB195" s="230">
        <f>T195-HLOOKUP(V195,Minimas!$C$3:$CD$12,2,FALSE)</f>
        <v>-16</v>
      </c>
      <c r="AC195" s="230">
        <f>T195-HLOOKUP(V195,Minimas!$C$3:$CD$12,3,FALSE)</f>
        <v>-41</v>
      </c>
      <c r="AD195" s="230">
        <f>T195-HLOOKUP(V195,Minimas!$C$3:$CD$12,4,FALSE)</f>
        <v>-66</v>
      </c>
      <c r="AE195" s="230">
        <f>T195-HLOOKUP(V195,Minimas!$C$3:$CD$12,5,FALSE)</f>
        <v>-91</v>
      </c>
      <c r="AF195" s="230">
        <f>T195-HLOOKUP(V195,Minimas!$C$3:$CD$12,6,FALSE)</f>
        <v>-121</v>
      </c>
      <c r="AG195" s="230">
        <f>T195-HLOOKUP(V195,Minimas!$C$3:$CD$12,7,FALSE)</f>
        <v>-146</v>
      </c>
      <c r="AH195" s="230">
        <f>T195-HLOOKUP(V195,Minimas!$C$3:$CD$12,8,FALSE)</f>
        <v>-166</v>
      </c>
      <c r="AI195" s="230">
        <f>T195-HLOOKUP(V195,Minimas!$C$3:$CD$12,9,FALSE)</f>
        <v>-191</v>
      </c>
      <c r="AJ195" s="230">
        <f>T195-HLOOKUP(V195,Minimas!$C$3:$CD$12,10,FALSE)</f>
        <v>-206</v>
      </c>
      <c r="AK195" s="231" t="str">
        <f t="shared" si="64"/>
        <v>DEB</v>
      </c>
      <c r="AL195" s="232"/>
      <c r="AM195" s="232" t="str">
        <f t="shared" si="65"/>
        <v>DEB</v>
      </c>
      <c r="AN195" s="232">
        <f t="shared" si="66"/>
        <v>-16</v>
      </c>
      <c r="AO195" s="232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  <c r="BA195" s="38"/>
      <c r="BB195" s="38"/>
      <c r="BC195" s="38"/>
      <c r="BD195" s="38"/>
      <c r="BE195" s="38"/>
      <c r="BF195" s="38"/>
      <c r="BG195" s="38"/>
      <c r="BH195" s="38"/>
      <c r="BI195" s="38"/>
      <c r="BJ195" s="38"/>
      <c r="BK195" s="38"/>
      <c r="BL195" s="38"/>
      <c r="BM195" s="38"/>
      <c r="BN195" s="38"/>
      <c r="BO195" s="38"/>
      <c r="BP195" s="38"/>
      <c r="BQ195" s="38"/>
      <c r="BR195" s="38"/>
      <c r="BS195" s="38"/>
      <c r="BT195" s="38"/>
      <c r="BU195" s="38"/>
      <c r="BV195" s="38"/>
      <c r="BW195" s="38"/>
      <c r="BX195" s="38"/>
      <c r="BY195" s="38"/>
      <c r="BZ195" s="38"/>
      <c r="CA195" s="38"/>
      <c r="CB195" s="38"/>
      <c r="CC195" s="38"/>
      <c r="CD195" s="38"/>
      <c r="CE195" s="38"/>
      <c r="CF195" s="38"/>
      <c r="CG195" s="38"/>
      <c r="CH195" s="38"/>
      <c r="CI195" s="38"/>
      <c r="CJ195" s="38"/>
      <c r="CK195" s="38"/>
      <c r="CL195" s="38"/>
      <c r="CM195" s="38"/>
      <c r="CN195" s="38"/>
      <c r="CO195" s="38"/>
      <c r="CP195" s="38"/>
      <c r="CQ195" s="38"/>
      <c r="CR195" s="38"/>
      <c r="CS195" s="38"/>
      <c r="CT195" s="38"/>
      <c r="CU195" s="38"/>
      <c r="CV195" s="38"/>
      <c r="CW195" s="38"/>
      <c r="CX195" s="38"/>
      <c r="CY195" s="38"/>
      <c r="CZ195" s="38"/>
      <c r="DA195" s="38"/>
      <c r="DB195" s="38"/>
      <c r="DC195" s="38"/>
      <c r="DD195" s="38"/>
      <c r="DE195" s="38"/>
      <c r="DF195" s="38"/>
      <c r="DG195" s="38"/>
      <c r="DH195" s="38"/>
      <c r="DI195" s="38"/>
      <c r="DJ195" s="38"/>
      <c r="DK195" s="38"/>
      <c r="DL195" s="38"/>
      <c r="DM195" s="38"/>
      <c r="DN195" s="38"/>
      <c r="DO195" s="38"/>
      <c r="DP195" s="38"/>
      <c r="DQ195" s="38"/>
      <c r="DR195" s="38"/>
      <c r="DS195" s="38"/>
      <c r="DT195" s="38"/>
    </row>
    <row r="196" spans="1:124" s="5" customFormat="1" ht="30" customHeight="1" x14ac:dyDescent="0.25">
      <c r="B196" s="685" t="s">
        <v>543</v>
      </c>
      <c r="C196" s="166">
        <v>273525</v>
      </c>
      <c r="D196" s="167"/>
      <c r="E196" s="476" t="s">
        <v>40</v>
      </c>
      <c r="F196" s="217" t="s">
        <v>364</v>
      </c>
      <c r="G196" s="144" t="s">
        <v>365</v>
      </c>
      <c r="H196" s="218">
        <v>1977</v>
      </c>
      <c r="I196" s="170" t="s">
        <v>575</v>
      </c>
      <c r="J196" s="168" t="s">
        <v>44</v>
      </c>
      <c r="K196" s="147">
        <v>73.2</v>
      </c>
      <c r="L196" s="300">
        <v>52</v>
      </c>
      <c r="M196" s="301">
        <v>56</v>
      </c>
      <c r="N196" s="301">
        <v>59</v>
      </c>
      <c r="O196" s="490">
        <f t="shared" si="60"/>
        <v>59</v>
      </c>
      <c r="P196" s="300">
        <v>60</v>
      </c>
      <c r="Q196" s="301">
        <v>65</v>
      </c>
      <c r="R196" s="301">
        <v>69</v>
      </c>
      <c r="S196" s="490">
        <f t="shared" si="61"/>
        <v>69</v>
      </c>
      <c r="T196" s="489">
        <f>IF(E196="","",IF(OR(O196=0,S196=0),0,O196+S196))</f>
        <v>128</v>
      </c>
      <c r="U196" s="48" t="str">
        <f t="shared" si="62"/>
        <v>DEB -17</v>
      </c>
      <c r="V196" s="48" t="str">
        <f>IF(E196=0," ",IF(E196="H",IF(H196&lt;1999,VLOOKUP(K196,[25]Minimas!$A$15:$F$29,6),IF(AND(H196&gt;1998,H196&lt;2002),VLOOKUP(K196,[25]Minimas!$A$15:$F$29,5),IF(AND(H196&gt;2001,H196&lt;2004),VLOOKUP(K196,[25]Minimas!$A$15:$F$29,4),IF(AND(H196&gt;2003,H196&lt;2006),VLOOKUP(K196,[25]Minimas!$A$15:$F$29,3),VLOOKUP(K196,[25]Minimas!$A$15:$F$29,2))))),IF(H196&lt;1999,VLOOKUP(K196,[25]Minimas!$G$15:$L$29,6),IF(AND(H196&gt;1998,H196&lt;2002),VLOOKUP(K196,[25]Minimas!$G$15:$L$29,5),IF(AND(H196&gt;2001,H196&lt;2004),VLOOKUP(K196,[25]Minimas!$G$15:$L$29,4),IF(AND(H196&gt;2003,H196&lt;2006),VLOOKUP(K196,[25]Minimas!$G$15:$L$29,3),VLOOKUP(K196,[25]Minimas!$G$15:$L$29,2)))))))</f>
        <v>SE M81</v>
      </c>
      <c r="W196" s="49">
        <f t="shared" si="63"/>
        <v>164.31169529017393</v>
      </c>
      <c r="X196" s="257">
        <v>43492</v>
      </c>
      <c r="Y196" s="261" t="s">
        <v>525</v>
      </c>
      <c r="Z196" s="261" t="s">
        <v>695</v>
      </c>
      <c r="AA196" s="232"/>
      <c r="AB196" s="230">
        <f>T196-HLOOKUP(V196,Minimas!$C$3:$CD$12,2,FALSE)</f>
        <v>-17</v>
      </c>
      <c r="AC196" s="230">
        <f>T196-HLOOKUP(V196,Minimas!$C$3:$CD$12,3,FALSE)</f>
        <v>-42</v>
      </c>
      <c r="AD196" s="230">
        <f>T196-HLOOKUP(V196,Minimas!$C$3:$CD$12,4,FALSE)</f>
        <v>-67</v>
      </c>
      <c r="AE196" s="230">
        <f>T196-HLOOKUP(V196,Minimas!$C$3:$CD$12,5,FALSE)</f>
        <v>-92</v>
      </c>
      <c r="AF196" s="230">
        <f>T196-HLOOKUP(V196,Minimas!$C$3:$CD$12,6,FALSE)</f>
        <v>-122</v>
      </c>
      <c r="AG196" s="230">
        <f>T196-HLOOKUP(V196,Minimas!$C$3:$CD$12,7,FALSE)</f>
        <v>-147</v>
      </c>
      <c r="AH196" s="230">
        <f>T196-HLOOKUP(V196,Minimas!$C$3:$CD$12,8,FALSE)</f>
        <v>-167</v>
      </c>
      <c r="AI196" s="230">
        <f>T196-HLOOKUP(V196,Minimas!$C$3:$CD$12,9,FALSE)</f>
        <v>-192</v>
      </c>
      <c r="AJ196" s="230">
        <f>T196-HLOOKUP(V196,Minimas!$C$3:$CD$12,10,FALSE)</f>
        <v>-207</v>
      </c>
      <c r="AK196" s="231" t="str">
        <f t="shared" si="64"/>
        <v>DEB</v>
      </c>
      <c r="AL196" s="232"/>
      <c r="AM196" s="232" t="str">
        <f t="shared" si="65"/>
        <v>DEB</v>
      </c>
      <c r="AN196" s="232">
        <f t="shared" si="66"/>
        <v>-17</v>
      </c>
      <c r="AO196" s="232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  <c r="BA196" s="38"/>
      <c r="BB196" s="38"/>
      <c r="BC196" s="38"/>
      <c r="BD196" s="38"/>
      <c r="BE196" s="38"/>
      <c r="BF196" s="38"/>
      <c r="BG196" s="38"/>
      <c r="BH196" s="38"/>
      <c r="BI196" s="38"/>
      <c r="BJ196" s="38"/>
      <c r="BK196" s="38"/>
      <c r="BL196" s="38"/>
      <c r="BM196" s="38"/>
      <c r="BN196" s="38"/>
      <c r="BO196" s="38"/>
      <c r="BP196" s="38"/>
      <c r="BQ196" s="38"/>
      <c r="BR196" s="38"/>
      <c r="BS196" s="38"/>
      <c r="BT196" s="38"/>
      <c r="BU196" s="38"/>
      <c r="BV196" s="38"/>
      <c r="BW196" s="38"/>
      <c r="BX196" s="38"/>
      <c r="BY196" s="38"/>
      <c r="BZ196" s="38"/>
      <c r="CA196" s="38"/>
      <c r="CB196" s="38"/>
      <c r="CC196" s="38"/>
      <c r="CD196" s="38"/>
      <c r="CE196" s="38"/>
      <c r="CF196" s="38"/>
      <c r="CG196" s="38"/>
      <c r="CH196" s="38"/>
      <c r="CI196" s="38"/>
      <c r="CJ196" s="38"/>
      <c r="CK196" s="38"/>
      <c r="CL196" s="38"/>
      <c r="CM196" s="38"/>
      <c r="CN196" s="38"/>
      <c r="CO196" s="38"/>
      <c r="CP196" s="38"/>
      <c r="CQ196" s="38"/>
      <c r="CR196" s="38"/>
      <c r="CS196" s="38"/>
      <c r="CT196" s="38"/>
      <c r="CU196" s="38"/>
      <c r="CV196" s="38"/>
      <c r="CW196" s="38"/>
      <c r="CX196" s="38"/>
      <c r="CY196" s="38"/>
      <c r="CZ196" s="38"/>
      <c r="DA196" s="38"/>
      <c r="DB196" s="38"/>
      <c r="DC196" s="38"/>
      <c r="DD196" s="38"/>
      <c r="DE196" s="38"/>
      <c r="DF196" s="38"/>
      <c r="DG196" s="38"/>
      <c r="DH196" s="38"/>
      <c r="DI196" s="38"/>
      <c r="DJ196" s="38"/>
      <c r="DK196" s="38"/>
      <c r="DL196" s="38"/>
      <c r="DM196" s="38"/>
      <c r="DN196" s="38"/>
      <c r="DO196" s="38"/>
      <c r="DP196" s="38"/>
      <c r="DQ196" s="38"/>
      <c r="DR196" s="38"/>
      <c r="DS196" s="38"/>
      <c r="DT196" s="38"/>
    </row>
    <row r="197" spans="1:124" s="5" customFormat="1" ht="30" customHeight="1" x14ac:dyDescent="0.25">
      <c r="A197" s="1"/>
      <c r="B197" s="136" t="s">
        <v>543</v>
      </c>
      <c r="C197" s="166">
        <v>445983</v>
      </c>
      <c r="D197" s="167"/>
      <c r="E197" s="476" t="s">
        <v>40</v>
      </c>
      <c r="F197" s="143" t="s">
        <v>758</v>
      </c>
      <c r="G197" s="144" t="s">
        <v>759</v>
      </c>
      <c r="H197" s="145">
        <v>1997</v>
      </c>
      <c r="I197" s="172" t="s">
        <v>129</v>
      </c>
      <c r="J197" s="155" t="s">
        <v>44</v>
      </c>
      <c r="K197" s="200">
        <v>75.599999999999994</v>
      </c>
      <c r="L197" s="300">
        <v>48</v>
      </c>
      <c r="M197" s="301">
        <v>55</v>
      </c>
      <c r="N197" s="449">
        <v>-65</v>
      </c>
      <c r="O197" s="490">
        <f t="shared" si="60"/>
        <v>55</v>
      </c>
      <c r="P197" s="300">
        <v>65</v>
      </c>
      <c r="Q197" s="301">
        <v>70</v>
      </c>
      <c r="R197" s="449">
        <v>-80</v>
      </c>
      <c r="S197" s="490">
        <f t="shared" si="61"/>
        <v>70</v>
      </c>
      <c r="T197" s="489">
        <f>IF(E197="","",O197+S197)</f>
        <v>125</v>
      </c>
      <c r="U197" s="48" t="str">
        <f t="shared" si="62"/>
        <v>DEB -20</v>
      </c>
      <c r="V197" s="48" t="str">
        <f>IF(E197=0," ",IF(E197="H",IF(H197&lt;1999,VLOOKUP(K197,[7]Minimas!$A$15:$F$29,6),IF(AND(H197&gt;1998,H197&lt;2002),VLOOKUP(K197,[7]Minimas!$A$15:$F$29,5),IF(AND(H197&gt;2001,H197&lt;2004),VLOOKUP(K197,[7]Minimas!$A$15:$F$29,4),IF(AND(H197&gt;2003,H197&lt;2006),VLOOKUP(K197,[7]Minimas!$A$15:$F$29,3),VLOOKUP(K197,[7]Minimas!$A$15:$F$29,2))))),IF(H197&lt;1999,VLOOKUP(K197,[7]Minimas!$G$15:$L$29,6),IF(AND(H197&gt;1998,H197&lt;2002),VLOOKUP(K197,[7]Minimas!$G$15:$L$29,5),IF(AND(H197&gt;2001,H197&lt;2004),VLOOKUP(K197,[7]Minimas!$G$15:$L$29,4),IF(AND(H197&gt;2003,H197&lt;2006),VLOOKUP(K197,[7]Minimas!$G$15:$L$29,3),VLOOKUP(K197,[7]Minimas!$G$15:$L$29,2)))))))</f>
        <v>SE M81</v>
      </c>
      <c r="W197" s="49">
        <f t="shared" si="63"/>
        <v>157.58461722268572</v>
      </c>
      <c r="X197" s="257">
        <v>43540</v>
      </c>
      <c r="Y197" s="261" t="s">
        <v>714</v>
      </c>
      <c r="Z197" s="261" t="s">
        <v>704</v>
      </c>
      <c r="AA197" s="463"/>
      <c r="AB197" s="230">
        <f>T197-HLOOKUP(V197,Minimas!$C$3:$CD$12,2,FALSE)</f>
        <v>-20</v>
      </c>
      <c r="AC197" s="230">
        <f>T197-HLOOKUP(V197,Minimas!$C$3:$CD$12,3,FALSE)</f>
        <v>-45</v>
      </c>
      <c r="AD197" s="230">
        <f>T197-HLOOKUP(V197,Minimas!$C$3:$CD$12,4,FALSE)</f>
        <v>-70</v>
      </c>
      <c r="AE197" s="230">
        <f>T197-HLOOKUP(V197,Minimas!$C$3:$CD$12,5,FALSE)</f>
        <v>-95</v>
      </c>
      <c r="AF197" s="230">
        <f>T197-HLOOKUP(V197,Minimas!$C$3:$CD$12,6,FALSE)</f>
        <v>-125</v>
      </c>
      <c r="AG197" s="230">
        <f>T197-HLOOKUP(V197,Minimas!$C$3:$CD$12,7,FALSE)</f>
        <v>-150</v>
      </c>
      <c r="AH197" s="230">
        <f>T197-HLOOKUP(V197,Minimas!$C$3:$CD$12,8,FALSE)</f>
        <v>-170</v>
      </c>
      <c r="AI197" s="230">
        <f>T197-HLOOKUP(V197,Minimas!$C$3:$CD$12,9,FALSE)</f>
        <v>-195</v>
      </c>
      <c r="AJ197" s="230">
        <f>T197-HLOOKUP(V197,Minimas!$C$3:$CD$12,10,FALSE)</f>
        <v>-210</v>
      </c>
      <c r="AK197" s="231" t="str">
        <f t="shared" si="64"/>
        <v>DEB</v>
      </c>
      <c r="AL197" s="232"/>
      <c r="AM197" s="232" t="str">
        <f t="shared" si="65"/>
        <v>DEB</v>
      </c>
      <c r="AN197" s="232">
        <f t="shared" si="66"/>
        <v>-20</v>
      </c>
      <c r="AO197" s="463"/>
      <c r="AP197" s="34"/>
      <c r="AQ197" s="34"/>
      <c r="AR197" s="34"/>
      <c r="AS197" s="34"/>
      <c r="AT197" s="34"/>
      <c r="AU197" s="34"/>
      <c r="AV197" s="34"/>
      <c r="AW197" s="34"/>
      <c r="AX197" s="34"/>
      <c r="AY197" s="34"/>
      <c r="AZ197" s="34"/>
      <c r="BA197" s="34"/>
      <c r="BB197" s="34"/>
      <c r="BC197" s="34"/>
      <c r="BD197" s="34"/>
      <c r="BE197" s="34"/>
      <c r="BF197" s="34"/>
      <c r="BG197" s="34"/>
      <c r="BH197" s="34"/>
      <c r="BI197" s="34"/>
      <c r="BJ197" s="34"/>
      <c r="BK197" s="34"/>
      <c r="BL197" s="34"/>
      <c r="BM197" s="34"/>
      <c r="BN197" s="34"/>
      <c r="BO197" s="34"/>
      <c r="BP197" s="34"/>
      <c r="BQ197" s="34"/>
      <c r="BR197" s="34"/>
      <c r="BS197" s="34"/>
      <c r="BT197" s="34"/>
      <c r="BU197" s="34"/>
      <c r="BV197" s="34"/>
      <c r="BW197" s="34"/>
      <c r="BX197" s="34"/>
      <c r="BY197" s="34"/>
      <c r="BZ197" s="34"/>
      <c r="CA197" s="34"/>
      <c r="CB197" s="34"/>
      <c r="CC197" s="34"/>
      <c r="CD197" s="34"/>
      <c r="CE197" s="34"/>
      <c r="CF197" s="34"/>
      <c r="CG197" s="34"/>
      <c r="CH197" s="34"/>
      <c r="CI197" s="34"/>
      <c r="CJ197" s="34"/>
      <c r="CK197" s="34"/>
      <c r="CL197" s="34"/>
      <c r="CM197" s="34"/>
      <c r="CN197" s="34"/>
      <c r="CO197" s="34"/>
      <c r="CP197" s="34"/>
      <c r="CQ197" s="34"/>
      <c r="CR197" s="34"/>
      <c r="CS197" s="34"/>
      <c r="CT197" s="34"/>
      <c r="CU197" s="34"/>
      <c r="CV197" s="34"/>
      <c r="CW197" s="34"/>
      <c r="CX197" s="34"/>
      <c r="CY197" s="34"/>
      <c r="CZ197" s="34"/>
      <c r="DA197" s="34"/>
      <c r="DB197" s="34"/>
      <c r="DC197" s="34"/>
      <c r="DD197" s="34"/>
      <c r="DE197" s="34"/>
      <c r="DF197" s="34"/>
      <c r="DG197" s="34"/>
      <c r="DH197" s="34"/>
      <c r="DI197" s="34"/>
      <c r="DJ197" s="34"/>
      <c r="DK197" s="34"/>
      <c r="DL197" s="34"/>
      <c r="DM197" s="34"/>
      <c r="DN197" s="34"/>
      <c r="DO197" s="34"/>
      <c r="DP197" s="34"/>
      <c r="DQ197" s="34"/>
      <c r="DR197" s="34"/>
      <c r="DS197" s="34"/>
      <c r="DT197" s="34"/>
    </row>
    <row r="198" spans="1:124" s="5" customFormat="1" ht="30" customHeight="1" x14ac:dyDescent="0.25">
      <c r="A198" s="1"/>
      <c r="B198" s="136" t="s">
        <v>543</v>
      </c>
      <c r="C198" s="166">
        <v>442062</v>
      </c>
      <c r="D198" s="167"/>
      <c r="E198" s="476" t="s">
        <v>40</v>
      </c>
      <c r="F198" s="143" t="s">
        <v>738</v>
      </c>
      <c r="G198" s="144" t="s">
        <v>739</v>
      </c>
      <c r="H198" s="145">
        <v>1992</v>
      </c>
      <c r="I198" s="172" t="s">
        <v>129</v>
      </c>
      <c r="J198" s="146" t="s">
        <v>44</v>
      </c>
      <c r="K198" s="200">
        <v>75.599999999999994</v>
      </c>
      <c r="L198" s="300">
        <v>50</v>
      </c>
      <c r="M198" s="301">
        <v>55</v>
      </c>
      <c r="N198" s="449">
        <v>-60</v>
      </c>
      <c r="O198" s="490">
        <f t="shared" si="60"/>
        <v>55</v>
      </c>
      <c r="P198" s="300">
        <v>60</v>
      </c>
      <c r="Q198" s="301">
        <v>65</v>
      </c>
      <c r="R198" s="301">
        <v>70</v>
      </c>
      <c r="S198" s="490">
        <f t="shared" si="61"/>
        <v>70</v>
      </c>
      <c r="T198" s="489">
        <f>IF(E198="","",O198+S198)</f>
        <v>125</v>
      </c>
      <c r="U198" s="48" t="str">
        <f t="shared" si="62"/>
        <v>DEB -20</v>
      </c>
      <c r="V198" s="48" t="str">
        <f>IF(E198=0," ",IF(E198="H",IF(H198&lt;1999,VLOOKUP(K198,[13]Minimas!$A$15:$F$29,6),IF(AND(H198&gt;1998,H198&lt;2002),VLOOKUP(K198,[13]Minimas!$A$15:$F$29,5),IF(AND(H198&gt;2001,H198&lt;2004),VLOOKUP(K198,[13]Minimas!$A$15:$F$29,4),IF(AND(H198&gt;2003,H198&lt;2006),VLOOKUP(K198,[13]Minimas!$A$15:$F$29,3),VLOOKUP(K198,[13]Minimas!$A$15:$F$29,2))))),IF(H198&lt;1999,VLOOKUP(K198,[13]Minimas!$G$15:$L$29,6),IF(AND(H198&gt;1998,H198&lt;2002),VLOOKUP(K198,[13]Minimas!$G$15:$L$29,5),IF(AND(H198&gt;2001,H198&lt;2004),VLOOKUP(K198,[13]Minimas!$G$15:$L$29,4),IF(AND(H198&gt;2003,H198&lt;2006),VLOOKUP(K198,[13]Minimas!$G$15:$L$29,3),VLOOKUP(K198,[13]Minimas!$G$15:$L$29,2)))))))</f>
        <v>SE M81</v>
      </c>
      <c r="W198" s="49">
        <f t="shared" si="63"/>
        <v>157.58461722268572</v>
      </c>
      <c r="X198" s="257">
        <v>43540</v>
      </c>
      <c r="Y198" s="261" t="s">
        <v>714</v>
      </c>
      <c r="Z198" s="261" t="s">
        <v>704</v>
      </c>
      <c r="AA198" s="463"/>
      <c r="AB198" s="230">
        <f>T198-HLOOKUP(V198,Minimas!$C$3:$CD$12,2,FALSE)</f>
        <v>-20</v>
      </c>
      <c r="AC198" s="230">
        <f>T198-HLOOKUP(V198,Minimas!$C$3:$CD$12,3,FALSE)</f>
        <v>-45</v>
      </c>
      <c r="AD198" s="230">
        <f>T198-HLOOKUP(V198,Minimas!$C$3:$CD$12,4,FALSE)</f>
        <v>-70</v>
      </c>
      <c r="AE198" s="230">
        <f>T198-HLOOKUP(V198,Minimas!$C$3:$CD$12,5,FALSE)</f>
        <v>-95</v>
      </c>
      <c r="AF198" s="230">
        <f>T198-HLOOKUP(V198,Minimas!$C$3:$CD$12,6,FALSE)</f>
        <v>-125</v>
      </c>
      <c r="AG198" s="230">
        <f>T198-HLOOKUP(V198,Minimas!$C$3:$CD$12,7,FALSE)</f>
        <v>-150</v>
      </c>
      <c r="AH198" s="230">
        <f>T198-HLOOKUP(V198,Minimas!$C$3:$CD$12,8,FALSE)</f>
        <v>-170</v>
      </c>
      <c r="AI198" s="230">
        <f>T198-HLOOKUP(V198,Minimas!$C$3:$CD$12,9,FALSE)</f>
        <v>-195</v>
      </c>
      <c r="AJ198" s="230">
        <f>T198-HLOOKUP(V198,Minimas!$C$3:$CD$12,10,FALSE)</f>
        <v>-210</v>
      </c>
      <c r="AK198" s="231" t="str">
        <f t="shared" si="64"/>
        <v>DEB</v>
      </c>
      <c r="AL198" s="232"/>
      <c r="AM198" s="232" t="str">
        <f t="shared" si="65"/>
        <v>DEB</v>
      </c>
      <c r="AN198" s="232">
        <f t="shared" si="66"/>
        <v>-20</v>
      </c>
      <c r="AO198" s="463"/>
      <c r="AP198" s="34"/>
      <c r="AQ198" s="34"/>
      <c r="AR198" s="34"/>
      <c r="AS198" s="34"/>
      <c r="AT198" s="34"/>
      <c r="AU198" s="34"/>
      <c r="AV198" s="34"/>
      <c r="AW198" s="34"/>
      <c r="AX198" s="34"/>
      <c r="AY198" s="34"/>
      <c r="AZ198" s="34"/>
      <c r="BA198" s="34"/>
      <c r="BB198" s="34"/>
      <c r="BC198" s="34"/>
      <c r="BD198" s="34"/>
      <c r="BE198" s="34"/>
      <c r="BF198" s="34"/>
      <c r="BG198" s="34"/>
      <c r="BH198" s="34"/>
      <c r="BI198" s="34"/>
      <c r="BJ198" s="34"/>
      <c r="BK198" s="34"/>
      <c r="BL198" s="34"/>
      <c r="BM198" s="34"/>
      <c r="BN198" s="34"/>
      <c r="BO198" s="34"/>
      <c r="BP198" s="34"/>
      <c r="BQ198" s="34"/>
      <c r="BR198" s="34"/>
      <c r="BS198" s="34"/>
      <c r="BT198" s="34"/>
      <c r="BU198" s="34"/>
      <c r="BV198" s="34"/>
      <c r="BW198" s="34"/>
      <c r="BX198" s="34"/>
      <c r="BY198" s="34"/>
      <c r="BZ198" s="34"/>
      <c r="CA198" s="34"/>
      <c r="CB198" s="34"/>
      <c r="CC198" s="34"/>
      <c r="CD198" s="34"/>
      <c r="CE198" s="34"/>
      <c r="CF198" s="34"/>
      <c r="CG198" s="34"/>
      <c r="CH198" s="34"/>
      <c r="CI198" s="34"/>
      <c r="CJ198" s="34"/>
      <c r="CK198" s="34"/>
      <c r="CL198" s="34"/>
      <c r="CM198" s="34"/>
      <c r="CN198" s="34"/>
      <c r="CO198" s="34"/>
      <c r="CP198" s="34"/>
      <c r="CQ198" s="34"/>
      <c r="CR198" s="34"/>
      <c r="CS198" s="34"/>
      <c r="CT198" s="34"/>
      <c r="CU198" s="34"/>
      <c r="CV198" s="34"/>
      <c r="CW198" s="34"/>
      <c r="CX198" s="34"/>
      <c r="CY198" s="34"/>
      <c r="CZ198" s="34"/>
      <c r="DA198" s="34"/>
      <c r="DB198" s="34"/>
      <c r="DC198" s="34"/>
      <c r="DD198" s="34"/>
      <c r="DE198" s="34"/>
      <c r="DF198" s="34"/>
      <c r="DG198" s="34"/>
      <c r="DH198" s="34"/>
      <c r="DI198" s="34"/>
      <c r="DJ198" s="34"/>
      <c r="DK198" s="34"/>
      <c r="DL198" s="34"/>
      <c r="DM198" s="34"/>
      <c r="DN198" s="34"/>
      <c r="DO198" s="34"/>
      <c r="DP198" s="34"/>
      <c r="DQ198" s="34"/>
      <c r="DR198" s="34"/>
      <c r="DS198" s="34"/>
      <c r="DT198" s="34"/>
    </row>
    <row r="199" spans="1:124" s="5" customFormat="1" ht="30" customHeight="1" x14ac:dyDescent="0.25">
      <c r="A199" s="1"/>
      <c r="B199" s="136" t="s">
        <v>543</v>
      </c>
      <c r="C199" s="166">
        <v>442059</v>
      </c>
      <c r="D199" s="167"/>
      <c r="E199" s="476" t="s">
        <v>40</v>
      </c>
      <c r="F199" s="143" t="s">
        <v>745</v>
      </c>
      <c r="G199" s="144" t="s">
        <v>746</v>
      </c>
      <c r="H199" s="145">
        <v>1998</v>
      </c>
      <c r="I199" s="172" t="s">
        <v>129</v>
      </c>
      <c r="J199" s="146" t="s">
        <v>44</v>
      </c>
      <c r="K199" s="200">
        <v>77.3</v>
      </c>
      <c r="L199" s="300">
        <v>50</v>
      </c>
      <c r="M199" s="449">
        <v>-57</v>
      </c>
      <c r="N199" s="449">
        <v>-57</v>
      </c>
      <c r="O199" s="490">
        <f t="shared" si="60"/>
        <v>50</v>
      </c>
      <c r="P199" s="300">
        <v>60</v>
      </c>
      <c r="Q199" s="301">
        <v>65</v>
      </c>
      <c r="R199" s="301">
        <v>75</v>
      </c>
      <c r="S199" s="490">
        <f t="shared" si="61"/>
        <v>75</v>
      </c>
      <c r="T199" s="489">
        <f>IF(E199="","",O199+S199)</f>
        <v>125</v>
      </c>
      <c r="U199" s="48" t="str">
        <f t="shared" si="62"/>
        <v>DEB -20</v>
      </c>
      <c r="V199" s="48" t="str">
        <f>IF(E199=0," ",IF(E199="H",IF(H199&lt;1999,VLOOKUP(K199,[13]Minimas!$A$15:$F$29,6),IF(AND(H199&gt;1998,H199&lt;2002),VLOOKUP(K199,[13]Minimas!$A$15:$F$29,5),IF(AND(H199&gt;2001,H199&lt;2004),VLOOKUP(K199,[13]Minimas!$A$15:$F$29,4),IF(AND(H199&gt;2003,H199&lt;2006),VLOOKUP(K199,[13]Minimas!$A$15:$F$29,3),VLOOKUP(K199,[13]Minimas!$A$15:$F$29,2))))),IF(H199&lt;1999,VLOOKUP(K199,[13]Minimas!$G$15:$L$29,6),IF(AND(H199&gt;1998,H199&lt;2002),VLOOKUP(K199,[13]Minimas!$G$15:$L$29,5),IF(AND(H199&gt;2001,H199&lt;2004),VLOOKUP(K199,[13]Minimas!$G$15:$L$29,4),IF(AND(H199&gt;2003,H199&lt;2006),VLOOKUP(K199,[13]Minimas!$G$15:$L$29,3),VLOOKUP(K199,[13]Minimas!$G$15:$L$29,2)))))))</f>
        <v>SE M81</v>
      </c>
      <c r="W199" s="49">
        <f t="shared" si="63"/>
        <v>155.69382754246675</v>
      </c>
      <c r="X199" s="257">
        <v>43540</v>
      </c>
      <c r="Y199" s="261" t="s">
        <v>714</v>
      </c>
      <c r="Z199" s="261" t="s">
        <v>704</v>
      </c>
      <c r="AA199" s="463"/>
      <c r="AB199" s="230">
        <f>T199-HLOOKUP(V199,Minimas!$C$3:$CD$12,2,FALSE)</f>
        <v>-20</v>
      </c>
      <c r="AC199" s="230">
        <f>T199-HLOOKUP(V199,Minimas!$C$3:$CD$12,3,FALSE)</f>
        <v>-45</v>
      </c>
      <c r="AD199" s="230">
        <f>T199-HLOOKUP(V199,Minimas!$C$3:$CD$12,4,FALSE)</f>
        <v>-70</v>
      </c>
      <c r="AE199" s="230">
        <f>T199-HLOOKUP(V199,Minimas!$C$3:$CD$12,5,FALSE)</f>
        <v>-95</v>
      </c>
      <c r="AF199" s="230">
        <f>T199-HLOOKUP(V199,Minimas!$C$3:$CD$12,6,FALSE)</f>
        <v>-125</v>
      </c>
      <c r="AG199" s="230">
        <f>T199-HLOOKUP(V199,Minimas!$C$3:$CD$12,7,FALSE)</f>
        <v>-150</v>
      </c>
      <c r="AH199" s="230">
        <f>T199-HLOOKUP(V199,Minimas!$C$3:$CD$12,8,FALSE)</f>
        <v>-170</v>
      </c>
      <c r="AI199" s="230">
        <f>T199-HLOOKUP(V199,Minimas!$C$3:$CD$12,9,FALSE)</f>
        <v>-195</v>
      </c>
      <c r="AJ199" s="230">
        <f>T199-HLOOKUP(V199,Minimas!$C$3:$CD$12,10,FALSE)</f>
        <v>-210</v>
      </c>
      <c r="AK199" s="231" t="str">
        <f t="shared" si="64"/>
        <v>DEB</v>
      </c>
      <c r="AL199" s="232"/>
      <c r="AM199" s="232" t="str">
        <f t="shared" si="65"/>
        <v>DEB</v>
      </c>
      <c r="AN199" s="232">
        <f t="shared" si="66"/>
        <v>-20</v>
      </c>
      <c r="AO199" s="463"/>
      <c r="AP199" s="34"/>
      <c r="AQ199" s="34"/>
      <c r="AR199" s="34"/>
      <c r="AS199" s="34"/>
      <c r="AT199" s="34"/>
      <c r="AU199" s="34"/>
      <c r="AV199" s="34"/>
      <c r="AW199" s="34"/>
      <c r="AX199" s="34"/>
      <c r="AY199" s="34"/>
      <c r="AZ199" s="34"/>
      <c r="BA199" s="34"/>
      <c r="BB199" s="34"/>
      <c r="BC199" s="34"/>
      <c r="BD199" s="34"/>
      <c r="BE199" s="34"/>
      <c r="BF199" s="34"/>
      <c r="BG199" s="34"/>
      <c r="BH199" s="34"/>
      <c r="BI199" s="34"/>
      <c r="BJ199" s="34"/>
      <c r="BK199" s="34"/>
      <c r="BL199" s="34"/>
      <c r="BM199" s="34"/>
      <c r="BN199" s="34"/>
      <c r="BO199" s="34"/>
      <c r="BP199" s="34"/>
      <c r="BQ199" s="34"/>
      <c r="BR199" s="34"/>
      <c r="BS199" s="34"/>
      <c r="BT199" s="34"/>
      <c r="BU199" s="34"/>
      <c r="BV199" s="34"/>
      <c r="BW199" s="34"/>
      <c r="BX199" s="34"/>
      <c r="BY199" s="34"/>
      <c r="BZ199" s="34"/>
      <c r="CA199" s="34"/>
      <c r="CB199" s="34"/>
      <c r="CC199" s="34"/>
      <c r="CD199" s="34"/>
      <c r="CE199" s="34"/>
      <c r="CF199" s="34"/>
      <c r="CG199" s="34"/>
      <c r="CH199" s="34"/>
      <c r="CI199" s="34"/>
      <c r="CJ199" s="34"/>
      <c r="CK199" s="34"/>
      <c r="CL199" s="34"/>
      <c r="CM199" s="34"/>
      <c r="CN199" s="34"/>
      <c r="CO199" s="34"/>
      <c r="CP199" s="34"/>
      <c r="CQ199" s="34"/>
      <c r="CR199" s="34"/>
      <c r="CS199" s="34"/>
      <c r="CT199" s="34"/>
      <c r="CU199" s="34"/>
      <c r="CV199" s="34"/>
      <c r="CW199" s="34"/>
      <c r="CX199" s="34"/>
      <c r="CY199" s="34"/>
      <c r="CZ199" s="34"/>
      <c r="DA199" s="34"/>
      <c r="DB199" s="34"/>
      <c r="DC199" s="34"/>
      <c r="DD199" s="34"/>
      <c r="DE199" s="34"/>
      <c r="DF199" s="34"/>
      <c r="DG199" s="34"/>
      <c r="DH199" s="34"/>
      <c r="DI199" s="34"/>
      <c r="DJ199" s="34"/>
      <c r="DK199" s="34"/>
      <c r="DL199" s="34"/>
      <c r="DM199" s="34"/>
      <c r="DN199" s="34"/>
      <c r="DO199" s="34"/>
      <c r="DP199" s="34"/>
      <c r="DQ199" s="34"/>
      <c r="DR199" s="34"/>
      <c r="DS199" s="34"/>
      <c r="DT199" s="34"/>
    </row>
    <row r="200" spans="1:124" s="5" customFormat="1" ht="30" customHeight="1" x14ac:dyDescent="0.25">
      <c r="B200" s="136" t="s">
        <v>543</v>
      </c>
      <c r="C200" s="116">
        <v>442787</v>
      </c>
      <c r="D200" s="119"/>
      <c r="E200" s="175" t="s">
        <v>40</v>
      </c>
      <c r="F200" s="124" t="s">
        <v>615</v>
      </c>
      <c r="G200" s="125" t="s">
        <v>450</v>
      </c>
      <c r="H200" s="156">
        <v>1978</v>
      </c>
      <c r="I200" s="127" t="s">
        <v>440</v>
      </c>
      <c r="J200" s="104"/>
      <c r="K200" s="126">
        <v>79.7</v>
      </c>
      <c r="L200" s="456">
        <v>47</v>
      </c>
      <c r="M200" s="457">
        <v>51</v>
      </c>
      <c r="N200" s="457">
        <v>55</v>
      </c>
      <c r="O200" s="490">
        <f t="shared" si="60"/>
        <v>55</v>
      </c>
      <c r="P200" s="456">
        <v>63</v>
      </c>
      <c r="Q200" s="457">
        <v>67</v>
      </c>
      <c r="R200" s="457">
        <v>70</v>
      </c>
      <c r="S200" s="490">
        <f t="shared" si="61"/>
        <v>70</v>
      </c>
      <c r="T200" s="489">
        <f>IF(E200="","",IF(OR(O200=0,S200=0),0,O200+S200))</f>
        <v>125</v>
      </c>
      <c r="U200" s="48" t="str">
        <f t="shared" si="62"/>
        <v>DEB -20</v>
      </c>
      <c r="V200" s="48" t="str">
        <f>IF(E200=0," ",IF(E200="H",IF(H200&lt;1999,VLOOKUP(K200,Minimas!$A$15:$F$29,6),IF(AND(H200&gt;1998,H200&lt;2002),VLOOKUP(K200,Minimas!$A$15:$F$29,5),IF(AND(H200&gt;2001,H200&lt;2004),VLOOKUP(K200,Minimas!$A$15:$F$29,4),IF(AND(H200&gt;2003,H200&lt;2006),VLOOKUP(K200,Minimas!$A$15:$F$29,3),VLOOKUP(K200,Minimas!$A$15:$F$29,2))))),IF(H200&lt;1999,VLOOKUP(K200,Minimas!$G$15:$L$29,6),IF(AND(H200&gt;1998,H200&lt;2002),VLOOKUP(K200,Minimas!$G$15:$L$29,5),IF(AND(H200&gt;2001,H200&lt;2004),VLOOKUP(K200,Minimas!$G$15:$L$29,4),IF(AND(H200&gt;2003,H200&lt;2006),VLOOKUP(K200,Minimas!$G$15:$L$29,3),VLOOKUP(K200,Minimas!$G$15:$L$29,2)))))))</f>
        <v>SE M81</v>
      </c>
      <c r="W200" s="49">
        <f t="shared" si="63"/>
        <v>153.21184965412419</v>
      </c>
      <c r="X200" s="257">
        <v>43484</v>
      </c>
      <c r="Y200" s="261" t="s">
        <v>630</v>
      </c>
      <c r="Z200" s="261" t="s">
        <v>581</v>
      </c>
      <c r="AA200" s="232"/>
      <c r="AB200" s="230">
        <f>T200-HLOOKUP(V200,Minimas!$C$3:$CD$12,2,FALSE)</f>
        <v>-20</v>
      </c>
      <c r="AC200" s="230">
        <f>T200-HLOOKUP(V200,Minimas!$C$3:$CD$12,3,FALSE)</f>
        <v>-45</v>
      </c>
      <c r="AD200" s="230">
        <f>T200-HLOOKUP(V200,Minimas!$C$3:$CD$12,4,FALSE)</f>
        <v>-70</v>
      </c>
      <c r="AE200" s="230">
        <f>T200-HLOOKUP(V200,Minimas!$C$3:$CD$12,5,FALSE)</f>
        <v>-95</v>
      </c>
      <c r="AF200" s="230">
        <f>T200-HLOOKUP(V200,Minimas!$C$3:$CD$12,6,FALSE)</f>
        <v>-125</v>
      </c>
      <c r="AG200" s="230">
        <f>T200-HLOOKUP(V200,Minimas!$C$3:$CD$12,7,FALSE)</f>
        <v>-150</v>
      </c>
      <c r="AH200" s="230">
        <f>T200-HLOOKUP(V200,Minimas!$C$3:$CD$12,8,FALSE)</f>
        <v>-170</v>
      </c>
      <c r="AI200" s="230">
        <f>T200-HLOOKUP(V200,Minimas!$C$3:$CD$12,9,FALSE)</f>
        <v>-195</v>
      </c>
      <c r="AJ200" s="230">
        <f>T200-HLOOKUP(V200,Minimas!$C$3:$CD$12,10,FALSE)</f>
        <v>-210</v>
      </c>
      <c r="AK200" s="231" t="str">
        <f t="shared" si="64"/>
        <v>DEB</v>
      </c>
      <c r="AL200" s="232"/>
      <c r="AM200" s="232" t="str">
        <f t="shared" si="65"/>
        <v>DEB</v>
      </c>
      <c r="AN200" s="232">
        <f t="shared" si="66"/>
        <v>-20</v>
      </c>
      <c r="AO200" s="232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  <c r="BA200" s="38"/>
      <c r="BB200" s="38"/>
      <c r="BC200" s="38"/>
      <c r="BD200" s="38"/>
      <c r="BE200" s="38"/>
      <c r="BF200" s="38"/>
      <c r="BG200" s="38"/>
      <c r="BH200" s="38"/>
      <c r="BI200" s="38"/>
      <c r="BJ200" s="38"/>
      <c r="BK200" s="38"/>
      <c r="BL200" s="38"/>
      <c r="BM200" s="38"/>
      <c r="BN200" s="38"/>
      <c r="BO200" s="38"/>
      <c r="BP200" s="38"/>
      <c r="BQ200" s="38"/>
      <c r="BR200" s="38"/>
      <c r="BS200" s="38"/>
      <c r="BT200" s="38"/>
      <c r="BU200" s="38"/>
      <c r="BV200" s="38"/>
      <c r="BW200" s="38"/>
      <c r="BX200" s="38"/>
      <c r="BY200" s="38"/>
      <c r="BZ200" s="38"/>
      <c r="CA200" s="38"/>
      <c r="CB200" s="38"/>
      <c r="CC200" s="38"/>
      <c r="CD200" s="38"/>
      <c r="CE200" s="38"/>
      <c r="CF200" s="38"/>
      <c r="CG200" s="38"/>
      <c r="CH200" s="38"/>
      <c r="CI200" s="38"/>
      <c r="CJ200" s="38"/>
      <c r="CK200" s="38"/>
      <c r="CL200" s="38"/>
      <c r="CM200" s="38"/>
      <c r="CN200" s="38"/>
      <c r="CO200" s="38"/>
      <c r="CP200" s="38"/>
      <c r="CQ200" s="38"/>
      <c r="CR200" s="38"/>
      <c r="CS200" s="38"/>
      <c r="CT200" s="38"/>
      <c r="CU200" s="38"/>
      <c r="CV200" s="38"/>
      <c r="CW200" s="38"/>
      <c r="CX200" s="38"/>
      <c r="CY200" s="38"/>
      <c r="CZ200" s="38"/>
      <c r="DA200" s="38"/>
      <c r="DB200" s="38"/>
      <c r="DC200" s="38"/>
      <c r="DD200" s="38"/>
      <c r="DE200" s="38"/>
      <c r="DF200" s="38"/>
      <c r="DG200" s="38"/>
      <c r="DH200" s="38"/>
      <c r="DI200" s="38"/>
      <c r="DJ200" s="38"/>
      <c r="DK200" s="38"/>
      <c r="DL200" s="38"/>
      <c r="DM200" s="38"/>
      <c r="DN200" s="38"/>
      <c r="DO200" s="38"/>
      <c r="DP200" s="38"/>
      <c r="DQ200" s="38"/>
      <c r="DR200" s="38"/>
      <c r="DS200" s="38"/>
      <c r="DT200" s="38"/>
    </row>
    <row r="201" spans="1:124" s="5" customFormat="1" ht="30" customHeight="1" x14ac:dyDescent="0.25">
      <c r="A201" s="1"/>
      <c r="B201" s="136" t="s">
        <v>543</v>
      </c>
      <c r="C201" s="166">
        <v>442063</v>
      </c>
      <c r="D201" s="167"/>
      <c r="E201" s="476" t="s">
        <v>40</v>
      </c>
      <c r="F201" s="143" t="s">
        <v>744</v>
      </c>
      <c r="G201" s="144" t="s">
        <v>313</v>
      </c>
      <c r="H201" s="145">
        <v>1990</v>
      </c>
      <c r="I201" s="172" t="s">
        <v>129</v>
      </c>
      <c r="J201" s="146" t="s">
        <v>44</v>
      </c>
      <c r="K201" s="200">
        <v>73.400000000000006</v>
      </c>
      <c r="L201" s="300">
        <v>47</v>
      </c>
      <c r="M201" s="301">
        <v>50</v>
      </c>
      <c r="N201" s="301">
        <v>53</v>
      </c>
      <c r="O201" s="490">
        <f t="shared" si="60"/>
        <v>53</v>
      </c>
      <c r="P201" s="300">
        <v>55</v>
      </c>
      <c r="Q201" s="301">
        <v>60</v>
      </c>
      <c r="R201" s="301">
        <v>65</v>
      </c>
      <c r="S201" s="490">
        <f t="shared" si="61"/>
        <v>65</v>
      </c>
      <c r="T201" s="489">
        <f>IF(E201="","",O201+S201)</f>
        <v>118</v>
      </c>
      <c r="U201" s="48" t="str">
        <f t="shared" si="62"/>
        <v>DEB -27</v>
      </c>
      <c r="V201" s="48" t="str">
        <f>IF(E201=0," ",IF(E201="H",IF(H201&lt;1999,VLOOKUP(K201,[13]Minimas!$A$15:$F$29,6),IF(AND(H201&gt;1998,H201&lt;2002),VLOOKUP(K201,[13]Minimas!$A$15:$F$29,5),IF(AND(H201&gt;2001,H201&lt;2004),VLOOKUP(K201,[13]Minimas!$A$15:$F$29,4),IF(AND(H201&gt;2003,H201&lt;2006),VLOOKUP(K201,[13]Minimas!$A$15:$F$29,3),VLOOKUP(K201,[13]Minimas!$A$15:$F$29,2))))),IF(H201&lt;1999,VLOOKUP(K201,[13]Minimas!$G$15:$L$29,6),IF(AND(H201&gt;1998,H201&lt;2002),VLOOKUP(K201,[13]Minimas!$G$15:$L$29,5),IF(AND(H201&gt;2001,H201&lt;2004),VLOOKUP(K201,[13]Minimas!$G$15:$L$29,4),IF(AND(H201&gt;2003,H201&lt;2006),VLOOKUP(K201,[13]Minimas!$G$15:$L$29,3),VLOOKUP(K201,[13]Minimas!$G$15:$L$29,2)))))))</f>
        <v>SE M81</v>
      </c>
      <c r="W201" s="49">
        <f t="shared" si="63"/>
        <v>151.23933603833993</v>
      </c>
      <c r="X201" s="257">
        <v>43540</v>
      </c>
      <c r="Y201" s="261" t="s">
        <v>714</v>
      </c>
      <c r="Z201" s="261" t="s">
        <v>704</v>
      </c>
      <c r="AA201" s="463"/>
      <c r="AB201" s="230">
        <f>T201-HLOOKUP(V201,Minimas!$C$3:$CD$12,2,FALSE)</f>
        <v>-27</v>
      </c>
      <c r="AC201" s="230">
        <f>T201-HLOOKUP(V201,Minimas!$C$3:$CD$12,3,FALSE)</f>
        <v>-52</v>
      </c>
      <c r="AD201" s="230">
        <f>T201-HLOOKUP(V201,Minimas!$C$3:$CD$12,4,FALSE)</f>
        <v>-77</v>
      </c>
      <c r="AE201" s="230">
        <f>T201-HLOOKUP(V201,Minimas!$C$3:$CD$12,5,FALSE)</f>
        <v>-102</v>
      </c>
      <c r="AF201" s="230">
        <f>T201-HLOOKUP(V201,Minimas!$C$3:$CD$12,6,FALSE)</f>
        <v>-132</v>
      </c>
      <c r="AG201" s="230">
        <f>T201-HLOOKUP(V201,Minimas!$C$3:$CD$12,7,FALSE)</f>
        <v>-157</v>
      </c>
      <c r="AH201" s="230">
        <f>T201-HLOOKUP(V201,Minimas!$C$3:$CD$12,8,FALSE)</f>
        <v>-177</v>
      </c>
      <c r="AI201" s="230">
        <f>T201-HLOOKUP(V201,Minimas!$C$3:$CD$12,9,FALSE)</f>
        <v>-202</v>
      </c>
      <c r="AJ201" s="230">
        <f>T201-HLOOKUP(V201,Minimas!$C$3:$CD$12,10,FALSE)</f>
        <v>-217</v>
      </c>
      <c r="AK201" s="231" t="str">
        <f t="shared" si="64"/>
        <v>DEB</v>
      </c>
      <c r="AL201" s="232"/>
      <c r="AM201" s="232" t="str">
        <f t="shared" si="65"/>
        <v>DEB</v>
      </c>
      <c r="AN201" s="232">
        <f t="shared" si="66"/>
        <v>-27</v>
      </c>
      <c r="AO201" s="463"/>
      <c r="AP201" s="34"/>
      <c r="AQ201" s="34"/>
      <c r="AR201" s="34"/>
      <c r="AS201" s="34"/>
      <c r="AT201" s="34"/>
      <c r="AU201" s="34"/>
      <c r="AV201" s="34"/>
      <c r="AW201" s="34"/>
      <c r="AX201" s="34"/>
      <c r="AY201" s="34"/>
      <c r="AZ201" s="34"/>
      <c r="BA201" s="34"/>
      <c r="BB201" s="34"/>
      <c r="BC201" s="34"/>
      <c r="BD201" s="34"/>
      <c r="BE201" s="34"/>
      <c r="BF201" s="34"/>
      <c r="BG201" s="34"/>
      <c r="BH201" s="34"/>
      <c r="BI201" s="34"/>
      <c r="BJ201" s="34"/>
      <c r="BK201" s="34"/>
      <c r="BL201" s="34"/>
      <c r="BM201" s="34"/>
      <c r="BN201" s="34"/>
      <c r="BO201" s="34"/>
      <c r="BP201" s="34"/>
      <c r="BQ201" s="34"/>
      <c r="BR201" s="34"/>
      <c r="BS201" s="34"/>
      <c r="BT201" s="34"/>
      <c r="BU201" s="34"/>
      <c r="BV201" s="34"/>
      <c r="BW201" s="34"/>
      <c r="BX201" s="34"/>
      <c r="BY201" s="34"/>
      <c r="BZ201" s="34"/>
      <c r="CA201" s="34"/>
      <c r="CB201" s="34"/>
      <c r="CC201" s="34"/>
      <c r="CD201" s="34"/>
      <c r="CE201" s="34"/>
      <c r="CF201" s="34"/>
      <c r="CG201" s="34"/>
      <c r="CH201" s="34"/>
      <c r="CI201" s="34"/>
      <c r="CJ201" s="34"/>
      <c r="CK201" s="34"/>
      <c r="CL201" s="34"/>
      <c r="CM201" s="34"/>
      <c r="CN201" s="34"/>
      <c r="CO201" s="34"/>
      <c r="CP201" s="34"/>
      <c r="CQ201" s="34"/>
      <c r="CR201" s="34"/>
      <c r="CS201" s="34"/>
      <c r="CT201" s="34"/>
      <c r="CU201" s="34"/>
      <c r="CV201" s="34"/>
      <c r="CW201" s="34"/>
      <c r="CX201" s="34"/>
      <c r="CY201" s="34"/>
      <c r="CZ201" s="34"/>
      <c r="DA201" s="34"/>
      <c r="DB201" s="34"/>
      <c r="DC201" s="34"/>
      <c r="DD201" s="34"/>
      <c r="DE201" s="34"/>
      <c r="DF201" s="34"/>
      <c r="DG201" s="34"/>
      <c r="DH201" s="34"/>
      <c r="DI201" s="34"/>
      <c r="DJ201" s="34"/>
      <c r="DK201" s="34"/>
      <c r="DL201" s="34"/>
      <c r="DM201" s="34"/>
      <c r="DN201" s="34"/>
      <c r="DO201" s="34"/>
      <c r="DP201" s="34"/>
      <c r="DQ201" s="34"/>
      <c r="DR201" s="34"/>
      <c r="DS201" s="34"/>
      <c r="DT201" s="34"/>
    </row>
    <row r="202" spans="1:124" s="5" customFormat="1" ht="30" customHeight="1" x14ac:dyDescent="0.25">
      <c r="A202" s="1"/>
      <c r="B202" s="136" t="s">
        <v>543</v>
      </c>
      <c r="C202" s="166">
        <v>445964</v>
      </c>
      <c r="D202" s="167"/>
      <c r="E202" s="476" t="s">
        <v>40</v>
      </c>
      <c r="F202" s="143" t="s">
        <v>776</v>
      </c>
      <c r="G202" s="144" t="s">
        <v>657</v>
      </c>
      <c r="H202" s="145">
        <v>1998</v>
      </c>
      <c r="I202" s="172" t="s">
        <v>129</v>
      </c>
      <c r="J202" s="146" t="s">
        <v>44</v>
      </c>
      <c r="K202" s="200">
        <v>78.7</v>
      </c>
      <c r="L202" s="295">
        <v>48</v>
      </c>
      <c r="M202" s="296">
        <v>51</v>
      </c>
      <c r="N202" s="451">
        <v>-54</v>
      </c>
      <c r="O202" s="501">
        <f t="shared" si="60"/>
        <v>51</v>
      </c>
      <c r="P202" s="295">
        <v>55</v>
      </c>
      <c r="Q202" s="296">
        <v>60</v>
      </c>
      <c r="R202" s="296">
        <v>65</v>
      </c>
      <c r="S202" s="501">
        <f t="shared" si="61"/>
        <v>65</v>
      </c>
      <c r="T202" s="502">
        <f>IF(E202="","",O202+S202)</f>
        <v>116</v>
      </c>
      <c r="U202" s="48" t="str">
        <f t="shared" si="62"/>
        <v>DEB -29</v>
      </c>
      <c r="V202" s="48" t="str">
        <f>IF(E202=0," ",IF(E202="H",IF(H202&lt;1999,VLOOKUP(K202,[7]Minimas!$A$15:$F$29,6),IF(AND(H202&gt;1998,H202&lt;2002),VLOOKUP(K202,[7]Minimas!$A$15:$F$29,5),IF(AND(H202&gt;2001,H202&lt;2004),VLOOKUP(K202,[7]Minimas!$A$15:$F$29,4),IF(AND(H202&gt;2003,H202&lt;2006),VLOOKUP(K202,[7]Minimas!$A$15:$F$29,3),VLOOKUP(K202,[7]Minimas!$A$15:$F$29,2))))),IF(H202&lt;1999,VLOOKUP(K202,[7]Minimas!$G$15:$L$29,6),IF(AND(H202&gt;1998,H202&lt;2002),VLOOKUP(K202,[7]Minimas!$G$15:$L$29,5),IF(AND(H202&gt;2001,H202&lt;2004),VLOOKUP(K202,[7]Minimas!$G$15:$L$29,4),IF(AND(H202&gt;2003,H202&lt;2006),VLOOKUP(K202,[7]Minimas!$G$15:$L$29,3),VLOOKUP(K202,[7]Minimas!$G$15:$L$29,2)))))))</f>
        <v>SE M81</v>
      </c>
      <c r="W202" s="60">
        <f t="shared" si="63"/>
        <v>143.11667403091539</v>
      </c>
      <c r="X202" s="257">
        <v>43540</v>
      </c>
      <c r="Y202" s="261" t="s">
        <v>714</v>
      </c>
      <c r="Z202" s="261" t="s">
        <v>704</v>
      </c>
      <c r="AA202" s="463"/>
      <c r="AB202" s="230">
        <f>T202-HLOOKUP(V202,Minimas!$C$3:$CD$12,2,FALSE)</f>
        <v>-29</v>
      </c>
      <c r="AC202" s="230">
        <f>T202-HLOOKUP(V202,Minimas!$C$3:$CD$12,3,FALSE)</f>
        <v>-54</v>
      </c>
      <c r="AD202" s="230">
        <f>T202-HLOOKUP(V202,Minimas!$C$3:$CD$12,4,FALSE)</f>
        <v>-79</v>
      </c>
      <c r="AE202" s="230">
        <f>T202-HLOOKUP(V202,Minimas!$C$3:$CD$12,5,FALSE)</f>
        <v>-104</v>
      </c>
      <c r="AF202" s="230">
        <f>T202-HLOOKUP(V202,Minimas!$C$3:$CD$12,6,FALSE)</f>
        <v>-134</v>
      </c>
      <c r="AG202" s="230">
        <f>T202-HLOOKUP(V202,Minimas!$C$3:$CD$12,7,FALSE)</f>
        <v>-159</v>
      </c>
      <c r="AH202" s="230">
        <f>T202-HLOOKUP(V202,Minimas!$C$3:$CD$12,8,FALSE)</f>
        <v>-179</v>
      </c>
      <c r="AI202" s="230">
        <f>T202-HLOOKUP(V202,Minimas!$C$3:$CD$12,9,FALSE)</f>
        <v>-204</v>
      </c>
      <c r="AJ202" s="230">
        <f>T202-HLOOKUP(V202,Minimas!$C$3:$CD$12,10,FALSE)</f>
        <v>-219</v>
      </c>
      <c r="AK202" s="231" t="str">
        <f t="shared" si="64"/>
        <v>DEB</v>
      </c>
      <c r="AL202" s="232"/>
      <c r="AM202" s="232" t="str">
        <f t="shared" si="65"/>
        <v>DEB</v>
      </c>
      <c r="AN202" s="232">
        <f t="shared" si="66"/>
        <v>-29</v>
      </c>
      <c r="AO202" s="463"/>
      <c r="AP202" s="34"/>
      <c r="AQ202" s="34"/>
      <c r="AR202" s="34"/>
      <c r="AS202" s="34"/>
      <c r="AT202" s="34"/>
      <c r="AU202" s="34"/>
      <c r="AV202" s="34"/>
      <c r="AW202" s="34"/>
      <c r="AX202" s="34"/>
      <c r="AY202" s="34"/>
      <c r="AZ202" s="34"/>
      <c r="BA202" s="34"/>
      <c r="BB202" s="34"/>
      <c r="BC202" s="34"/>
      <c r="BD202" s="34"/>
      <c r="BE202" s="34"/>
      <c r="BF202" s="34"/>
      <c r="BG202" s="34"/>
      <c r="BH202" s="34"/>
      <c r="BI202" s="34"/>
      <c r="BJ202" s="34"/>
      <c r="BK202" s="34"/>
      <c r="BL202" s="34"/>
      <c r="BM202" s="34"/>
      <c r="BN202" s="34"/>
      <c r="BO202" s="34"/>
      <c r="BP202" s="34"/>
      <c r="BQ202" s="34"/>
      <c r="BR202" s="34"/>
      <c r="BS202" s="34"/>
      <c r="BT202" s="34"/>
      <c r="BU202" s="34"/>
      <c r="BV202" s="34"/>
      <c r="BW202" s="34"/>
      <c r="BX202" s="34"/>
      <c r="BY202" s="34"/>
      <c r="BZ202" s="34"/>
      <c r="CA202" s="34"/>
      <c r="CB202" s="34"/>
      <c r="CC202" s="34"/>
      <c r="CD202" s="34"/>
      <c r="CE202" s="34"/>
      <c r="CF202" s="34"/>
      <c r="CG202" s="34"/>
      <c r="CH202" s="34"/>
      <c r="CI202" s="34"/>
      <c r="CJ202" s="34"/>
      <c r="CK202" s="34"/>
      <c r="CL202" s="34"/>
      <c r="CM202" s="34"/>
      <c r="CN202" s="34"/>
      <c r="CO202" s="34"/>
      <c r="CP202" s="34"/>
      <c r="CQ202" s="34"/>
      <c r="CR202" s="34"/>
      <c r="CS202" s="34"/>
      <c r="CT202" s="34"/>
      <c r="CU202" s="34"/>
      <c r="CV202" s="34"/>
      <c r="CW202" s="34"/>
      <c r="CX202" s="34"/>
      <c r="CY202" s="34"/>
      <c r="CZ202" s="34"/>
      <c r="DA202" s="34"/>
      <c r="DB202" s="34"/>
      <c r="DC202" s="34"/>
      <c r="DD202" s="34"/>
      <c r="DE202" s="34"/>
      <c r="DF202" s="34"/>
      <c r="DG202" s="34"/>
      <c r="DH202" s="34"/>
      <c r="DI202" s="34"/>
      <c r="DJ202" s="34"/>
      <c r="DK202" s="34"/>
      <c r="DL202" s="34"/>
      <c r="DM202" s="34"/>
      <c r="DN202" s="34"/>
      <c r="DO202" s="34"/>
      <c r="DP202" s="34"/>
      <c r="DQ202" s="34"/>
      <c r="DR202" s="34"/>
      <c r="DS202" s="34"/>
      <c r="DT202" s="34"/>
    </row>
    <row r="203" spans="1:124" s="5" customFormat="1" ht="30" customHeight="1" x14ac:dyDescent="0.25">
      <c r="B203" s="136" t="s">
        <v>543</v>
      </c>
      <c r="C203" s="166">
        <v>332330</v>
      </c>
      <c r="D203" s="171"/>
      <c r="E203" s="476" t="s">
        <v>40</v>
      </c>
      <c r="F203" s="143" t="s">
        <v>669</v>
      </c>
      <c r="G203" s="144" t="s">
        <v>297</v>
      </c>
      <c r="H203" s="145">
        <v>1966</v>
      </c>
      <c r="I203" s="172" t="s">
        <v>170</v>
      </c>
      <c r="J203" s="155" t="s">
        <v>44</v>
      </c>
      <c r="K203" s="147">
        <v>76</v>
      </c>
      <c r="L203" s="300">
        <v>45</v>
      </c>
      <c r="M203" s="301">
        <v>47</v>
      </c>
      <c r="N203" s="301">
        <v>50</v>
      </c>
      <c r="O203" s="490">
        <f t="shared" si="60"/>
        <v>50</v>
      </c>
      <c r="P203" s="300">
        <v>55</v>
      </c>
      <c r="Q203" s="301">
        <v>60</v>
      </c>
      <c r="R203" s="301">
        <v>65</v>
      </c>
      <c r="S203" s="490">
        <f t="shared" si="61"/>
        <v>65</v>
      </c>
      <c r="T203" s="489">
        <f>IF(E203="","",O203+S203)</f>
        <v>115</v>
      </c>
      <c r="U203" s="48" t="str">
        <f t="shared" si="62"/>
        <v>DEB -30</v>
      </c>
      <c r="V203" s="48" t="str">
        <f>IF(E203=0," ",IF(E203="H",IF(H203&lt;1999,VLOOKUP(K203,[27]Minimas!$A$15:$F$29,6),IF(AND(H203&gt;1998,H203&lt;2002),VLOOKUP(K203,[27]Minimas!$A$15:$F$29,5),IF(AND(H203&gt;2001,H203&lt;2004),VLOOKUP(K203,[27]Minimas!$A$15:$F$29,4),IF(AND(H203&gt;2003,H203&lt;2006),VLOOKUP(K203,[27]Minimas!$A$15:$F$29,3),VLOOKUP(K203,[27]Minimas!$A$15:$F$29,2))))),IF(H203&lt;1999,VLOOKUP(K203,[27]Minimas!$G$15:$L$29,6),IF(AND(H203&gt;1998,H203&lt;2002),VLOOKUP(K203,[27]Minimas!$G$15:$L$29,5),IF(AND(H203&gt;2001,H203&lt;2004),VLOOKUP(K203,[27]Minimas!$G$15:$L$29,4),IF(AND(H203&gt;2003,H203&lt;2006),VLOOKUP(K203,[27]Minimas!$G$15:$L$29,3),VLOOKUP(K203,[27]Minimas!$G$15:$L$29,2)))))))</f>
        <v>SE M81</v>
      </c>
      <c r="W203" s="49">
        <f t="shared" si="63"/>
        <v>144.55892621226141</v>
      </c>
      <c r="X203" s="257">
        <v>43506</v>
      </c>
      <c r="Y203" s="261" t="s">
        <v>660</v>
      </c>
      <c r="Z203" s="261" t="s">
        <v>661</v>
      </c>
      <c r="AA203" s="232"/>
      <c r="AB203" s="230">
        <f>T203-HLOOKUP(V203,Minimas!$C$3:$CD$12,2,FALSE)</f>
        <v>-30</v>
      </c>
      <c r="AC203" s="230">
        <f>T203-HLOOKUP(V203,Minimas!$C$3:$CD$12,3,FALSE)</f>
        <v>-55</v>
      </c>
      <c r="AD203" s="230">
        <f>T203-HLOOKUP(V203,Minimas!$C$3:$CD$12,4,FALSE)</f>
        <v>-80</v>
      </c>
      <c r="AE203" s="230">
        <f>T203-HLOOKUP(V203,Minimas!$C$3:$CD$12,5,FALSE)</f>
        <v>-105</v>
      </c>
      <c r="AF203" s="230">
        <f>T203-HLOOKUP(V203,Minimas!$C$3:$CD$12,6,FALSE)</f>
        <v>-135</v>
      </c>
      <c r="AG203" s="230">
        <f>T203-HLOOKUP(V203,Minimas!$C$3:$CD$12,7,FALSE)</f>
        <v>-160</v>
      </c>
      <c r="AH203" s="230">
        <f>T203-HLOOKUP(V203,Minimas!$C$3:$CD$12,8,FALSE)</f>
        <v>-180</v>
      </c>
      <c r="AI203" s="230">
        <f>T203-HLOOKUP(V203,Minimas!$C$3:$CD$12,9,FALSE)</f>
        <v>-205</v>
      </c>
      <c r="AJ203" s="230">
        <f>T203-HLOOKUP(V203,Minimas!$C$3:$CD$12,10,FALSE)</f>
        <v>-220</v>
      </c>
      <c r="AK203" s="231" t="str">
        <f t="shared" si="64"/>
        <v>DEB</v>
      </c>
      <c r="AL203" s="232"/>
      <c r="AM203" s="232" t="str">
        <f t="shared" si="65"/>
        <v>DEB</v>
      </c>
      <c r="AN203" s="232">
        <f t="shared" si="66"/>
        <v>-30</v>
      </c>
      <c r="AO203" s="232"/>
      <c r="AP203" s="38"/>
      <c r="AQ203" s="38"/>
      <c r="AR203" s="38"/>
      <c r="AS203" s="38"/>
      <c r="AT203" s="38"/>
      <c r="AU203" s="38"/>
      <c r="AV203" s="38"/>
      <c r="AW203" s="38"/>
      <c r="AX203" s="38"/>
      <c r="AY203" s="38"/>
      <c r="AZ203" s="38"/>
      <c r="BA203" s="38"/>
      <c r="BB203" s="38"/>
      <c r="BC203" s="38"/>
      <c r="BD203" s="38"/>
      <c r="BE203" s="38"/>
      <c r="BF203" s="38"/>
      <c r="BG203" s="38"/>
      <c r="BH203" s="38"/>
      <c r="BI203" s="38"/>
      <c r="BJ203" s="38"/>
      <c r="BK203" s="38"/>
      <c r="BL203" s="38"/>
      <c r="BM203" s="38"/>
      <c r="BN203" s="38"/>
      <c r="BO203" s="38"/>
      <c r="BP203" s="38"/>
      <c r="BQ203" s="38"/>
      <c r="BR203" s="38"/>
      <c r="BS203" s="38"/>
      <c r="BT203" s="38"/>
      <c r="BU203" s="38"/>
      <c r="BV203" s="38"/>
      <c r="BW203" s="38"/>
      <c r="BX203" s="38"/>
      <c r="BY203" s="38"/>
      <c r="BZ203" s="38"/>
      <c r="CA203" s="38"/>
      <c r="CB203" s="38"/>
      <c r="CC203" s="38"/>
      <c r="CD203" s="38"/>
      <c r="CE203" s="38"/>
      <c r="CF203" s="38"/>
      <c r="CG203" s="38"/>
      <c r="CH203" s="38"/>
      <c r="CI203" s="38"/>
      <c r="CJ203" s="38"/>
      <c r="CK203" s="38"/>
      <c r="CL203" s="38"/>
      <c r="CM203" s="38"/>
      <c r="CN203" s="38"/>
      <c r="CO203" s="38"/>
      <c r="CP203" s="38"/>
      <c r="CQ203" s="38"/>
      <c r="CR203" s="38"/>
      <c r="CS203" s="38"/>
      <c r="CT203" s="38"/>
      <c r="CU203" s="38"/>
      <c r="CV203" s="38"/>
      <c r="CW203" s="38"/>
      <c r="CX203" s="38"/>
      <c r="CY203" s="38"/>
      <c r="CZ203" s="38"/>
      <c r="DA203" s="38"/>
      <c r="DB203" s="38"/>
      <c r="DC203" s="38"/>
      <c r="DD203" s="38"/>
      <c r="DE203" s="38"/>
      <c r="DF203" s="38"/>
      <c r="DG203" s="38"/>
      <c r="DH203" s="38"/>
      <c r="DI203" s="38"/>
      <c r="DJ203" s="38"/>
      <c r="DK203" s="38"/>
      <c r="DL203" s="38"/>
      <c r="DM203" s="38"/>
      <c r="DN203" s="38"/>
      <c r="DO203" s="38"/>
      <c r="DP203" s="38"/>
      <c r="DQ203" s="38"/>
      <c r="DR203" s="38"/>
      <c r="DS203" s="38"/>
      <c r="DT203" s="38"/>
    </row>
    <row r="204" spans="1:124" s="5" customFormat="1" ht="30" customHeight="1" x14ac:dyDescent="0.3">
      <c r="B204" s="136" t="s">
        <v>543</v>
      </c>
      <c r="C204" s="116">
        <v>399902</v>
      </c>
      <c r="D204" s="157"/>
      <c r="E204" s="175" t="s">
        <v>40</v>
      </c>
      <c r="F204" s="124" t="s">
        <v>388</v>
      </c>
      <c r="G204" s="125" t="s">
        <v>389</v>
      </c>
      <c r="H204" s="156">
        <v>1998</v>
      </c>
      <c r="I204" s="158" t="s">
        <v>170</v>
      </c>
      <c r="J204" s="104" t="s">
        <v>41</v>
      </c>
      <c r="K204" s="126">
        <v>79.3</v>
      </c>
      <c r="L204" s="456">
        <v>45</v>
      </c>
      <c r="M204" s="597">
        <v>-48</v>
      </c>
      <c r="N204" s="457">
        <v>48</v>
      </c>
      <c r="O204" s="490">
        <f t="shared" si="60"/>
        <v>48</v>
      </c>
      <c r="P204" s="452">
        <v>55</v>
      </c>
      <c r="Q204" s="597">
        <v>-60</v>
      </c>
      <c r="R204" s="453">
        <v>63</v>
      </c>
      <c r="S204" s="490">
        <f t="shared" si="61"/>
        <v>63</v>
      </c>
      <c r="T204" s="489">
        <f>IF(E204="","",IF(OR(O204=0,S204=0),0,O204+S204))</f>
        <v>111</v>
      </c>
      <c r="U204" s="48" t="str">
        <f t="shared" si="62"/>
        <v>DEB -34</v>
      </c>
      <c r="V204" s="48" t="str">
        <f>IF(E204=0," ",IF(E204="H",IF(H204&lt;1999,VLOOKUP(K204,Minimas!$A$15:$F$29,6),IF(AND(H204&gt;1998,H204&lt;2002),VLOOKUP(K204,Minimas!$A$15:$F$29,5),IF(AND(H204&gt;2001,H204&lt;2004),VLOOKUP(K204,Minimas!$A$15:$F$29,4),IF(AND(H204&gt;2003,H204&lt;2006),VLOOKUP(K204,Minimas!$A$15:$F$29,3),VLOOKUP(K204,Minimas!$A$15:$F$29,2))))),IF(H204&lt;1999,VLOOKUP(K204,Minimas!$G$15:$L$29,6),IF(AND(H204&gt;1998,H204&lt;2002),VLOOKUP(K204,Minimas!$G$15:$L$29,5),IF(AND(H204&gt;2001,H204&lt;2004),VLOOKUP(K204,Minimas!$G$15:$L$29,4),IF(AND(H204&gt;2003,H204&lt;2006),VLOOKUP(K204,Minimas!$G$15:$L$29,3),VLOOKUP(K204,Minimas!$G$15:$L$29,2)))))))</f>
        <v>SE M81</v>
      </c>
      <c r="W204" s="49">
        <f t="shared" si="63"/>
        <v>136.40665164608293</v>
      </c>
      <c r="X204" s="184">
        <v>43401</v>
      </c>
      <c r="Y204" s="284" t="s">
        <v>507</v>
      </c>
      <c r="Z204" s="284" t="s">
        <v>506</v>
      </c>
      <c r="AA204" s="232"/>
      <c r="AB204" s="230">
        <f>T204-HLOOKUP(V204,Minimas!$C$3:$CD$12,2,FALSE)</f>
        <v>-34</v>
      </c>
      <c r="AC204" s="230">
        <f>T204-HLOOKUP(V204,Minimas!$C$3:$CD$12,3,FALSE)</f>
        <v>-59</v>
      </c>
      <c r="AD204" s="230">
        <f>T204-HLOOKUP(V204,Minimas!$C$3:$CD$12,4,FALSE)</f>
        <v>-84</v>
      </c>
      <c r="AE204" s="230">
        <f>T204-HLOOKUP(V204,Minimas!$C$3:$CD$12,5,FALSE)</f>
        <v>-109</v>
      </c>
      <c r="AF204" s="230">
        <f>T204-HLOOKUP(V204,Minimas!$C$3:$CD$12,6,FALSE)</f>
        <v>-139</v>
      </c>
      <c r="AG204" s="230">
        <f>T204-HLOOKUP(V204,Minimas!$C$3:$CD$12,7,FALSE)</f>
        <v>-164</v>
      </c>
      <c r="AH204" s="230">
        <f>T204-HLOOKUP(V204,Minimas!$C$3:$CD$12,8,FALSE)</f>
        <v>-184</v>
      </c>
      <c r="AI204" s="230">
        <f>T204-HLOOKUP(V204,Minimas!$C$3:$CD$12,9,FALSE)</f>
        <v>-209</v>
      </c>
      <c r="AJ204" s="230">
        <f>T204-HLOOKUP(V204,Minimas!$C$3:$CD$12,10,FALSE)</f>
        <v>-224</v>
      </c>
      <c r="AK204" s="231" t="str">
        <f t="shared" si="64"/>
        <v>DEB</v>
      </c>
      <c r="AL204" s="232"/>
      <c r="AM204" s="232" t="str">
        <f t="shared" si="65"/>
        <v>DEB</v>
      </c>
      <c r="AN204" s="232">
        <f t="shared" si="66"/>
        <v>-34</v>
      </c>
      <c r="AO204" s="232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  <c r="BA204" s="38"/>
      <c r="BB204" s="38"/>
      <c r="BC204" s="38"/>
      <c r="BD204" s="38"/>
      <c r="BE204" s="38"/>
      <c r="BF204" s="38"/>
      <c r="BG204" s="38"/>
      <c r="BH204" s="38"/>
      <c r="BI204" s="38"/>
      <c r="BJ204" s="38"/>
      <c r="BK204" s="38"/>
      <c r="BL204" s="38"/>
      <c r="BM204" s="38"/>
      <c r="BN204" s="38"/>
      <c r="BO204" s="38"/>
      <c r="BP204" s="38"/>
      <c r="BQ204" s="38"/>
      <c r="BR204" s="38"/>
      <c r="BS204" s="38"/>
      <c r="BT204" s="38"/>
      <c r="BU204" s="38"/>
      <c r="BV204" s="38"/>
      <c r="BW204" s="38"/>
      <c r="BX204" s="38"/>
      <c r="BY204" s="38"/>
      <c r="BZ204" s="38"/>
      <c r="CA204" s="38"/>
      <c r="CB204" s="38"/>
      <c r="CC204" s="38"/>
      <c r="CD204" s="38"/>
      <c r="CE204" s="38"/>
      <c r="CF204" s="38"/>
      <c r="CG204" s="38"/>
      <c r="CH204" s="38"/>
      <c r="CI204" s="38"/>
      <c r="CJ204" s="38"/>
      <c r="CK204" s="38"/>
      <c r="CL204" s="38"/>
      <c r="CM204" s="38"/>
      <c r="CN204" s="38"/>
      <c r="CO204" s="38"/>
      <c r="CP204" s="38"/>
      <c r="CQ204" s="38"/>
      <c r="CR204" s="38"/>
      <c r="CS204" s="38"/>
      <c r="CT204" s="38"/>
      <c r="CU204" s="38"/>
      <c r="CV204" s="38"/>
      <c r="CW204" s="38"/>
      <c r="CX204" s="38"/>
      <c r="CY204" s="38"/>
      <c r="CZ204" s="38"/>
      <c r="DA204" s="38"/>
      <c r="DB204" s="38"/>
      <c r="DC204" s="38"/>
      <c r="DD204" s="38"/>
      <c r="DE204" s="38"/>
      <c r="DF204" s="38"/>
      <c r="DG204" s="38"/>
      <c r="DH204" s="38"/>
      <c r="DI204" s="38"/>
      <c r="DJ204" s="38"/>
      <c r="DK204" s="38"/>
      <c r="DL204" s="38"/>
      <c r="DM204" s="38"/>
      <c r="DN204" s="38"/>
      <c r="DO204" s="38"/>
      <c r="DP204" s="38"/>
      <c r="DQ204" s="38"/>
      <c r="DR204" s="38"/>
      <c r="DS204" s="38"/>
      <c r="DT204" s="38"/>
    </row>
    <row r="205" spans="1:124" s="5" customFormat="1" ht="30" customHeight="1" x14ac:dyDescent="0.25">
      <c r="A205" s="1"/>
      <c r="B205" s="136" t="s">
        <v>543</v>
      </c>
      <c r="C205" s="166">
        <v>445984</v>
      </c>
      <c r="D205" s="167"/>
      <c r="E205" s="476" t="s">
        <v>40</v>
      </c>
      <c r="F205" s="143" t="s">
        <v>779</v>
      </c>
      <c r="G205" s="144" t="s">
        <v>778</v>
      </c>
      <c r="H205" s="145">
        <v>1991</v>
      </c>
      <c r="I205" s="172" t="s">
        <v>129</v>
      </c>
      <c r="J205" s="152" t="s">
        <v>44</v>
      </c>
      <c r="K205" s="200">
        <v>75.8</v>
      </c>
      <c r="L205" s="300">
        <v>45</v>
      </c>
      <c r="M205" s="301">
        <v>48</v>
      </c>
      <c r="N205" s="301">
        <v>50</v>
      </c>
      <c r="O205" s="490">
        <f t="shared" si="60"/>
        <v>50</v>
      </c>
      <c r="P205" s="300">
        <v>55</v>
      </c>
      <c r="Q205" s="301">
        <v>60</v>
      </c>
      <c r="R205" s="449">
        <v>-63</v>
      </c>
      <c r="S205" s="490">
        <f t="shared" si="61"/>
        <v>60</v>
      </c>
      <c r="T205" s="489">
        <f>IF(E205="","",O205+S205)</f>
        <v>110</v>
      </c>
      <c r="U205" s="48" t="str">
        <f t="shared" si="62"/>
        <v>DEB -35</v>
      </c>
      <c r="V205" s="48" t="str">
        <f>IF(E205=0," ",IF(E205="H",IF(H205&lt;1999,VLOOKUP(K205,[7]Minimas!$A$15:$F$29,6),IF(AND(H205&gt;1998,H205&lt;2002),VLOOKUP(K205,[7]Minimas!$A$15:$F$29,5),IF(AND(H205&gt;2001,H205&lt;2004),VLOOKUP(K205,[7]Minimas!$A$15:$F$29,4),IF(AND(H205&gt;2003,H205&lt;2006),VLOOKUP(K205,[7]Minimas!$A$15:$F$29,3),VLOOKUP(K205,[7]Minimas!$A$15:$F$29,2))))),IF(H205&lt;1999,VLOOKUP(K205,[7]Minimas!$G$15:$L$29,6),IF(AND(H205&gt;1998,H205&lt;2002),VLOOKUP(K205,[7]Minimas!$G$15:$L$29,5),IF(AND(H205&gt;2001,H205&lt;2004),VLOOKUP(K205,[7]Minimas!$G$15:$L$29,4),IF(AND(H205&gt;2003,H205&lt;2006),VLOOKUP(K205,[7]Minimas!$G$15:$L$29,3),VLOOKUP(K205,[7]Minimas!$G$15:$L$29,2)))))))</f>
        <v>SE M81</v>
      </c>
      <c r="W205" s="49">
        <f t="shared" si="63"/>
        <v>138.4733852514311</v>
      </c>
      <c r="X205" s="257">
        <v>43540</v>
      </c>
      <c r="Y205" s="261" t="s">
        <v>714</v>
      </c>
      <c r="Z205" s="261" t="s">
        <v>704</v>
      </c>
      <c r="AA205" s="463"/>
      <c r="AB205" s="230">
        <f>T205-HLOOKUP(V205,Minimas!$C$3:$CD$12,2,FALSE)</f>
        <v>-35</v>
      </c>
      <c r="AC205" s="230">
        <f>T205-HLOOKUP(V205,Minimas!$C$3:$CD$12,3,FALSE)</f>
        <v>-60</v>
      </c>
      <c r="AD205" s="230">
        <f>T205-HLOOKUP(V205,Minimas!$C$3:$CD$12,4,FALSE)</f>
        <v>-85</v>
      </c>
      <c r="AE205" s="230">
        <f>T205-HLOOKUP(V205,Minimas!$C$3:$CD$12,5,FALSE)</f>
        <v>-110</v>
      </c>
      <c r="AF205" s="230">
        <f>T205-HLOOKUP(V205,Minimas!$C$3:$CD$12,6,FALSE)</f>
        <v>-140</v>
      </c>
      <c r="AG205" s="230">
        <f>T205-HLOOKUP(V205,Minimas!$C$3:$CD$12,7,FALSE)</f>
        <v>-165</v>
      </c>
      <c r="AH205" s="230">
        <f>T205-HLOOKUP(V205,Minimas!$C$3:$CD$12,8,FALSE)</f>
        <v>-185</v>
      </c>
      <c r="AI205" s="230">
        <f>T205-HLOOKUP(V205,Minimas!$C$3:$CD$12,9,FALSE)</f>
        <v>-210</v>
      </c>
      <c r="AJ205" s="230">
        <f>T205-HLOOKUP(V205,Minimas!$C$3:$CD$12,10,FALSE)</f>
        <v>-225</v>
      </c>
      <c r="AK205" s="231" t="str">
        <f t="shared" si="64"/>
        <v>DEB</v>
      </c>
      <c r="AL205" s="232"/>
      <c r="AM205" s="232" t="str">
        <f t="shared" si="65"/>
        <v>DEB</v>
      </c>
      <c r="AN205" s="232">
        <f t="shared" si="66"/>
        <v>-35</v>
      </c>
      <c r="AO205" s="463"/>
      <c r="AP205" s="34"/>
      <c r="AQ205" s="34"/>
      <c r="AR205" s="34"/>
      <c r="AS205" s="34"/>
      <c r="AT205" s="34"/>
      <c r="AU205" s="34"/>
      <c r="AV205" s="34"/>
      <c r="AW205" s="34"/>
      <c r="AX205" s="34"/>
      <c r="AY205" s="34"/>
      <c r="AZ205" s="34"/>
      <c r="BA205" s="34"/>
      <c r="BB205" s="34"/>
      <c r="BC205" s="34"/>
      <c r="BD205" s="34"/>
      <c r="BE205" s="34"/>
      <c r="BF205" s="34"/>
      <c r="BG205" s="34"/>
      <c r="BH205" s="34"/>
      <c r="BI205" s="34"/>
      <c r="BJ205" s="34"/>
      <c r="BK205" s="34"/>
      <c r="BL205" s="34"/>
      <c r="BM205" s="34"/>
      <c r="BN205" s="34"/>
      <c r="BO205" s="34"/>
      <c r="BP205" s="34"/>
      <c r="BQ205" s="34"/>
      <c r="BR205" s="34"/>
      <c r="BS205" s="34"/>
      <c r="BT205" s="34"/>
      <c r="BU205" s="34"/>
      <c r="BV205" s="34"/>
      <c r="BW205" s="34"/>
      <c r="BX205" s="34"/>
      <c r="BY205" s="34"/>
      <c r="BZ205" s="34"/>
      <c r="CA205" s="34"/>
      <c r="CB205" s="34"/>
      <c r="CC205" s="34"/>
      <c r="CD205" s="34"/>
      <c r="CE205" s="34"/>
      <c r="CF205" s="34"/>
      <c r="CG205" s="34"/>
      <c r="CH205" s="34"/>
      <c r="CI205" s="34"/>
      <c r="CJ205" s="34"/>
      <c r="CK205" s="34"/>
      <c r="CL205" s="34"/>
      <c r="CM205" s="34"/>
      <c r="CN205" s="34"/>
      <c r="CO205" s="34"/>
      <c r="CP205" s="34"/>
      <c r="CQ205" s="34"/>
      <c r="CR205" s="34"/>
      <c r="CS205" s="34"/>
      <c r="CT205" s="34"/>
      <c r="CU205" s="34"/>
      <c r="CV205" s="34"/>
      <c r="CW205" s="34"/>
      <c r="CX205" s="34"/>
      <c r="CY205" s="34"/>
      <c r="CZ205" s="34"/>
      <c r="DA205" s="34"/>
      <c r="DB205" s="34"/>
      <c r="DC205" s="34"/>
      <c r="DD205" s="34"/>
      <c r="DE205" s="34"/>
      <c r="DF205" s="34"/>
      <c r="DG205" s="34"/>
      <c r="DH205" s="34"/>
      <c r="DI205" s="34"/>
      <c r="DJ205" s="34"/>
      <c r="DK205" s="34"/>
      <c r="DL205" s="34"/>
      <c r="DM205" s="34"/>
      <c r="DN205" s="34"/>
      <c r="DO205" s="34"/>
      <c r="DP205" s="34"/>
      <c r="DQ205" s="34"/>
      <c r="DR205" s="34"/>
      <c r="DS205" s="34"/>
      <c r="DT205" s="34"/>
    </row>
    <row r="206" spans="1:124" s="5" customFormat="1" ht="30" customHeight="1" x14ac:dyDescent="0.25">
      <c r="A206" s="1"/>
      <c r="B206" s="136" t="s">
        <v>543</v>
      </c>
      <c r="C206" s="166">
        <v>442053</v>
      </c>
      <c r="D206" s="167"/>
      <c r="E206" s="476" t="s">
        <v>40</v>
      </c>
      <c r="F206" s="143" t="s">
        <v>747</v>
      </c>
      <c r="G206" s="144" t="s">
        <v>454</v>
      </c>
      <c r="H206" s="145">
        <v>1981</v>
      </c>
      <c r="I206" s="172" t="s">
        <v>129</v>
      </c>
      <c r="J206" s="146" t="s">
        <v>44</v>
      </c>
      <c r="K206" s="200">
        <v>77</v>
      </c>
      <c r="L206" s="300">
        <v>50</v>
      </c>
      <c r="M206" s="449">
        <v>-54</v>
      </c>
      <c r="N206" s="449">
        <v>-55</v>
      </c>
      <c r="O206" s="490">
        <f t="shared" si="60"/>
        <v>50</v>
      </c>
      <c r="P206" s="300">
        <v>60</v>
      </c>
      <c r="Q206" s="449">
        <v>-65</v>
      </c>
      <c r="R206" s="449">
        <v>-65</v>
      </c>
      <c r="S206" s="490">
        <f t="shared" si="61"/>
        <v>60</v>
      </c>
      <c r="T206" s="489">
        <f>IF(E206="","",O206+S206)</f>
        <v>110</v>
      </c>
      <c r="U206" s="48" t="str">
        <f t="shared" si="62"/>
        <v>DEB -35</v>
      </c>
      <c r="V206" s="48" t="str">
        <f>IF(E206=0," ",IF(E206="H",IF(H206&lt;1999,VLOOKUP(K206,[13]Minimas!$A$15:$F$29,6),IF(AND(H206&gt;1998,H206&lt;2002),VLOOKUP(K206,[13]Minimas!$A$15:$F$29,5),IF(AND(H206&gt;2001,H206&lt;2004),VLOOKUP(K206,[13]Minimas!$A$15:$F$29,4),IF(AND(H206&gt;2003,H206&lt;2006),VLOOKUP(K206,[13]Minimas!$A$15:$F$29,3),VLOOKUP(K206,[13]Minimas!$A$15:$F$29,2))))),IF(H206&lt;1999,VLOOKUP(K206,[13]Minimas!$G$15:$L$29,6),IF(AND(H206&gt;1998,H206&lt;2002),VLOOKUP(K206,[13]Minimas!$G$15:$L$29,5),IF(AND(H206&gt;2001,H206&lt;2004),VLOOKUP(K206,[13]Minimas!$G$15:$L$29,4),IF(AND(H206&gt;2003,H206&lt;2006),VLOOKUP(K206,[13]Minimas!$G$15:$L$29,3),VLOOKUP(K206,[13]Minimas!$G$15:$L$29,2)))))))</f>
        <v>SE M81</v>
      </c>
      <c r="W206" s="49">
        <f t="shared" si="63"/>
        <v>137.29687469988863</v>
      </c>
      <c r="X206" s="257">
        <v>43540</v>
      </c>
      <c r="Y206" s="261" t="s">
        <v>714</v>
      </c>
      <c r="Z206" s="261" t="s">
        <v>704</v>
      </c>
      <c r="AA206" s="463"/>
      <c r="AB206" s="230">
        <f>T206-HLOOKUP(V206,Minimas!$C$3:$CD$12,2,FALSE)</f>
        <v>-35</v>
      </c>
      <c r="AC206" s="230">
        <f>T206-HLOOKUP(V206,Minimas!$C$3:$CD$12,3,FALSE)</f>
        <v>-60</v>
      </c>
      <c r="AD206" s="230">
        <f>T206-HLOOKUP(V206,Minimas!$C$3:$CD$12,4,FALSE)</f>
        <v>-85</v>
      </c>
      <c r="AE206" s="230">
        <f>T206-HLOOKUP(V206,Minimas!$C$3:$CD$12,5,FALSE)</f>
        <v>-110</v>
      </c>
      <c r="AF206" s="230">
        <f>T206-HLOOKUP(V206,Minimas!$C$3:$CD$12,6,FALSE)</f>
        <v>-140</v>
      </c>
      <c r="AG206" s="230">
        <f>T206-HLOOKUP(V206,Minimas!$C$3:$CD$12,7,FALSE)</f>
        <v>-165</v>
      </c>
      <c r="AH206" s="230">
        <f>T206-HLOOKUP(V206,Minimas!$C$3:$CD$12,8,FALSE)</f>
        <v>-185</v>
      </c>
      <c r="AI206" s="230">
        <f>T206-HLOOKUP(V206,Minimas!$C$3:$CD$12,9,FALSE)</f>
        <v>-210</v>
      </c>
      <c r="AJ206" s="230">
        <f>T206-HLOOKUP(V206,Minimas!$C$3:$CD$12,10,FALSE)</f>
        <v>-225</v>
      </c>
      <c r="AK206" s="231" t="str">
        <f t="shared" si="64"/>
        <v>DEB</v>
      </c>
      <c r="AL206" s="232"/>
      <c r="AM206" s="232" t="str">
        <f t="shared" si="65"/>
        <v>DEB</v>
      </c>
      <c r="AN206" s="232">
        <f t="shared" si="66"/>
        <v>-35</v>
      </c>
      <c r="AO206" s="463"/>
      <c r="AP206" s="34"/>
      <c r="AQ206" s="34"/>
      <c r="AR206" s="34"/>
      <c r="AS206" s="34"/>
      <c r="AT206" s="34"/>
      <c r="AU206" s="34"/>
      <c r="AV206" s="34"/>
      <c r="AW206" s="34"/>
      <c r="AX206" s="34"/>
      <c r="AY206" s="34"/>
      <c r="AZ206" s="34"/>
      <c r="BA206" s="34"/>
      <c r="BB206" s="34"/>
      <c r="BC206" s="34"/>
      <c r="BD206" s="34"/>
      <c r="BE206" s="34"/>
      <c r="BF206" s="34"/>
      <c r="BG206" s="34"/>
      <c r="BH206" s="34"/>
      <c r="BI206" s="34"/>
      <c r="BJ206" s="34"/>
      <c r="BK206" s="34"/>
      <c r="BL206" s="34"/>
      <c r="BM206" s="34"/>
      <c r="BN206" s="34"/>
      <c r="BO206" s="34"/>
      <c r="BP206" s="34"/>
      <c r="BQ206" s="34"/>
      <c r="BR206" s="34"/>
      <c r="BS206" s="34"/>
      <c r="BT206" s="34"/>
      <c r="BU206" s="34"/>
      <c r="BV206" s="34"/>
      <c r="BW206" s="34"/>
      <c r="BX206" s="34"/>
      <c r="BY206" s="34"/>
      <c r="BZ206" s="34"/>
      <c r="CA206" s="34"/>
      <c r="CB206" s="34"/>
      <c r="CC206" s="34"/>
      <c r="CD206" s="34"/>
      <c r="CE206" s="34"/>
      <c r="CF206" s="34"/>
      <c r="CG206" s="34"/>
      <c r="CH206" s="34"/>
      <c r="CI206" s="34"/>
      <c r="CJ206" s="34"/>
      <c r="CK206" s="34"/>
      <c r="CL206" s="34"/>
      <c r="CM206" s="34"/>
      <c r="CN206" s="34"/>
      <c r="CO206" s="34"/>
      <c r="CP206" s="34"/>
      <c r="CQ206" s="34"/>
      <c r="CR206" s="34"/>
      <c r="CS206" s="34"/>
      <c r="CT206" s="34"/>
      <c r="CU206" s="34"/>
      <c r="CV206" s="34"/>
      <c r="CW206" s="34"/>
      <c r="CX206" s="34"/>
      <c r="CY206" s="34"/>
      <c r="CZ206" s="34"/>
      <c r="DA206" s="34"/>
      <c r="DB206" s="34"/>
      <c r="DC206" s="34"/>
      <c r="DD206" s="34"/>
      <c r="DE206" s="34"/>
      <c r="DF206" s="34"/>
      <c r="DG206" s="34"/>
      <c r="DH206" s="34"/>
      <c r="DI206" s="34"/>
      <c r="DJ206" s="34"/>
      <c r="DK206" s="34"/>
      <c r="DL206" s="34"/>
      <c r="DM206" s="34"/>
      <c r="DN206" s="34"/>
      <c r="DO206" s="34"/>
      <c r="DP206" s="34"/>
      <c r="DQ206" s="34"/>
      <c r="DR206" s="34"/>
      <c r="DS206" s="34"/>
      <c r="DT206" s="34"/>
    </row>
    <row r="207" spans="1:124" s="5" customFormat="1" ht="30" customHeight="1" x14ac:dyDescent="0.25">
      <c r="B207" s="686" t="s">
        <v>543</v>
      </c>
      <c r="C207" s="698">
        <v>332330</v>
      </c>
      <c r="D207" s="537"/>
      <c r="E207" s="476" t="s">
        <v>40</v>
      </c>
      <c r="F207" s="544" t="s">
        <v>669</v>
      </c>
      <c r="G207" s="551" t="s">
        <v>297</v>
      </c>
      <c r="H207" s="215">
        <v>1966</v>
      </c>
      <c r="I207" s="569" t="s">
        <v>170</v>
      </c>
      <c r="J207" s="476" t="s">
        <v>41</v>
      </c>
      <c r="K207" s="564">
        <v>75</v>
      </c>
      <c r="L207" s="300">
        <v>45</v>
      </c>
      <c r="M207" s="301">
        <v>47</v>
      </c>
      <c r="N207" s="301">
        <v>-50</v>
      </c>
      <c r="O207" s="490">
        <f t="shared" si="60"/>
        <v>47</v>
      </c>
      <c r="P207" s="300">
        <v>55</v>
      </c>
      <c r="Q207" s="301">
        <v>58</v>
      </c>
      <c r="R207" s="301">
        <v>62</v>
      </c>
      <c r="S207" s="490">
        <f t="shared" si="61"/>
        <v>62</v>
      </c>
      <c r="T207" s="489">
        <f t="shared" ref="T207:T213" si="67">IF(E207="","",IF(OR(O207=0,S207=0),0,O207+S207))</f>
        <v>109</v>
      </c>
      <c r="U207" s="48" t="str">
        <f t="shared" si="62"/>
        <v>DEB -36</v>
      </c>
      <c r="V207" s="48" t="str">
        <f>IF(E207=0," ",IF(E207="H",IF(H207&lt;1999,VLOOKUP(K207,[12]Minimas!$A$15:$F$29,6),IF(AND(H207&gt;1998,H207&lt;2002),VLOOKUP(K207,[12]Minimas!$A$15:$F$29,5),IF(AND(H207&gt;2001,H207&lt;2004),VLOOKUP(K207,[12]Minimas!$A$15:$F$29,4),IF(AND(H207&gt;2003,H207&lt;2006),VLOOKUP(K207,[12]Minimas!$A$15:$F$29,3),VLOOKUP(K207,[12]Minimas!$A$15:$F$29,2))))),IF(H207&lt;1999,VLOOKUP(K207,[12]Minimas!$G$15:$L$29,6),IF(AND(H207&gt;1998,H207&lt;2002),VLOOKUP(K207,[12]Minimas!$G$15:$L$29,5),IF(AND(H207&gt;2001,H207&lt;2004),VLOOKUP(K207,[12]Minimas!$G$15:$L$29,4),IF(AND(H207&gt;2003,H207&lt;2006),VLOOKUP(K207,[12]Minimas!$G$15:$L$29,3),VLOOKUP(K207,[12]Minimas!$G$15:$L$29,2)))))))</f>
        <v>SE M81</v>
      </c>
      <c r="W207" s="49">
        <f t="shared" si="63"/>
        <v>138.02027856516969</v>
      </c>
      <c r="X207" s="257">
        <v>43492</v>
      </c>
      <c r="Y207" s="261" t="s">
        <v>696</v>
      </c>
      <c r="Z207" s="261" t="s">
        <v>701</v>
      </c>
      <c r="AA207" s="232"/>
      <c r="AB207" s="230">
        <f>T207-HLOOKUP(V207,Minimas!$C$3:$CD$12,2,FALSE)</f>
        <v>-36</v>
      </c>
      <c r="AC207" s="230">
        <f>T207-HLOOKUP(V207,Minimas!$C$3:$CD$12,3,FALSE)</f>
        <v>-61</v>
      </c>
      <c r="AD207" s="230">
        <f>T207-HLOOKUP(V207,Minimas!$C$3:$CD$12,4,FALSE)</f>
        <v>-86</v>
      </c>
      <c r="AE207" s="230">
        <f>T207-HLOOKUP(V207,Minimas!$C$3:$CD$12,5,FALSE)</f>
        <v>-111</v>
      </c>
      <c r="AF207" s="230">
        <f>T207-HLOOKUP(V207,Minimas!$C$3:$CD$12,6,FALSE)</f>
        <v>-141</v>
      </c>
      <c r="AG207" s="230">
        <f>T207-HLOOKUP(V207,Minimas!$C$3:$CD$12,7,FALSE)</f>
        <v>-166</v>
      </c>
      <c r="AH207" s="230">
        <f>T207-HLOOKUP(V207,Minimas!$C$3:$CD$12,8,FALSE)</f>
        <v>-186</v>
      </c>
      <c r="AI207" s="230">
        <f>T207-HLOOKUP(V207,Minimas!$C$3:$CD$12,9,FALSE)</f>
        <v>-211</v>
      </c>
      <c r="AJ207" s="230">
        <f>T207-HLOOKUP(V207,Minimas!$C$3:$CD$12,10,FALSE)</f>
        <v>-226</v>
      </c>
      <c r="AK207" s="231" t="str">
        <f t="shared" si="64"/>
        <v>DEB</v>
      </c>
      <c r="AL207" s="232"/>
      <c r="AM207" s="232" t="str">
        <f t="shared" si="65"/>
        <v>DEB</v>
      </c>
      <c r="AN207" s="232">
        <f t="shared" si="66"/>
        <v>-36</v>
      </c>
      <c r="AO207" s="232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  <c r="BA207" s="38"/>
      <c r="BB207" s="38"/>
      <c r="BC207" s="38"/>
      <c r="BD207" s="38"/>
      <c r="BE207" s="38"/>
      <c r="BF207" s="38"/>
      <c r="BG207" s="38"/>
      <c r="BH207" s="38"/>
      <c r="BI207" s="38"/>
      <c r="BJ207" s="38"/>
      <c r="BK207" s="38"/>
      <c r="BL207" s="38"/>
      <c r="BM207" s="38"/>
      <c r="BN207" s="38"/>
      <c r="BO207" s="38"/>
      <c r="BP207" s="38"/>
      <c r="BQ207" s="38"/>
      <c r="BR207" s="38"/>
      <c r="BS207" s="38"/>
      <c r="BT207" s="38"/>
      <c r="BU207" s="38"/>
      <c r="BV207" s="38"/>
      <c r="BW207" s="38"/>
      <c r="BX207" s="38"/>
      <c r="BY207" s="38"/>
      <c r="BZ207" s="38"/>
      <c r="CA207" s="38"/>
      <c r="CB207" s="38"/>
      <c r="CC207" s="38"/>
      <c r="CD207" s="38"/>
      <c r="CE207" s="38"/>
      <c r="CF207" s="38"/>
      <c r="CG207" s="38"/>
      <c r="CH207" s="38"/>
      <c r="CI207" s="38"/>
      <c r="CJ207" s="38"/>
      <c r="CK207" s="38"/>
      <c r="CL207" s="38"/>
      <c r="CM207" s="38"/>
      <c r="CN207" s="38"/>
      <c r="CO207" s="38"/>
      <c r="CP207" s="38"/>
      <c r="CQ207" s="38"/>
      <c r="CR207" s="38"/>
      <c r="CS207" s="38"/>
      <c r="CT207" s="38"/>
      <c r="CU207" s="38"/>
      <c r="CV207" s="38"/>
      <c r="CW207" s="38"/>
      <c r="CX207" s="38"/>
      <c r="CY207" s="38"/>
      <c r="CZ207" s="38"/>
      <c r="DA207" s="38"/>
      <c r="DB207" s="38"/>
      <c r="DC207" s="38"/>
      <c r="DD207" s="38"/>
      <c r="DE207" s="38"/>
      <c r="DF207" s="38"/>
      <c r="DG207" s="38"/>
      <c r="DH207" s="38"/>
      <c r="DI207" s="38"/>
      <c r="DJ207" s="38"/>
      <c r="DK207" s="38"/>
      <c r="DL207" s="38"/>
      <c r="DM207" s="38"/>
      <c r="DN207" s="38"/>
      <c r="DO207" s="38"/>
      <c r="DP207" s="38"/>
      <c r="DQ207" s="38"/>
      <c r="DR207" s="38"/>
      <c r="DS207" s="38"/>
      <c r="DT207" s="38"/>
    </row>
    <row r="208" spans="1:124" s="5" customFormat="1" ht="30" customHeight="1" x14ac:dyDescent="0.25">
      <c r="A208" s="484"/>
      <c r="B208" s="251" t="s">
        <v>543</v>
      </c>
      <c r="C208" s="166">
        <v>75093</v>
      </c>
      <c r="D208" s="146"/>
      <c r="E208" s="476" t="s">
        <v>40</v>
      </c>
      <c r="F208" s="143" t="s">
        <v>259</v>
      </c>
      <c r="G208" s="144" t="s">
        <v>260</v>
      </c>
      <c r="H208" s="145">
        <v>1976</v>
      </c>
      <c r="I208" s="117" t="s">
        <v>254</v>
      </c>
      <c r="J208" s="146" t="s">
        <v>44</v>
      </c>
      <c r="K208" s="252">
        <v>76</v>
      </c>
      <c r="L208" s="787">
        <v>-75</v>
      </c>
      <c r="M208" s="461">
        <v>-75</v>
      </c>
      <c r="N208" s="461">
        <v>-75</v>
      </c>
      <c r="O208" s="802">
        <f t="shared" si="60"/>
        <v>0</v>
      </c>
      <c r="P208" s="300">
        <v>93</v>
      </c>
      <c r="Q208" s="461">
        <v>-97</v>
      </c>
      <c r="R208" s="461">
        <v>-97</v>
      </c>
      <c r="S208" s="490">
        <f t="shared" si="61"/>
        <v>93</v>
      </c>
      <c r="T208" s="489">
        <f t="shared" si="67"/>
        <v>0</v>
      </c>
      <c r="U208" s="48" t="str">
        <f t="shared" si="62"/>
        <v>DEB -145</v>
      </c>
      <c r="V208" s="48" t="str">
        <f>IF(E208=0," ",IF(E208="H",IF(H208&lt;1999,VLOOKUP(K208,Minimas!$A$15:$F$29,6),IF(AND(H208&gt;1998,H208&lt;2002),VLOOKUP(K208,Minimas!$A$15:$F$29,5),IF(AND(H208&gt;2001,H208&lt;2004),VLOOKUP(K208,Minimas!$A$15:$F$29,4),IF(AND(H208&gt;2003,H208&lt;2006),VLOOKUP(K208,Minimas!$A$15:$F$29,3),VLOOKUP(K208,Minimas!$A$15:$F$29,2))))),IF(H208&lt;1999,VLOOKUP(K208,Minimas!$G$15:$L$29,6),IF(AND(H208&gt;1998,H208&lt;2002),VLOOKUP(K208,Minimas!$G$15:$L$29,5),IF(AND(H208&gt;2001,H208&lt;2004),VLOOKUP(K208,Minimas!$G$15:$L$29,4),IF(AND(H208&gt;2003,H208&lt;2006),VLOOKUP(K208,Minimas!$G$15:$L$29,3),VLOOKUP(K208,Minimas!$G$15:$L$29,2)))))))</f>
        <v>SE M81</v>
      </c>
      <c r="W208" s="49">
        <f t="shared" si="63"/>
        <v>0</v>
      </c>
      <c r="X208" s="257">
        <v>43485</v>
      </c>
      <c r="Y208" s="261" t="s">
        <v>555</v>
      </c>
      <c r="Z208" s="261" t="s">
        <v>556</v>
      </c>
      <c r="AA208" s="232"/>
      <c r="AB208" s="230">
        <f>T208-HLOOKUP(V208,Minimas!$C$3:$CD$12,2,FALSE)</f>
        <v>-145</v>
      </c>
      <c r="AC208" s="230">
        <f>T208-HLOOKUP(V208,Minimas!$C$3:$CD$12,3,FALSE)</f>
        <v>-170</v>
      </c>
      <c r="AD208" s="230">
        <f>T208-HLOOKUP(V208,Minimas!$C$3:$CD$12,4,FALSE)</f>
        <v>-195</v>
      </c>
      <c r="AE208" s="230">
        <f>T208-HLOOKUP(V208,Minimas!$C$3:$CD$12,5,FALSE)</f>
        <v>-220</v>
      </c>
      <c r="AF208" s="230">
        <f>T208-HLOOKUP(V208,Minimas!$C$3:$CD$12,6,FALSE)</f>
        <v>-250</v>
      </c>
      <c r="AG208" s="230">
        <f>T208-HLOOKUP(V208,Minimas!$C$3:$CD$12,7,FALSE)</f>
        <v>-275</v>
      </c>
      <c r="AH208" s="230">
        <f>T208-HLOOKUP(V208,Minimas!$C$3:$CD$12,8,FALSE)</f>
        <v>-295</v>
      </c>
      <c r="AI208" s="230">
        <f>T208-HLOOKUP(V208,Minimas!$C$3:$CD$12,9,FALSE)</f>
        <v>-320</v>
      </c>
      <c r="AJ208" s="230">
        <f>T208-HLOOKUP(V208,Minimas!$C$3:$CD$12,10,FALSE)</f>
        <v>-335</v>
      </c>
      <c r="AK208" s="231" t="str">
        <f t="shared" si="64"/>
        <v>DEB</v>
      </c>
      <c r="AL208" s="232"/>
      <c r="AM208" s="232" t="str">
        <f t="shared" si="65"/>
        <v>DEB</v>
      </c>
      <c r="AN208" s="232">
        <f t="shared" si="66"/>
        <v>-145</v>
      </c>
      <c r="AO208" s="232"/>
      <c r="AP208" s="485"/>
      <c r="AQ208" s="485"/>
      <c r="AR208" s="485"/>
      <c r="AS208" s="485"/>
      <c r="AT208" s="485"/>
      <c r="AU208" s="485"/>
      <c r="AV208" s="485"/>
      <c r="AW208" s="485"/>
      <c r="AX208" s="485"/>
      <c r="AY208" s="485"/>
      <c r="AZ208" s="485"/>
      <c r="BA208" s="485"/>
      <c r="BB208" s="485"/>
      <c r="BC208" s="485"/>
      <c r="BD208" s="485"/>
      <c r="BE208" s="485"/>
      <c r="BF208" s="485"/>
      <c r="BG208" s="485"/>
      <c r="BH208" s="485"/>
      <c r="BI208" s="485"/>
      <c r="BJ208" s="485"/>
      <c r="BK208" s="485"/>
      <c r="BL208" s="485"/>
      <c r="BM208" s="485"/>
      <c r="BN208" s="485"/>
      <c r="BO208" s="485"/>
      <c r="BP208" s="485"/>
      <c r="BQ208" s="485"/>
      <c r="BR208" s="485"/>
      <c r="BS208" s="485"/>
      <c r="BT208" s="485"/>
      <c r="BU208" s="485"/>
      <c r="BV208" s="485"/>
      <c r="BW208" s="485"/>
      <c r="BX208" s="485"/>
      <c r="BY208" s="485"/>
      <c r="BZ208" s="485"/>
      <c r="CA208" s="485"/>
      <c r="CB208" s="485"/>
      <c r="CC208" s="485"/>
      <c r="CD208" s="485"/>
      <c r="CE208" s="485"/>
      <c r="CF208" s="485"/>
      <c r="CG208" s="485"/>
      <c r="CH208" s="485"/>
      <c r="CI208" s="485"/>
      <c r="CJ208" s="485"/>
      <c r="CK208" s="485"/>
      <c r="CL208" s="485"/>
      <c r="CM208" s="485"/>
      <c r="CN208" s="485"/>
      <c r="CO208" s="485"/>
      <c r="CP208" s="485"/>
      <c r="CQ208" s="485"/>
      <c r="CR208" s="485"/>
      <c r="CS208" s="485"/>
      <c r="CT208" s="485"/>
      <c r="CU208" s="485"/>
      <c r="CV208" s="485"/>
      <c r="CW208" s="485"/>
      <c r="CX208" s="485"/>
      <c r="CY208" s="485"/>
      <c r="CZ208" s="485"/>
      <c r="DA208" s="485"/>
      <c r="DB208" s="485"/>
      <c r="DC208" s="485"/>
      <c r="DD208" s="485"/>
      <c r="DE208" s="485"/>
      <c r="DF208" s="485"/>
      <c r="DG208" s="485"/>
      <c r="DH208" s="485"/>
      <c r="DI208" s="485"/>
      <c r="DJ208" s="485"/>
      <c r="DK208" s="485"/>
      <c r="DL208" s="485"/>
      <c r="DM208" s="485"/>
      <c r="DN208" s="485"/>
      <c r="DO208" s="485"/>
      <c r="DP208" s="485"/>
      <c r="DQ208" s="485"/>
      <c r="DR208" s="485"/>
      <c r="DS208" s="485"/>
      <c r="DT208" s="485"/>
    </row>
    <row r="209" spans="1:124" ht="23" x14ac:dyDescent="0.25">
      <c r="A209" s="484"/>
      <c r="B209" s="686" t="s">
        <v>543</v>
      </c>
      <c r="C209" s="499">
        <v>430488</v>
      </c>
      <c r="D209" s="537"/>
      <c r="E209" s="323" t="s">
        <v>40</v>
      </c>
      <c r="F209" s="319" t="s">
        <v>484</v>
      </c>
      <c r="G209" s="320" t="s">
        <v>485</v>
      </c>
      <c r="H209" s="306">
        <v>1977</v>
      </c>
      <c r="I209" s="683" t="s">
        <v>170</v>
      </c>
      <c r="J209" s="323" t="s">
        <v>41</v>
      </c>
      <c r="K209" s="339">
        <v>80</v>
      </c>
      <c r="L209" s="300">
        <v>80</v>
      </c>
      <c r="M209" s="301">
        <v>84</v>
      </c>
      <c r="N209" s="301">
        <v>88</v>
      </c>
      <c r="O209" s="490">
        <f t="shared" si="60"/>
        <v>88</v>
      </c>
      <c r="P209" s="300">
        <v>-100</v>
      </c>
      <c r="Q209" s="301">
        <v>-100</v>
      </c>
      <c r="R209" s="301">
        <v>-100</v>
      </c>
      <c r="S209" s="490">
        <f t="shared" si="61"/>
        <v>0</v>
      </c>
      <c r="T209" s="502">
        <f t="shared" si="67"/>
        <v>0</v>
      </c>
      <c r="U209" s="48" t="str">
        <f t="shared" si="62"/>
        <v>DEB -145</v>
      </c>
      <c r="V209" s="48" t="str">
        <f>IF(E209=0," ",IF(E209="H",IF(H209&lt;1999,VLOOKUP(K209,[12]Minimas!$A$15:$F$29,6),IF(AND(H209&gt;1998,H209&lt;2002),VLOOKUP(K209,[12]Minimas!$A$15:$F$29,5),IF(AND(H209&gt;2001,H209&lt;2004),VLOOKUP(K209,[12]Minimas!$A$15:$F$29,4),IF(AND(H209&gt;2003,H209&lt;2006),VLOOKUP(K209,[12]Minimas!$A$15:$F$29,3),VLOOKUP(K209,[12]Minimas!$A$15:$F$29,2))))),IF(H209&lt;1999,VLOOKUP(K209,[12]Minimas!$G$15:$L$29,6),IF(AND(H209&gt;1998,H209&lt;2002),VLOOKUP(K209,[12]Minimas!$G$15:$L$29,5),IF(AND(H209&gt;2001,H209&lt;2004),VLOOKUP(K209,[12]Minimas!$G$15:$L$29,4),IF(AND(H209&gt;2003,H209&lt;2006),VLOOKUP(K209,[12]Minimas!$G$15:$L$29,3),VLOOKUP(K209,[12]Minimas!$G$15:$L$29,2)))))))</f>
        <v>SE M81</v>
      </c>
      <c r="W209" s="49">
        <f t="shared" si="63"/>
        <v>0</v>
      </c>
      <c r="X209" s="257">
        <v>43492</v>
      </c>
      <c r="Y209" s="261" t="s">
        <v>696</v>
      </c>
      <c r="Z209" s="261" t="s">
        <v>701</v>
      </c>
      <c r="AA209" s="232"/>
      <c r="AB209" s="230">
        <f>T209-HLOOKUP(V209,Minimas!$C$3:$CD$12,2,FALSE)</f>
        <v>-145</v>
      </c>
      <c r="AC209" s="230">
        <f>T209-HLOOKUP(V209,Minimas!$C$3:$CD$12,3,FALSE)</f>
        <v>-170</v>
      </c>
      <c r="AD209" s="230">
        <f>T209-HLOOKUP(V209,Minimas!$C$3:$CD$12,4,FALSE)</f>
        <v>-195</v>
      </c>
      <c r="AE209" s="230">
        <f>T209-HLOOKUP(V209,Minimas!$C$3:$CD$12,5,FALSE)</f>
        <v>-220</v>
      </c>
      <c r="AF209" s="230">
        <f>T209-HLOOKUP(V209,Minimas!$C$3:$CD$12,6,FALSE)</f>
        <v>-250</v>
      </c>
      <c r="AG209" s="230">
        <f>T209-HLOOKUP(V209,Minimas!$C$3:$CD$12,7,FALSE)</f>
        <v>-275</v>
      </c>
      <c r="AH209" s="230">
        <f>T209-HLOOKUP(V209,Minimas!$C$3:$CD$12,8,FALSE)</f>
        <v>-295</v>
      </c>
      <c r="AI209" s="230">
        <f>T209-HLOOKUP(V209,Minimas!$C$3:$CD$12,9,FALSE)</f>
        <v>-320</v>
      </c>
      <c r="AJ209" s="230">
        <f>T209-HLOOKUP(V209,Minimas!$C$3:$CD$12,10,FALSE)</f>
        <v>-335</v>
      </c>
      <c r="AK209" s="231" t="str">
        <f t="shared" si="64"/>
        <v>DEB</v>
      </c>
      <c r="AL209" s="232"/>
      <c r="AM209" s="232" t="str">
        <f t="shared" si="65"/>
        <v>DEB</v>
      </c>
      <c r="AN209" s="232">
        <f t="shared" si="66"/>
        <v>-145</v>
      </c>
      <c r="AO209" s="232"/>
      <c r="AP209" s="485"/>
      <c r="AQ209" s="485"/>
      <c r="AR209" s="485"/>
      <c r="AS209" s="485"/>
      <c r="AT209" s="485"/>
      <c r="AU209" s="485"/>
      <c r="AV209" s="485"/>
      <c r="AW209" s="485"/>
      <c r="AX209" s="485"/>
      <c r="AY209" s="485"/>
      <c r="AZ209" s="485"/>
      <c r="BA209" s="485"/>
      <c r="BB209" s="485"/>
      <c r="BC209" s="485"/>
      <c r="BD209" s="485"/>
      <c r="BE209" s="485"/>
      <c r="BF209" s="485"/>
      <c r="BG209" s="485"/>
      <c r="BH209" s="485"/>
      <c r="BI209" s="485"/>
      <c r="BJ209" s="485"/>
      <c r="BK209" s="485"/>
      <c r="BL209" s="485"/>
      <c r="BM209" s="485"/>
      <c r="BN209" s="485"/>
      <c r="BO209" s="485"/>
      <c r="BP209" s="485"/>
      <c r="BQ209" s="485"/>
      <c r="BR209" s="485"/>
      <c r="BS209" s="485"/>
      <c r="BT209" s="485"/>
      <c r="BU209" s="485"/>
      <c r="BV209" s="485"/>
      <c r="BW209" s="485"/>
      <c r="BX209" s="485"/>
      <c r="BY209" s="485"/>
      <c r="BZ209" s="485"/>
      <c r="CA209" s="485"/>
      <c r="CB209" s="485"/>
      <c r="CC209" s="485"/>
      <c r="CD209" s="485"/>
      <c r="CE209" s="485"/>
      <c r="CF209" s="485"/>
      <c r="CG209" s="485"/>
      <c r="CH209" s="485"/>
      <c r="CI209" s="485"/>
      <c r="CJ209" s="485"/>
      <c r="CK209" s="485"/>
      <c r="CL209" s="485"/>
      <c r="CM209" s="485"/>
      <c r="CN209" s="485"/>
      <c r="CO209" s="485"/>
      <c r="CP209" s="485"/>
      <c r="CQ209" s="485"/>
      <c r="CR209" s="485"/>
      <c r="CS209" s="485"/>
      <c r="CT209" s="485"/>
      <c r="CU209" s="485"/>
      <c r="CV209" s="485"/>
      <c r="CW209" s="485"/>
      <c r="CX209" s="485"/>
      <c r="CY209" s="485"/>
      <c r="CZ209" s="485"/>
      <c r="DA209" s="485"/>
      <c r="DB209" s="485"/>
      <c r="DC209" s="485"/>
      <c r="DD209" s="485"/>
      <c r="DE209" s="485"/>
      <c r="DF209" s="485"/>
      <c r="DG209" s="485"/>
      <c r="DH209" s="485"/>
      <c r="DI209" s="485"/>
      <c r="DJ209" s="485"/>
      <c r="DK209" s="485"/>
      <c r="DL209" s="485"/>
      <c r="DM209" s="485"/>
      <c r="DN209" s="485"/>
      <c r="DO209" s="485"/>
      <c r="DP209" s="485"/>
      <c r="DQ209" s="485"/>
      <c r="DR209" s="485"/>
      <c r="DS209" s="485"/>
      <c r="DT209" s="485"/>
    </row>
    <row r="210" spans="1:124" ht="23" customHeight="1" x14ac:dyDescent="0.25">
      <c r="A210" s="484"/>
      <c r="B210" s="685" t="s">
        <v>543</v>
      </c>
      <c r="C210" s="499">
        <v>499178</v>
      </c>
      <c r="D210" s="167"/>
      <c r="E210" s="323" t="s">
        <v>40</v>
      </c>
      <c r="F210" s="328" t="s">
        <v>360</v>
      </c>
      <c r="G210" s="487" t="s">
        <v>361</v>
      </c>
      <c r="H210" s="563">
        <v>1986</v>
      </c>
      <c r="I210" s="571" t="s">
        <v>184</v>
      </c>
      <c r="J210" s="498" t="s">
        <v>44</v>
      </c>
      <c r="K210" s="488">
        <v>80.2</v>
      </c>
      <c r="L210" s="448">
        <v>-72</v>
      </c>
      <c r="M210" s="449">
        <v>-74</v>
      </c>
      <c r="N210" s="449">
        <v>-75</v>
      </c>
      <c r="O210" s="52">
        <f t="shared" si="60"/>
        <v>0</v>
      </c>
      <c r="P210" s="300">
        <v>90</v>
      </c>
      <c r="Q210" s="449">
        <v>-95</v>
      </c>
      <c r="R210" s="301">
        <v>95</v>
      </c>
      <c r="S210" s="52">
        <f t="shared" si="61"/>
        <v>95</v>
      </c>
      <c r="T210" s="502">
        <f t="shared" si="67"/>
        <v>0</v>
      </c>
      <c r="U210" s="48" t="str">
        <f t="shared" si="62"/>
        <v>DEB -145</v>
      </c>
      <c r="V210" s="48" t="str">
        <f>IF(E210=0," ",IF(E210="H",IF(H210&lt;1999,VLOOKUP(K210,[5]Minimas!$A$15:$F$29,6),IF(AND(H210&gt;1998,H210&lt;2002),VLOOKUP(K210,[5]Minimas!$A$15:$F$29,5),IF(AND(H210&gt;2001,H210&lt;2004),VLOOKUP(K210,[5]Minimas!$A$15:$F$29,4),IF(AND(H210&gt;2003,H210&lt;2006),VLOOKUP(K210,[5]Minimas!$A$15:$F$29,3),VLOOKUP(K210,[5]Minimas!$A$15:$F$29,2))))),IF(H210&lt;1999,VLOOKUP(K210,[5]Minimas!$G$15:$L$29,6),IF(AND(H210&gt;1998,H210&lt;2002),VLOOKUP(K210,[5]Minimas!$G$15:$L$29,5),IF(AND(H210&gt;2001,H210&lt;2004),VLOOKUP(K210,[5]Minimas!$G$15:$L$29,4),IF(AND(H210&gt;2003,H210&lt;2006),VLOOKUP(K210,[5]Minimas!$G$15:$L$29,3),VLOOKUP(K210,[5]Minimas!$G$15:$L$29,2)))))))</f>
        <v>SE M81</v>
      </c>
      <c r="W210" s="49">
        <f t="shared" si="63"/>
        <v>0</v>
      </c>
      <c r="X210" s="257">
        <v>43555</v>
      </c>
      <c r="Y210" s="261" t="s">
        <v>805</v>
      </c>
      <c r="Z210" s="261" t="s">
        <v>806</v>
      </c>
      <c r="AA210" s="232"/>
      <c r="AB210" s="230">
        <f>T210-HLOOKUP(V210,[5]Minimas!$C$3:$CD$12,2,FALSE)</f>
        <v>-145</v>
      </c>
      <c r="AC210" s="230">
        <f>T210-HLOOKUP(V210,[5]Minimas!$C$3:$CD$12,3,FALSE)</f>
        <v>-170</v>
      </c>
      <c r="AD210" s="230">
        <f>T210-HLOOKUP(V210,[5]Minimas!$C$3:$CD$12,4,FALSE)</f>
        <v>-195</v>
      </c>
      <c r="AE210" s="230">
        <f>T210-HLOOKUP(V210,[5]Minimas!$C$3:$CD$12,5,FALSE)</f>
        <v>-220</v>
      </c>
      <c r="AF210" s="230">
        <f>T210-HLOOKUP(V210,[5]Minimas!$C$3:$CD$12,6,FALSE)</f>
        <v>-250</v>
      </c>
      <c r="AG210" s="230">
        <f>T210-HLOOKUP(V210,[5]Minimas!$C$3:$CD$12,7,FALSE)</f>
        <v>-275</v>
      </c>
      <c r="AH210" s="230">
        <f>T210-HLOOKUP(V210,[5]Minimas!$C$3:$CD$12,8,FALSE)</f>
        <v>-295</v>
      </c>
      <c r="AI210" s="230">
        <f>T210-HLOOKUP(V210,[5]Minimas!$C$3:$CD$12,9,FALSE)</f>
        <v>-320</v>
      </c>
      <c r="AJ210" s="230">
        <f>T210-HLOOKUP(V210,[5]Minimas!$C$3:$CD$12,10,FALSE)</f>
        <v>-335</v>
      </c>
      <c r="AK210" s="231" t="str">
        <f t="shared" si="64"/>
        <v>DEB</v>
      </c>
      <c r="AL210" s="232"/>
      <c r="AM210" s="232" t="str">
        <f t="shared" si="65"/>
        <v>DEB</v>
      </c>
      <c r="AN210" s="232">
        <f t="shared" si="66"/>
        <v>-145</v>
      </c>
      <c r="AO210" s="232"/>
      <c r="AP210" s="485"/>
      <c r="AQ210" s="485"/>
      <c r="AR210" s="485"/>
      <c r="AS210" s="485"/>
      <c r="AT210" s="485"/>
      <c r="AU210" s="485"/>
      <c r="AV210" s="485"/>
      <c r="AW210" s="485"/>
      <c r="AX210" s="485"/>
      <c r="AY210" s="485"/>
      <c r="AZ210" s="485"/>
      <c r="BA210" s="485"/>
      <c r="BB210" s="485"/>
      <c r="BC210" s="485"/>
      <c r="BD210" s="485"/>
      <c r="BE210" s="485"/>
      <c r="BF210" s="485"/>
      <c r="BG210" s="485"/>
      <c r="BH210" s="485"/>
      <c r="BI210" s="485"/>
      <c r="BJ210" s="485"/>
      <c r="BK210" s="485"/>
      <c r="BL210" s="485"/>
      <c r="BM210" s="485"/>
      <c r="BN210" s="485"/>
      <c r="BO210" s="485"/>
      <c r="BP210" s="485"/>
      <c r="BQ210" s="485"/>
      <c r="BR210" s="485"/>
      <c r="BS210" s="485"/>
      <c r="BT210" s="485"/>
      <c r="BU210" s="485"/>
      <c r="BV210" s="485"/>
      <c r="BW210" s="485"/>
      <c r="BX210" s="485"/>
      <c r="BY210" s="485"/>
      <c r="BZ210" s="485"/>
      <c r="CA210" s="485"/>
      <c r="CB210" s="485"/>
      <c r="CC210" s="485"/>
      <c r="CD210" s="485"/>
      <c r="CE210" s="485"/>
      <c r="CF210" s="485"/>
      <c r="CG210" s="485"/>
      <c r="CH210" s="485"/>
      <c r="CI210" s="485"/>
      <c r="CJ210" s="485"/>
      <c r="CK210" s="485"/>
      <c r="CL210" s="485"/>
      <c r="CM210" s="485"/>
      <c r="CN210" s="485"/>
      <c r="CO210" s="485"/>
      <c r="CP210" s="485"/>
      <c r="CQ210" s="485"/>
      <c r="CR210" s="485"/>
      <c r="CS210" s="485"/>
      <c r="CT210" s="485"/>
      <c r="CU210" s="485"/>
      <c r="CV210" s="485"/>
      <c r="CW210" s="485"/>
      <c r="CX210" s="485"/>
      <c r="CY210" s="485"/>
      <c r="CZ210" s="485"/>
      <c r="DA210" s="485"/>
      <c r="DB210" s="485"/>
      <c r="DC210" s="485"/>
      <c r="DD210" s="485"/>
      <c r="DE210" s="485"/>
      <c r="DF210" s="485"/>
      <c r="DG210" s="485"/>
      <c r="DH210" s="485"/>
      <c r="DI210" s="485"/>
      <c r="DJ210" s="485"/>
      <c r="DK210" s="485"/>
      <c r="DL210" s="485"/>
      <c r="DM210" s="485"/>
      <c r="DN210" s="485"/>
      <c r="DO210" s="485"/>
      <c r="DP210" s="485"/>
      <c r="DQ210" s="485"/>
      <c r="DR210" s="485"/>
      <c r="DS210" s="485"/>
      <c r="DT210" s="485"/>
    </row>
    <row r="211" spans="1:124" ht="23" customHeight="1" x14ac:dyDescent="0.5">
      <c r="A211" s="484"/>
      <c r="B211" s="136" t="s">
        <v>543</v>
      </c>
      <c r="C211" s="527">
        <v>442608</v>
      </c>
      <c r="D211" s="99"/>
      <c r="E211" s="534" t="s">
        <v>40</v>
      </c>
      <c r="F211" s="729" t="s">
        <v>241</v>
      </c>
      <c r="G211" s="736" t="s">
        <v>242</v>
      </c>
      <c r="H211" s="534">
        <v>1993</v>
      </c>
      <c r="I211" s="647" t="s">
        <v>214</v>
      </c>
      <c r="J211" s="719" t="s">
        <v>243</v>
      </c>
      <c r="K211" s="770">
        <v>86.5</v>
      </c>
      <c r="L211" s="786">
        <v>145</v>
      </c>
      <c r="M211" s="795">
        <v>150</v>
      </c>
      <c r="N211" s="598">
        <v>-154</v>
      </c>
      <c r="O211" s="490">
        <f t="shared" si="60"/>
        <v>150</v>
      </c>
      <c r="P211" s="786">
        <v>180</v>
      </c>
      <c r="Q211" s="795">
        <v>188</v>
      </c>
      <c r="R211" s="795">
        <v>190</v>
      </c>
      <c r="S211" s="52">
        <f t="shared" si="61"/>
        <v>190</v>
      </c>
      <c r="T211" s="502">
        <f t="shared" si="67"/>
        <v>340</v>
      </c>
      <c r="U211" s="48" t="str">
        <f t="shared" si="62"/>
        <v>INTA + 10</v>
      </c>
      <c r="V211" s="48" t="str">
        <f>IF(E211=0," ",IF(E211="H",IF(H211&lt;1999,VLOOKUP(K211,Minimas!$A$15:$F$29,6),IF(AND(H211&gt;1998,H211&lt;2002),VLOOKUP(K211,Minimas!$A$15:$F$29,5),IF(AND(H211&gt;2001,H211&lt;2004),VLOOKUP(K211,Minimas!$A$15:$F$29,4),IF(AND(H211&gt;2003,H211&lt;2006),VLOOKUP(K211,Minimas!$A$15:$F$29,3),VLOOKUP(K211,Minimas!$A$15:$F$29,2))))),IF(H211&lt;1999,VLOOKUP(K211,Minimas!$G$15:$L$29,6),IF(AND(H211&gt;1998,H211&lt;2002),VLOOKUP(K211,Minimas!$G$15:$L$29,5),IF(AND(H211&gt;2001,H211&lt;2004),VLOOKUP(K211,Minimas!$G$15:$L$29,4),IF(AND(H211&gt;2003,H211&lt;2006),VLOOKUP(K211,Minimas!$G$15:$L$29,3),VLOOKUP(K211,Minimas!$G$15:$L$29,2)))))))</f>
        <v>SE M89</v>
      </c>
      <c r="W211" s="49">
        <f t="shared" si="63"/>
        <v>400.38582327795393</v>
      </c>
      <c r="X211" s="184">
        <v>43421</v>
      </c>
      <c r="Y211" s="186" t="s">
        <v>508</v>
      </c>
      <c r="Z211" s="284"/>
      <c r="AA211" s="232"/>
      <c r="AB211" s="230">
        <f>T211-HLOOKUP(V211,Minimas!$C$3:$CD$12,2,FALSE)</f>
        <v>190</v>
      </c>
      <c r="AC211" s="230">
        <f>T211-HLOOKUP(V211,Minimas!$C$3:$CD$12,3,FALSE)</f>
        <v>165</v>
      </c>
      <c r="AD211" s="230">
        <f>T211-HLOOKUP(V211,Minimas!$C$3:$CD$12,4,FALSE)</f>
        <v>140</v>
      </c>
      <c r="AE211" s="230">
        <f>T211-HLOOKUP(V211,Minimas!$C$3:$CD$12,5,FALSE)</f>
        <v>110</v>
      </c>
      <c r="AF211" s="230">
        <f>T211-HLOOKUP(V211,Minimas!$C$3:$CD$12,6,FALSE)</f>
        <v>80</v>
      </c>
      <c r="AG211" s="230">
        <f>T211-HLOOKUP(V211,Minimas!$C$3:$CD$12,7,FALSE)</f>
        <v>53</v>
      </c>
      <c r="AH211" s="230">
        <f>T211-HLOOKUP(V211,Minimas!$C$3:$CD$12,8,FALSE)</f>
        <v>30</v>
      </c>
      <c r="AI211" s="230">
        <f>T211-HLOOKUP(V211,Minimas!$C$3:$CD$12,9,FALSE)</f>
        <v>10</v>
      </c>
      <c r="AJ211" s="230">
        <f>T211-HLOOKUP(V211,Minimas!$C$3:$CD$12,10,FALSE)</f>
        <v>-20</v>
      </c>
      <c r="AK211" s="231" t="str">
        <f t="shared" si="64"/>
        <v>INTA +</v>
      </c>
      <c r="AL211" s="232"/>
      <c r="AM211" s="232" t="str">
        <f t="shared" si="65"/>
        <v>INTA +</v>
      </c>
      <c r="AN211" s="232">
        <f t="shared" si="66"/>
        <v>10</v>
      </c>
      <c r="AO211" s="232"/>
      <c r="AP211" s="485"/>
      <c r="AQ211" s="485"/>
      <c r="AR211" s="485"/>
      <c r="AS211" s="485"/>
      <c r="AT211" s="485"/>
      <c r="AU211" s="485"/>
      <c r="AV211" s="485"/>
      <c r="AW211" s="485"/>
      <c r="AX211" s="485"/>
      <c r="AY211" s="485"/>
      <c r="AZ211" s="485"/>
      <c r="BA211" s="485"/>
      <c r="BB211" s="485"/>
      <c r="BC211" s="485"/>
      <c r="BD211" s="485"/>
      <c r="BE211" s="485"/>
      <c r="BF211" s="485"/>
      <c r="BG211" s="485"/>
      <c r="BH211" s="485"/>
      <c r="BI211" s="485"/>
      <c r="BJ211" s="485"/>
      <c r="BK211" s="485"/>
      <c r="BL211" s="485"/>
      <c r="BM211" s="485"/>
      <c r="BN211" s="485"/>
      <c r="BO211" s="485"/>
      <c r="BP211" s="485"/>
      <c r="BQ211" s="485"/>
      <c r="BR211" s="485"/>
      <c r="BS211" s="485"/>
      <c r="BT211" s="485"/>
      <c r="BU211" s="485"/>
      <c r="BV211" s="485"/>
      <c r="BW211" s="485"/>
      <c r="BX211" s="485"/>
      <c r="BY211" s="485"/>
      <c r="BZ211" s="485"/>
      <c r="CA211" s="485"/>
      <c r="CB211" s="485"/>
      <c r="CC211" s="485"/>
      <c r="CD211" s="485"/>
      <c r="CE211" s="485"/>
      <c r="CF211" s="485"/>
      <c r="CG211" s="485"/>
      <c r="CH211" s="485"/>
      <c r="CI211" s="485"/>
      <c r="CJ211" s="485"/>
      <c r="CK211" s="485"/>
      <c r="CL211" s="485"/>
      <c r="CM211" s="485"/>
      <c r="CN211" s="485"/>
      <c r="CO211" s="485"/>
      <c r="CP211" s="485"/>
      <c r="CQ211" s="485"/>
      <c r="CR211" s="485"/>
      <c r="CS211" s="485"/>
      <c r="CT211" s="485"/>
      <c r="CU211" s="485"/>
      <c r="CV211" s="485"/>
      <c r="CW211" s="485"/>
      <c r="CX211" s="485"/>
      <c r="CY211" s="485"/>
      <c r="CZ211" s="485"/>
      <c r="DA211" s="485"/>
      <c r="DB211" s="485"/>
      <c r="DC211" s="485"/>
      <c r="DD211" s="485"/>
      <c r="DE211" s="485"/>
      <c r="DF211" s="485"/>
      <c r="DG211" s="485"/>
      <c r="DH211" s="485"/>
      <c r="DI211" s="485"/>
      <c r="DJ211" s="485"/>
      <c r="DK211" s="485"/>
      <c r="DL211" s="485"/>
      <c r="DM211" s="485"/>
      <c r="DN211" s="485"/>
      <c r="DO211" s="485"/>
      <c r="DP211" s="485"/>
      <c r="DQ211" s="485"/>
      <c r="DR211" s="485"/>
      <c r="DS211" s="485"/>
      <c r="DT211" s="485"/>
    </row>
    <row r="212" spans="1:124" ht="23.5" customHeight="1" x14ac:dyDescent="0.25">
      <c r="A212" s="484"/>
      <c r="B212" s="516" t="s">
        <v>543</v>
      </c>
      <c r="C212" s="429">
        <v>429563</v>
      </c>
      <c r="D212" s="530"/>
      <c r="E212" s="323" t="s">
        <v>40</v>
      </c>
      <c r="F212" s="319" t="s">
        <v>713</v>
      </c>
      <c r="G212" s="320" t="s">
        <v>416</v>
      </c>
      <c r="H212" s="306">
        <v>1988</v>
      </c>
      <c r="I212" s="683" t="s">
        <v>587</v>
      </c>
      <c r="J212" s="290" t="s">
        <v>41</v>
      </c>
      <c r="K212" s="503">
        <v>88.7</v>
      </c>
      <c r="L212" s="450">
        <v>-120</v>
      </c>
      <c r="M212" s="296">
        <v>120</v>
      </c>
      <c r="N212" s="451">
        <v>-125</v>
      </c>
      <c r="O212" s="358">
        <f t="shared" si="60"/>
        <v>120</v>
      </c>
      <c r="P212" s="295">
        <v>140</v>
      </c>
      <c r="Q212" s="296">
        <v>147</v>
      </c>
      <c r="R212" s="451">
        <v>-152</v>
      </c>
      <c r="S212" s="358">
        <f t="shared" si="61"/>
        <v>147</v>
      </c>
      <c r="T212" s="364">
        <f t="shared" si="67"/>
        <v>267</v>
      </c>
      <c r="U212" s="360" t="str">
        <f t="shared" si="62"/>
        <v>FED + 7</v>
      </c>
      <c r="V212" s="360" t="str">
        <f>IF(E212=0," ",IF(E212="H",IF(H212&lt;1999,VLOOKUP(K212,[30]Minimas!$A$15:$F$29,6),IF(AND(H212&gt;1998,H212&lt;2002),VLOOKUP(K212,[30]Minimas!$A$15:$F$29,5),IF(AND(H212&gt;2001,H212&lt;2004),VLOOKUP(K212,[30]Minimas!$A$15:$F$29,4),IF(AND(H212&gt;2003,H212&lt;2006),VLOOKUP(K212,[30]Minimas!$A$15:$F$29,3),VLOOKUP(K212,[30]Minimas!$A$15:$F$29,2))))),IF(H212&lt;1999,VLOOKUP(K212,[30]Minimas!$G$15:$L$29,6),IF(AND(H212&gt;1998,H212&lt;2002),VLOOKUP(K212,[30]Minimas!$G$15:$L$29,5),IF(AND(H212&gt;2001,H212&lt;2004),VLOOKUP(K212,[30]Minimas!$G$15:$L$29,4),IF(AND(H212&gt;2003,H212&lt;2006),VLOOKUP(K212,[30]Minimas!$G$15:$L$29,3),VLOOKUP(K212,[30]Minimas!$G$15:$L$29,2)))))))</f>
        <v>SE M89</v>
      </c>
      <c r="W212" s="361">
        <f t="shared" si="63"/>
        <v>310.85650207839655</v>
      </c>
      <c r="X212" s="257">
        <v>43561</v>
      </c>
      <c r="Y212" s="261" t="s">
        <v>846</v>
      </c>
      <c r="Z212" s="261" t="s">
        <v>806</v>
      </c>
      <c r="AA212" s="232"/>
      <c r="AB212" s="230">
        <f>T212-HLOOKUP(V212,[30]Minimas!$C$3:$CD$12,2,FALSE)</f>
        <v>117</v>
      </c>
      <c r="AC212" s="230">
        <f>T212-HLOOKUP(V212,[30]Minimas!$C$3:$CD$12,3,FALSE)</f>
        <v>92</v>
      </c>
      <c r="AD212" s="230">
        <f>T212-HLOOKUP(V212,[30]Minimas!$C$3:$CD$12,4,FALSE)</f>
        <v>67</v>
      </c>
      <c r="AE212" s="230">
        <f>T212-HLOOKUP(V212,[30]Minimas!$C$3:$CD$12,5,FALSE)</f>
        <v>37</v>
      </c>
      <c r="AF212" s="230">
        <f>T212-HLOOKUP(V212,[30]Minimas!$C$3:$CD$12,6,FALSE)</f>
        <v>7</v>
      </c>
      <c r="AG212" s="230">
        <f>T212-HLOOKUP(V212,[30]Minimas!$C$3:$CD$12,7,FALSE)</f>
        <v>-20</v>
      </c>
      <c r="AH212" s="230">
        <f>T212-HLOOKUP(V212,[30]Minimas!$C$3:$CD$12,8,FALSE)</f>
        <v>-43</v>
      </c>
      <c r="AI212" s="230">
        <f>T212-HLOOKUP(V212,[30]Minimas!$C$3:$CD$12,9,FALSE)</f>
        <v>-63</v>
      </c>
      <c r="AJ212" s="230">
        <f>T212-HLOOKUP(V212,[30]Minimas!$C$3:$CD$12,10,FALSE)</f>
        <v>-93</v>
      </c>
      <c r="AK212" s="231" t="str">
        <f t="shared" si="64"/>
        <v>FED +</v>
      </c>
      <c r="AL212" s="232"/>
      <c r="AM212" s="232" t="str">
        <f t="shared" si="65"/>
        <v>FED +</v>
      </c>
      <c r="AN212" s="232">
        <f t="shared" si="66"/>
        <v>7</v>
      </c>
      <c r="AO212" s="232"/>
      <c r="AP212" s="485"/>
      <c r="AQ212" s="485"/>
      <c r="AR212" s="485"/>
      <c r="AS212" s="485"/>
      <c r="AT212" s="485"/>
      <c r="AU212" s="485"/>
      <c r="AV212" s="485"/>
      <c r="AW212" s="485"/>
      <c r="AX212" s="485"/>
      <c r="AY212" s="485"/>
      <c r="AZ212" s="485"/>
      <c r="BA212" s="485"/>
      <c r="BB212" s="485"/>
      <c r="BC212" s="485"/>
      <c r="BD212" s="485"/>
      <c r="BE212" s="485"/>
      <c r="BF212" s="485"/>
      <c r="BG212" s="485"/>
      <c r="BH212" s="485"/>
      <c r="BI212" s="485"/>
      <c r="BJ212" s="485"/>
      <c r="BK212" s="485"/>
      <c r="BL212" s="485"/>
      <c r="BM212" s="485"/>
      <c r="BN212" s="485"/>
      <c r="BO212" s="485"/>
      <c r="BP212" s="485"/>
      <c r="BQ212" s="485"/>
      <c r="BR212" s="485"/>
      <c r="BS212" s="485"/>
      <c r="BT212" s="485"/>
      <c r="BU212" s="485"/>
      <c r="BV212" s="485"/>
      <c r="BW212" s="485"/>
      <c r="BX212" s="485"/>
      <c r="BY212" s="485"/>
      <c r="BZ212" s="485"/>
      <c r="CA212" s="485"/>
      <c r="CB212" s="485"/>
      <c r="CC212" s="485"/>
      <c r="CD212" s="485"/>
      <c r="CE212" s="485"/>
      <c r="CF212" s="485"/>
      <c r="CG212" s="485"/>
      <c r="CH212" s="485"/>
      <c r="CI212" s="485"/>
      <c r="CJ212" s="485"/>
      <c r="CK212" s="485"/>
      <c r="CL212" s="485"/>
      <c r="CM212" s="485"/>
      <c r="CN212" s="485"/>
      <c r="CO212" s="485"/>
      <c r="CP212" s="485"/>
      <c r="CQ212" s="485"/>
      <c r="CR212" s="485"/>
      <c r="CS212" s="485"/>
      <c r="CT212" s="485"/>
      <c r="CU212" s="485"/>
      <c r="CV212" s="485"/>
      <c r="CW212" s="485"/>
      <c r="CX212" s="485"/>
      <c r="CY212" s="485"/>
      <c r="CZ212" s="485"/>
      <c r="DA212" s="485"/>
      <c r="DB212" s="485"/>
      <c r="DC212" s="485"/>
      <c r="DD212" s="485"/>
      <c r="DE212" s="485"/>
      <c r="DF212" s="485"/>
      <c r="DG212" s="485"/>
      <c r="DH212" s="485"/>
      <c r="DI212" s="485"/>
      <c r="DJ212" s="485"/>
      <c r="DK212" s="485"/>
      <c r="DL212" s="485"/>
      <c r="DM212" s="485"/>
      <c r="DN212" s="485"/>
      <c r="DO212" s="485"/>
      <c r="DP212" s="485"/>
      <c r="DQ212" s="485"/>
      <c r="DR212" s="485"/>
      <c r="DS212" s="485"/>
      <c r="DT212" s="485"/>
    </row>
    <row r="213" spans="1:124" ht="23.15" customHeight="1" x14ac:dyDescent="0.25">
      <c r="A213" s="484"/>
      <c r="B213" s="136" t="s">
        <v>543</v>
      </c>
      <c r="C213" s="525">
        <v>446474</v>
      </c>
      <c r="D213" s="265"/>
      <c r="E213" s="406" t="s">
        <v>40</v>
      </c>
      <c r="F213" s="423" t="s">
        <v>608</v>
      </c>
      <c r="G213" s="415" t="s">
        <v>597</v>
      </c>
      <c r="H213" s="424">
        <v>1994</v>
      </c>
      <c r="I213" s="568" t="s">
        <v>587</v>
      </c>
      <c r="J213" s="290" t="s">
        <v>44</v>
      </c>
      <c r="K213" s="581">
        <v>87.3</v>
      </c>
      <c r="L213" s="456">
        <v>110</v>
      </c>
      <c r="M213" s="457">
        <v>115</v>
      </c>
      <c r="N213" s="457">
        <v>121</v>
      </c>
      <c r="O213" s="490">
        <f t="shared" si="60"/>
        <v>121</v>
      </c>
      <c r="P213" s="456">
        <v>130</v>
      </c>
      <c r="Q213" s="457">
        <v>136</v>
      </c>
      <c r="R213" s="457">
        <v>141</v>
      </c>
      <c r="S213" s="490">
        <f t="shared" si="61"/>
        <v>141</v>
      </c>
      <c r="T213" s="502">
        <f t="shared" si="67"/>
        <v>262</v>
      </c>
      <c r="U213" s="48" t="str">
        <f t="shared" si="62"/>
        <v>FED + 2</v>
      </c>
      <c r="V213" s="48" t="str">
        <f>IF(E213=0," ",IF(E213="H",IF(H213&lt;1999,VLOOKUP(K213,Minimas!$A$15:$F$29,6),IF(AND(H213&gt;1998,H213&lt;2002),VLOOKUP(K213,Minimas!$A$15:$F$29,5),IF(AND(H213&gt;2001,H213&lt;2004),VLOOKUP(K213,Minimas!$A$15:$F$29,4),IF(AND(H213&gt;2003,H213&lt;2006),VLOOKUP(K213,Minimas!$A$15:$F$29,3),VLOOKUP(K213,Minimas!$A$15:$F$29,2))))),IF(H213&lt;1999,VLOOKUP(K213,Minimas!$G$15:$L$29,6),IF(AND(H213&gt;1998,H213&lt;2002),VLOOKUP(K213,Minimas!$G$15:$L$29,5),IF(AND(H213&gt;2001,H213&lt;2004),VLOOKUP(K213,Minimas!$G$15:$L$29,4),IF(AND(H213&gt;2003,H213&lt;2006),VLOOKUP(K213,Minimas!$G$15:$L$29,3),VLOOKUP(K213,Minimas!$G$15:$L$29,2)))))))</f>
        <v>SE M89</v>
      </c>
      <c r="W213" s="49">
        <f t="shared" si="63"/>
        <v>307.23131589023149</v>
      </c>
      <c r="X213" s="257">
        <v>43484</v>
      </c>
      <c r="Y213" s="261" t="s">
        <v>630</v>
      </c>
      <c r="Z213" s="261" t="s">
        <v>581</v>
      </c>
      <c r="AA213" s="232"/>
      <c r="AB213" s="230">
        <f>T213-HLOOKUP(V213,Minimas!$C$3:$CD$12,2,FALSE)</f>
        <v>112</v>
      </c>
      <c r="AC213" s="230">
        <f>T213-HLOOKUP(V213,Minimas!$C$3:$CD$12,3,FALSE)</f>
        <v>87</v>
      </c>
      <c r="AD213" s="230">
        <f>T213-HLOOKUP(V213,Minimas!$C$3:$CD$12,4,FALSE)</f>
        <v>62</v>
      </c>
      <c r="AE213" s="230">
        <f>T213-HLOOKUP(V213,Minimas!$C$3:$CD$12,5,FALSE)</f>
        <v>32</v>
      </c>
      <c r="AF213" s="230">
        <f>T213-HLOOKUP(V213,Minimas!$C$3:$CD$12,6,FALSE)</f>
        <v>2</v>
      </c>
      <c r="AG213" s="230">
        <f>T213-HLOOKUP(V213,Minimas!$C$3:$CD$12,7,FALSE)</f>
        <v>-25</v>
      </c>
      <c r="AH213" s="230">
        <f>T213-HLOOKUP(V213,Minimas!$C$3:$CD$12,8,FALSE)</f>
        <v>-48</v>
      </c>
      <c r="AI213" s="230">
        <f>T213-HLOOKUP(V213,Minimas!$C$3:$CD$12,9,FALSE)</f>
        <v>-68</v>
      </c>
      <c r="AJ213" s="230">
        <f>T213-HLOOKUP(V213,Minimas!$C$3:$CD$12,10,FALSE)</f>
        <v>-98</v>
      </c>
      <c r="AK213" s="231" t="str">
        <f t="shared" si="64"/>
        <v>FED +</v>
      </c>
      <c r="AL213" s="232"/>
      <c r="AM213" s="232" t="str">
        <f t="shared" si="65"/>
        <v>FED +</v>
      </c>
      <c r="AN213" s="232">
        <f t="shared" si="66"/>
        <v>2</v>
      </c>
      <c r="AO213" s="232"/>
      <c r="AP213" s="485"/>
      <c r="AQ213" s="485"/>
      <c r="AR213" s="485"/>
      <c r="AS213" s="485"/>
      <c r="AT213" s="485"/>
      <c r="AU213" s="485"/>
      <c r="AV213" s="485"/>
      <c r="AW213" s="485"/>
      <c r="AX213" s="485"/>
      <c r="AY213" s="485"/>
      <c r="AZ213" s="485"/>
      <c r="BA213" s="485"/>
      <c r="BB213" s="485"/>
      <c r="BC213" s="485"/>
      <c r="BD213" s="485"/>
      <c r="BE213" s="485"/>
      <c r="BF213" s="485"/>
      <c r="BG213" s="485"/>
      <c r="BH213" s="485"/>
      <c r="BI213" s="485"/>
      <c r="BJ213" s="485"/>
      <c r="BK213" s="485"/>
      <c r="BL213" s="485"/>
      <c r="BM213" s="485"/>
      <c r="BN213" s="485"/>
      <c r="BO213" s="485"/>
      <c r="BP213" s="485"/>
      <c r="BQ213" s="485"/>
      <c r="BR213" s="485"/>
      <c r="BS213" s="485"/>
      <c r="BT213" s="485"/>
      <c r="BU213" s="485"/>
      <c r="BV213" s="485"/>
      <c r="BW213" s="485"/>
      <c r="BX213" s="485"/>
      <c r="BY213" s="485"/>
      <c r="BZ213" s="485"/>
      <c r="CA213" s="485"/>
      <c r="CB213" s="485"/>
      <c r="CC213" s="485"/>
      <c r="CD213" s="485"/>
      <c r="CE213" s="485"/>
      <c r="CF213" s="485"/>
      <c r="CG213" s="485"/>
      <c r="CH213" s="485"/>
      <c r="CI213" s="485"/>
      <c r="CJ213" s="485"/>
      <c r="CK213" s="485"/>
      <c r="CL213" s="485"/>
      <c r="CM213" s="485"/>
      <c r="CN213" s="485"/>
      <c r="CO213" s="485"/>
      <c r="CP213" s="485"/>
      <c r="CQ213" s="485"/>
      <c r="CR213" s="485"/>
      <c r="CS213" s="485"/>
      <c r="CT213" s="485"/>
      <c r="CU213" s="485"/>
      <c r="CV213" s="485"/>
      <c r="CW213" s="485"/>
      <c r="CX213" s="485"/>
      <c r="CY213" s="485"/>
      <c r="CZ213" s="485"/>
      <c r="DA213" s="485"/>
      <c r="DB213" s="485"/>
      <c r="DC213" s="485"/>
      <c r="DD213" s="485"/>
      <c r="DE213" s="485"/>
      <c r="DF213" s="485"/>
      <c r="DG213" s="485"/>
      <c r="DH213" s="485"/>
      <c r="DI213" s="485"/>
      <c r="DJ213" s="485"/>
      <c r="DK213" s="485"/>
      <c r="DL213" s="485"/>
      <c r="DM213" s="485"/>
      <c r="DN213" s="485"/>
      <c r="DO213" s="485"/>
      <c r="DP213" s="485"/>
      <c r="DQ213" s="485"/>
      <c r="DR213" s="485"/>
      <c r="DS213" s="485"/>
      <c r="DT213" s="485"/>
    </row>
    <row r="214" spans="1:124" ht="23.5" customHeight="1" x14ac:dyDescent="0.25">
      <c r="A214" s="484"/>
      <c r="B214" s="136" t="s">
        <v>543</v>
      </c>
      <c r="C214" s="499">
        <v>431518</v>
      </c>
      <c r="D214" s="171"/>
      <c r="E214" s="323" t="s">
        <v>40</v>
      </c>
      <c r="F214" s="486" t="s">
        <v>390</v>
      </c>
      <c r="G214" s="487" t="s">
        <v>304</v>
      </c>
      <c r="H214" s="306">
        <v>1995</v>
      </c>
      <c r="I214" s="337" t="s">
        <v>170</v>
      </c>
      <c r="J214" s="290" t="s">
        <v>44</v>
      </c>
      <c r="K214" s="297">
        <v>85.3</v>
      </c>
      <c r="L214" s="300">
        <v>103</v>
      </c>
      <c r="M214" s="301">
        <v>108</v>
      </c>
      <c r="N214" s="301">
        <v>112</v>
      </c>
      <c r="O214" s="52">
        <f t="shared" si="60"/>
        <v>112</v>
      </c>
      <c r="P214" s="300">
        <v>130</v>
      </c>
      <c r="Q214" s="301">
        <v>135</v>
      </c>
      <c r="R214" s="301">
        <v>140</v>
      </c>
      <c r="S214" s="52">
        <f t="shared" si="61"/>
        <v>140</v>
      </c>
      <c r="T214" s="502">
        <f>IF(E214="","",O214+S214)</f>
        <v>252</v>
      </c>
      <c r="U214" s="48" t="str">
        <f t="shared" si="62"/>
        <v>IRG + 22</v>
      </c>
      <c r="V214" s="48" t="str">
        <f>IF(E214=0," ",IF(E214="H",IF(H214&lt;1999,VLOOKUP(K214,[26]Minimas!$A$15:$F$29,6),IF(AND(H214&gt;1998,H214&lt;2002),VLOOKUP(K214,[26]Minimas!$A$15:$F$29,5),IF(AND(H214&gt;2001,H214&lt;2004),VLOOKUP(K214,[26]Minimas!$A$15:$F$29,4),IF(AND(H214&gt;2003,H214&lt;2006),VLOOKUP(K214,[26]Minimas!$A$15:$F$29,3),VLOOKUP(K214,[26]Minimas!$A$15:$F$29,2))))),IF(H214&lt;1999,VLOOKUP(K214,[26]Minimas!$G$15:$L$29,6),IF(AND(H214&gt;1998,H214&lt;2002),VLOOKUP(K214,[26]Minimas!$G$15:$L$29,5),IF(AND(H214&gt;2001,H214&lt;2004),VLOOKUP(K214,[26]Minimas!$G$15:$L$29,4),IF(AND(H214&gt;2003,H214&lt;2006),VLOOKUP(K214,[26]Minimas!$G$15:$L$29,3),VLOOKUP(K214,[26]Minimas!$G$15:$L$29,2)))))))</f>
        <v>SE M89</v>
      </c>
      <c r="W214" s="49">
        <f t="shared" si="63"/>
        <v>298.69757071057319</v>
      </c>
      <c r="X214" s="257">
        <v>43506</v>
      </c>
      <c r="Y214" s="261" t="s">
        <v>660</v>
      </c>
      <c r="Z214" s="261" t="s">
        <v>661</v>
      </c>
      <c r="AA214" s="232"/>
      <c r="AB214" s="230">
        <f>T214-HLOOKUP(V214,Minimas!$C$3:$CD$12,2,FALSE)</f>
        <v>102</v>
      </c>
      <c r="AC214" s="230">
        <f>T214-HLOOKUP(V214,Minimas!$C$3:$CD$12,3,FALSE)</f>
        <v>77</v>
      </c>
      <c r="AD214" s="230">
        <f>T214-HLOOKUP(V214,Minimas!$C$3:$CD$12,4,FALSE)</f>
        <v>52</v>
      </c>
      <c r="AE214" s="230">
        <f>T214-HLOOKUP(V214,Minimas!$C$3:$CD$12,5,FALSE)</f>
        <v>22</v>
      </c>
      <c r="AF214" s="230">
        <f>T214-HLOOKUP(V214,Minimas!$C$3:$CD$12,6,FALSE)</f>
        <v>-8</v>
      </c>
      <c r="AG214" s="230">
        <f>T214-HLOOKUP(V214,Minimas!$C$3:$CD$12,7,FALSE)</f>
        <v>-35</v>
      </c>
      <c r="AH214" s="230">
        <f>T214-HLOOKUP(V214,Minimas!$C$3:$CD$12,8,FALSE)</f>
        <v>-58</v>
      </c>
      <c r="AI214" s="230">
        <f>T214-HLOOKUP(V214,Minimas!$C$3:$CD$12,9,FALSE)</f>
        <v>-78</v>
      </c>
      <c r="AJ214" s="230">
        <f>T214-HLOOKUP(V214,Minimas!$C$3:$CD$12,10,FALSE)</f>
        <v>-108</v>
      </c>
      <c r="AK214" s="231" t="str">
        <f t="shared" si="64"/>
        <v>IRG +</v>
      </c>
      <c r="AL214" s="232"/>
      <c r="AM214" s="232" t="str">
        <f t="shared" si="65"/>
        <v>IRG +</v>
      </c>
      <c r="AN214" s="232">
        <f t="shared" si="66"/>
        <v>22</v>
      </c>
      <c r="AO214" s="232"/>
      <c r="AP214" s="485"/>
      <c r="AQ214" s="485"/>
      <c r="AR214" s="485"/>
      <c r="AS214" s="485"/>
      <c r="AT214" s="485"/>
      <c r="AU214" s="485"/>
      <c r="AV214" s="485"/>
      <c r="AW214" s="485"/>
      <c r="AX214" s="485"/>
      <c r="AY214" s="485"/>
      <c r="AZ214" s="485"/>
      <c r="BA214" s="485"/>
      <c r="BB214" s="485"/>
      <c r="BC214" s="485"/>
      <c r="BD214" s="485"/>
      <c r="BE214" s="485"/>
      <c r="BF214" s="485"/>
      <c r="BG214" s="485"/>
      <c r="BH214" s="485"/>
      <c r="BI214" s="485"/>
      <c r="BJ214" s="485"/>
      <c r="BK214" s="485"/>
      <c r="BL214" s="485"/>
      <c r="BM214" s="485"/>
      <c r="BN214" s="485"/>
      <c r="BO214" s="485"/>
      <c r="BP214" s="485"/>
      <c r="BQ214" s="485"/>
      <c r="BR214" s="485"/>
      <c r="BS214" s="485"/>
      <c r="BT214" s="485"/>
      <c r="BU214" s="485"/>
      <c r="BV214" s="485"/>
      <c r="BW214" s="485"/>
      <c r="BX214" s="485"/>
      <c r="BY214" s="485"/>
      <c r="BZ214" s="485"/>
      <c r="CA214" s="485"/>
      <c r="CB214" s="485"/>
      <c r="CC214" s="485"/>
      <c r="CD214" s="485"/>
      <c r="CE214" s="485"/>
      <c r="CF214" s="485"/>
      <c r="CG214" s="485"/>
      <c r="CH214" s="485"/>
      <c r="CI214" s="485"/>
      <c r="CJ214" s="485"/>
      <c r="CK214" s="485"/>
      <c r="CL214" s="485"/>
      <c r="CM214" s="485"/>
      <c r="CN214" s="485"/>
      <c r="CO214" s="485"/>
      <c r="CP214" s="485"/>
      <c r="CQ214" s="485"/>
      <c r="CR214" s="485"/>
      <c r="CS214" s="485"/>
      <c r="CT214" s="485"/>
      <c r="CU214" s="485"/>
      <c r="CV214" s="485"/>
      <c r="CW214" s="485"/>
      <c r="CX214" s="485"/>
      <c r="CY214" s="485"/>
      <c r="CZ214" s="485"/>
      <c r="DA214" s="485"/>
      <c r="DB214" s="485"/>
      <c r="DC214" s="485"/>
      <c r="DD214" s="485"/>
      <c r="DE214" s="485"/>
      <c r="DF214" s="485"/>
      <c r="DG214" s="485"/>
      <c r="DH214" s="485"/>
      <c r="DI214" s="485"/>
      <c r="DJ214" s="485"/>
      <c r="DK214" s="485"/>
      <c r="DL214" s="485"/>
      <c r="DM214" s="485"/>
      <c r="DN214" s="485"/>
      <c r="DO214" s="485"/>
      <c r="DP214" s="485"/>
      <c r="DQ214" s="485"/>
      <c r="DR214" s="485"/>
      <c r="DS214" s="485"/>
      <c r="DT214" s="485"/>
    </row>
    <row r="215" spans="1:124" ht="23.5" customHeight="1" x14ac:dyDescent="0.25">
      <c r="A215" s="484"/>
      <c r="B215" s="136" t="s">
        <v>543</v>
      </c>
      <c r="C215" s="499">
        <v>407292</v>
      </c>
      <c r="D215" s="167"/>
      <c r="E215" s="323" t="s">
        <v>40</v>
      </c>
      <c r="F215" s="328" t="s">
        <v>634</v>
      </c>
      <c r="G215" s="487" t="s">
        <v>353</v>
      </c>
      <c r="H215" s="563">
        <v>1987</v>
      </c>
      <c r="I215" s="648" t="s">
        <v>540</v>
      </c>
      <c r="J215" s="498" t="s">
        <v>44</v>
      </c>
      <c r="K215" s="297">
        <v>85.7</v>
      </c>
      <c r="L215" s="300">
        <v>105</v>
      </c>
      <c r="M215" s="301">
        <v>110</v>
      </c>
      <c r="N215" s="449">
        <v>-115</v>
      </c>
      <c r="O215" s="490">
        <f t="shared" si="60"/>
        <v>110</v>
      </c>
      <c r="P215" s="300">
        <v>132</v>
      </c>
      <c r="Q215" s="301">
        <v>140</v>
      </c>
      <c r="R215" s="449">
        <v>-145</v>
      </c>
      <c r="S215" s="490">
        <f t="shared" si="61"/>
        <v>140</v>
      </c>
      <c r="T215" s="502">
        <f>IF(E215="","",IF(OR(O215=0,S215=0),0,O215+S215))</f>
        <v>250</v>
      </c>
      <c r="U215" s="48" t="str">
        <f t="shared" si="62"/>
        <v>IRG + 20</v>
      </c>
      <c r="V215" s="48" t="str">
        <f>IF(E215=0," ",IF(E215="H",IF(H215&lt;1999,VLOOKUP(K215,Minimas!$A$15:$F$29,6),IF(AND(H215&gt;1998,H215&lt;2002),VLOOKUP(K215,Minimas!$A$15:$F$29,5),IF(AND(H215&gt;2001,H215&lt;2004),VLOOKUP(K215,Minimas!$A$15:$F$29,4),IF(AND(H215&gt;2003,H215&lt;2006),VLOOKUP(K215,Minimas!$A$15:$F$29,3),VLOOKUP(K215,Minimas!$A$15:$F$29,2))))),IF(H215&lt;1999,VLOOKUP(K215,Minimas!$G$15:$L$29,6),IF(AND(H215&gt;1998,H215&lt;2002),VLOOKUP(K215,Minimas!$G$15:$L$29,5),IF(AND(H215&gt;2001,H215&lt;2004),VLOOKUP(K215,Minimas!$G$15:$L$29,4),IF(AND(H215&gt;2003,H215&lt;2006),VLOOKUP(K215,Minimas!$G$15:$L$29,3),VLOOKUP(K215,Minimas!$G$15:$L$29,2)))))))</f>
        <v>SE M89</v>
      </c>
      <c r="W215" s="49">
        <f t="shared" si="63"/>
        <v>295.67649402369358</v>
      </c>
      <c r="X215" s="257">
        <v>43485</v>
      </c>
      <c r="Y215" s="261" t="s">
        <v>640</v>
      </c>
      <c r="Z215" s="261" t="s">
        <v>514</v>
      </c>
      <c r="AA215" s="232"/>
      <c r="AB215" s="230">
        <f>T215-HLOOKUP(V215,Minimas!$C$3:$CD$12,2,FALSE)</f>
        <v>100</v>
      </c>
      <c r="AC215" s="230">
        <f>T215-HLOOKUP(V215,Minimas!$C$3:$CD$12,3,FALSE)</f>
        <v>75</v>
      </c>
      <c r="AD215" s="230">
        <f>T215-HLOOKUP(V215,Minimas!$C$3:$CD$12,4,FALSE)</f>
        <v>50</v>
      </c>
      <c r="AE215" s="230">
        <f>T215-HLOOKUP(V215,Minimas!$C$3:$CD$12,5,FALSE)</f>
        <v>20</v>
      </c>
      <c r="AF215" s="230">
        <f>T215-HLOOKUP(V215,Minimas!$C$3:$CD$12,6,FALSE)</f>
        <v>-10</v>
      </c>
      <c r="AG215" s="230">
        <f>T215-HLOOKUP(V215,Minimas!$C$3:$CD$12,7,FALSE)</f>
        <v>-37</v>
      </c>
      <c r="AH215" s="230">
        <f>T215-HLOOKUP(V215,Minimas!$C$3:$CD$12,8,FALSE)</f>
        <v>-60</v>
      </c>
      <c r="AI215" s="230">
        <f>T215-HLOOKUP(V215,Minimas!$C$3:$CD$12,9,FALSE)</f>
        <v>-80</v>
      </c>
      <c r="AJ215" s="230">
        <f>T215-HLOOKUP(V215,Minimas!$C$3:$CD$12,10,FALSE)</f>
        <v>-110</v>
      </c>
      <c r="AK215" s="231" t="str">
        <f t="shared" si="64"/>
        <v>IRG +</v>
      </c>
      <c r="AL215" s="232"/>
      <c r="AM215" s="232" t="str">
        <f t="shared" si="65"/>
        <v>IRG +</v>
      </c>
      <c r="AN215" s="232">
        <f t="shared" si="66"/>
        <v>20</v>
      </c>
      <c r="AO215" s="232"/>
      <c r="AP215" s="485"/>
      <c r="AQ215" s="485"/>
      <c r="AR215" s="485"/>
      <c r="AS215" s="485"/>
      <c r="AT215" s="485"/>
      <c r="AU215" s="485"/>
      <c r="AV215" s="485"/>
      <c r="AW215" s="485"/>
      <c r="AX215" s="485"/>
      <c r="AY215" s="485"/>
      <c r="AZ215" s="485"/>
      <c r="BA215" s="485"/>
      <c r="BB215" s="485"/>
      <c r="BC215" s="485"/>
      <c r="BD215" s="485"/>
      <c r="BE215" s="485"/>
      <c r="BF215" s="485"/>
      <c r="BG215" s="485"/>
      <c r="BH215" s="485"/>
      <c r="BI215" s="485"/>
      <c r="BJ215" s="485"/>
      <c r="BK215" s="485"/>
      <c r="BL215" s="485"/>
      <c r="BM215" s="485"/>
      <c r="BN215" s="485"/>
      <c r="BO215" s="485"/>
      <c r="BP215" s="485"/>
      <c r="BQ215" s="485"/>
      <c r="BR215" s="485"/>
      <c r="BS215" s="485"/>
      <c r="BT215" s="485"/>
      <c r="BU215" s="485"/>
      <c r="BV215" s="485"/>
      <c r="BW215" s="485"/>
      <c r="BX215" s="485"/>
      <c r="BY215" s="485"/>
      <c r="BZ215" s="485"/>
      <c r="CA215" s="485"/>
      <c r="CB215" s="485"/>
      <c r="CC215" s="485"/>
      <c r="CD215" s="485"/>
      <c r="CE215" s="485"/>
      <c r="CF215" s="485"/>
      <c r="CG215" s="485"/>
      <c r="CH215" s="485"/>
      <c r="CI215" s="485"/>
      <c r="CJ215" s="485"/>
      <c r="CK215" s="485"/>
      <c r="CL215" s="485"/>
      <c r="CM215" s="485"/>
      <c r="CN215" s="485"/>
      <c r="CO215" s="485"/>
      <c r="CP215" s="485"/>
      <c r="CQ215" s="485"/>
      <c r="CR215" s="485"/>
      <c r="CS215" s="485"/>
      <c r="CT215" s="485"/>
      <c r="CU215" s="485"/>
      <c r="CV215" s="485"/>
      <c r="CW215" s="485"/>
      <c r="CX215" s="485"/>
      <c r="CY215" s="485"/>
      <c r="CZ215" s="485"/>
      <c r="DA215" s="485"/>
      <c r="DB215" s="485"/>
      <c r="DC215" s="485"/>
      <c r="DD215" s="485"/>
      <c r="DE215" s="485"/>
      <c r="DF215" s="485"/>
      <c r="DG215" s="485"/>
      <c r="DH215" s="485"/>
      <c r="DI215" s="485"/>
      <c r="DJ215" s="485"/>
      <c r="DK215" s="485"/>
      <c r="DL215" s="485"/>
      <c r="DM215" s="485"/>
      <c r="DN215" s="485"/>
      <c r="DO215" s="485"/>
      <c r="DP215" s="485"/>
      <c r="DQ215" s="485"/>
      <c r="DR215" s="485"/>
      <c r="DS215" s="485"/>
      <c r="DT215" s="485"/>
    </row>
    <row r="216" spans="1:124" ht="23.5" customHeight="1" x14ac:dyDescent="0.25">
      <c r="A216" s="484"/>
      <c r="B216" s="136" t="s">
        <v>543</v>
      </c>
      <c r="C216" s="499">
        <v>406348</v>
      </c>
      <c r="D216" s="171"/>
      <c r="E216" s="323" t="s">
        <v>40</v>
      </c>
      <c r="F216" s="328" t="s">
        <v>495</v>
      </c>
      <c r="G216" s="487" t="s">
        <v>659</v>
      </c>
      <c r="H216" s="563">
        <v>1985</v>
      </c>
      <c r="I216" s="337" t="s">
        <v>214</v>
      </c>
      <c r="J216" s="498" t="s">
        <v>44</v>
      </c>
      <c r="K216" s="297">
        <v>84.4</v>
      </c>
      <c r="L216" s="300">
        <v>103</v>
      </c>
      <c r="M216" s="301">
        <v>108</v>
      </c>
      <c r="N216" s="301">
        <v>111</v>
      </c>
      <c r="O216" s="490">
        <f t="shared" si="60"/>
        <v>111</v>
      </c>
      <c r="P216" s="300">
        <v>125</v>
      </c>
      <c r="Q216" s="449">
        <v>-130</v>
      </c>
      <c r="R216" s="301">
        <v>130</v>
      </c>
      <c r="S216" s="490">
        <f t="shared" si="61"/>
        <v>130</v>
      </c>
      <c r="T216" s="502">
        <f>IF(E216="","",IF(OR(O216=0,S216=0),0,O216+S216))</f>
        <v>241</v>
      </c>
      <c r="U216" s="48" t="str">
        <f t="shared" si="62"/>
        <v>IRG + 11</v>
      </c>
      <c r="V216" s="48" t="str">
        <f>IF(E216=0," ",IF(E216="H",IF(H216&lt;1999,VLOOKUP(K216,Minimas!$A$15:$F$29,6),IF(AND(H216&gt;1998,H216&lt;2002),VLOOKUP(K216,Minimas!$A$15:$F$29,5),IF(AND(H216&gt;2001,H216&lt;2004),VLOOKUP(K216,Minimas!$A$15:$F$29,4),IF(AND(H216&gt;2003,H216&lt;2006),VLOOKUP(K216,Minimas!$A$15:$F$29,3),VLOOKUP(K216,Minimas!$A$15:$F$29,2))))),IF(H216&lt;1999,VLOOKUP(K216,Minimas!$G$15:$L$29,6),IF(AND(H216&gt;1998,H216&lt;2002),VLOOKUP(K216,Minimas!$G$15:$L$29,5),IF(AND(H216&gt;2001,H216&lt;2004),VLOOKUP(K216,Minimas!$G$15:$L$29,4),IF(AND(H216&gt;2003,H216&lt;2006),VLOOKUP(K216,Minimas!$G$15:$L$29,3),VLOOKUP(K216,Minimas!$G$15:$L$29,2)))))))</f>
        <v>SE M89</v>
      </c>
      <c r="W216" s="49">
        <f t="shared" si="63"/>
        <v>287.10116812819217</v>
      </c>
      <c r="X216" s="257">
        <v>43498</v>
      </c>
      <c r="Y216" s="261" t="s">
        <v>655</v>
      </c>
      <c r="Z216" s="261" t="s">
        <v>511</v>
      </c>
      <c r="AA216" s="232"/>
      <c r="AB216" s="230">
        <f>T216-HLOOKUP(V216,Minimas!$C$3:$CD$12,2,FALSE)</f>
        <v>91</v>
      </c>
      <c r="AC216" s="230">
        <f>T216-HLOOKUP(V216,Minimas!$C$3:$CD$12,3,FALSE)</f>
        <v>66</v>
      </c>
      <c r="AD216" s="230">
        <f>T216-HLOOKUP(V216,Minimas!$C$3:$CD$12,4,FALSE)</f>
        <v>41</v>
      </c>
      <c r="AE216" s="230">
        <f>T216-HLOOKUP(V216,Minimas!$C$3:$CD$12,5,FALSE)</f>
        <v>11</v>
      </c>
      <c r="AF216" s="230">
        <f>T216-HLOOKUP(V216,Minimas!$C$3:$CD$12,6,FALSE)</f>
        <v>-19</v>
      </c>
      <c r="AG216" s="230">
        <f>T216-HLOOKUP(V216,Minimas!$C$3:$CD$12,7,FALSE)</f>
        <v>-46</v>
      </c>
      <c r="AH216" s="230">
        <f>T216-HLOOKUP(V216,Minimas!$C$3:$CD$12,8,FALSE)</f>
        <v>-69</v>
      </c>
      <c r="AI216" s="230">
        <f>T216-HLOOKUP(V216,Minimas!$C$3:$CD$12,9,FALSE)</f>
        <v>-89</v>
      </c>
      <c r="AJ216" s="230">
        <f>T216-HLOOKUP(V216,Minimas!$C$3:$CD$12,10,FALSE)</f>
        <v>-119</v>
      </c>
      <c r="AK216" s="231" t="str">
        <f t="shared" si="64"/>
        <v>IRG +</v>
      </c>
      <c r="AL216" s="232"/>
      <c r="AM216" s="232" t="str">
        <f t="shared" si="65"/>
        <v>IRG +</v>
      </c>
      <c r="AN216" s="232">
        <f t="shared" si="66"/>
        <v>11</v>
      </c>
      <c r="AO216" s="232"/>
      <c r="AP216" s="485"/>
      <c r="AQ216" s="485"/>
      <c r="AR216" s="485"/>
      <c r="AS216" s="485"/>
      <c r="AT216" s="485"/>
      <c r="AU216" s="485"/>
      <c r="AV216" s="485"/>
      <c r="AW216" s="485"/>
      <c r="AX216" s="485"/>
      <c r="AY216" s="485"/>
      <c r="AZ216" s="485"/>
      <c r="BA216" s="485"/>
      <c r="BB216" s="485"/>
      <c r="BC216" s="485"/>
      <c r="BD216" s="485"/>
      <c r="BE216" s="485"/>
      <c r="BF216" s="485"/>
      <c r="BG216" s="485"/>
      <c r="BH216" s="485"/>
      <c r="BI216" s="485"/>
      <c r="BJ216" s="485"/>
      <c r="BK216" s="485"/>
      <c r="BL216" s="485"/>
      <c r="BM216" s="485"/>
      <c r="BN216" s="485"/>
      <c r="BO216" s="485"/>
      <c r="BP216" s="485"/>
      <c r="BQ216" s="485"/>
      <c r="BR216" s="485"/>
      <c r="BS216" s="485"/>
      <c r="BT216" s="485"/>
      <c r="BU216" s="485"/>
      <c r="BV216" s="485"/>
      <c r="BW216" s="485"/>
      <c r="BX216" s="485"/>
      <c r="BY216" s="485"/>
      <c r="BZ216" s="485"/>
      <c r="CA216" s="485"/>
      <c r="CB216" s="485"/>
      <c r="CC216" s="485"/>
      <c r="CD216" s="485"/>
      <c r="CE216" s="485"/>
      <c r="CF216" s="485"/>
      <c r="CG216" s="485"/>
      <c r="CH216" s="485"/>
      <c r="CI216" s="485"/>
      <c r="CJ216" s="485"/>
      <c r="CK216" s="485"/>
      <c r="CL216" s="485"/>
      <c r="CM216" s="485"/>
      <c r="CN216" s="485"/>
      <c r="CO216" s="485"/>
      <c r="CP216" s="485"/>
      <c r="CQ216" s="485"/>
      <c r="CR216" s="485"/>
      <c r="CS216" s="485"/>
      <c r="CT216" s="485"/>
      <c r="CU216" s="485"/>
      <c r="CV216" s="485"/>
      <c r="CW216" s="485"/>
      <c r="CX216" s="485"/>
      <c r="CY216" s="485"/>
      <c r="CZ216" s="485"/>
      <c r="DA216" s="485"/>
      <c r="DB216" s="485"/>
      <c r="DC216" s="485"/>
      <c r="DD216" s="485"/>
      <c r="DE216" s="485"/>
      <c r="DF216" s="485"/>
      <c r="DG216" s="485"/>
      <c r="DH216" s="485"/>
      <c r="DI216" s="485"/>
      <c r="DJ216" s="485"/>
      <c r="DK216" s="485"/>
      <c r="DL216" s="485"/>
      <c r="DM216" s="485"/>
      <c r="DN216" s="485"/>
      <c r="DO216" s="485"/>
      <c r="DP216" s="485"/>
      <c r="DQ216" s="485"/>
      <c r="DR216" s="485"/>
      <c r="DS216" s="485"/>
      <c r="DT216" s="485"/>
    </row>
    <row r="217" spans="1:124" ht="23" customHeight="1" x14ac:dyDescent="0.25">
      <c r="A217" s="484"/>
      <c r="B217" s="524" t="s">
        <v>543</v>
      </c>
      <c r="C217" s="429">
        <v>447892</v>
      </c>
      <c r="D217" s="710"/>
      <c r="E217" s="323" t="s">
        <v>40</v>
      </c>
      <c r="F217" s="319" t="s">
        <v>909</v>
      </c>
      <c r="G217" s="320" t="s">
        <v>398</v>
      </c>
      <c r="H217" s="306">
        <v>1992</v>
      </c>
      <c r="I217" s="683" t="s">
        <v>170</v>
      </c>
      <c r="J217" s="323" t="s">
        <v>41</v>
      </c>
      <c r="K217" s="326">
        <v>88</v>
      </c>
      <c r="L217" s="300">
        <v>95</v>
      </c>
      <c r="M217" s="301">
        <v>100</v>
      </c>
      <c r="N217" s="301">
        <v>102</v>
      </c>
      <c r="O217" s="358">
        <f t="shared" si="60"/>
        <v>102</v>
      </c>
      <c r="P217" s="300">
        <v>120</v>
      </c>
      <c r="Q217" s="301">
        <v>125</v>
      </c>
      <c r="R217" s="301">
        <v>130</v>
      </c>
      <c r="S217" s="358">
        <f t="shared" si="61"/>
        <v>130</v>
      </c>
      <c r="T217" s="364">
        <f>IF(E217="","",IF(OR(O217=0,S217=0),0,O217+S217))</f>
        <v>232</v>
      </c>
      <c r="U217" s="360" t="str">
        <f t="shared" si="62"/>
        <v>IRG + 2</v>
      </c>
      <c r="V217" s="360" t="str">
        <f>IF(E217=0," ",IF(E217="H",IF(H217&lt;1999,VLOOKUP(K217,[3]Minimas!$A$15:$F$29,6),IF(AND(H217&gt;1998,H217&lt;2002),VLOOKUP(K217,[3]Minimas!$A$15:$F$29,5),IF(AND(H217&gt;2001,H217&lt;2004),VLOOKUP(K217,[3]Minimas!$A$15:$F$29,4),IF(AND(H217&gt;2003,H217&lt;2006),VLOOKUP(K217,[3]Minimas!$A$15:$F$29,3),VLOOKUP(K217,[3]Minimas!$A$15:$F$29,2))))),IF(H217&lt;1999,VLOOKUP(K217,[3]Minimas!$G$15:$L$29,6),IF(AND(H217&gt;1998,H217&lt;2002),VLOOKUP(K217,[3]Minimas!$G$15:$L$29,5),IF(AND(H217&gt;2001,H217&lt;2004),VLOOKUP(K217,[3]Minimas!$G$15:$L$29,4),IF(AND(H217&gt;2003,H217&lt;2006),VLOOKUP(K217,[3]Minimas!$G$15:$L$29,3),VLOOKUP(K217,[3]Minimas!$G$15:$L$29,2)))))))</f>
        <v>SE M89</v>
      </c>
      <c r="W217" s="361">
        <f t="shared" si="63"/>
        <v>271.0686276447463</v>
      </c>
      <c r="X217" s="257">
        <v>43610</v>
      </c>
      <c r="Y217" s="261" t="s">
        <v>892</v>
      </c>
      <c r="Z217" s="261" t="s">
        <v>829</v>
      </c>
      <c r="AA217" s="232"/>
      <c r="AB217" s="230">
        <f>T217-HLOOKUP(V217,[3]Minimas!$C$3:$CD$12,2,FALSE)</f>
        <v>82</v>
      </c>
      <c r="AC217" s="230">
        <f>T217-HLOOKUP(V217,[3]Minimas!$C$3:$CD$12,3,FALSE)</f>
        <v>57</v>
      </c>
      <c r="AD217" s="230">
        <f>T217-HLOOKUP(V217,[3]Minimas!$C$3:$CD$12,4,FALSE)</f>
        <v>32</v>
      </c>
      <c r="AE217" s="230">
        <f>T217-HLOOKUP(V217,[3]Minimas!$C$3:$CD$12,5,FALSE)</f>
        <v>2</v>
      </c>
      <c r="AF217" s="230">
        <f>T217-HLOOKUP(V217,[3]Minimas!$C$3:$CD$12,6,FALSE)</f>
        <v>-28</v>
      </c>
      <c r="AG217" s="230">
        <f>T217-HLOOKUP(V217,[3]Minimas!$C$3:$CD$12,7,FALSE)</f>
        <v>-55</v>
      </c>
      <c r="AH217" s="230">
        <f>T217-HLOOKUP(V217,[3]Minimas!$C$3:$CD$12,8,FALSE)</f>
        <v>-78</v>
      </c>
      <c r="AI217" s="230">
        <f>T217-HLOOKUP(V217,[3]Minimas!$C$3:$CD$12,9,FALSE)</f>
        <v>-98</v>
      </c>
      <c r="AJ217" s="230">
        <f>T217-HLOOKUP(V217,[3]Minimas!$C$3:$CD$12,10,FALSE)</f>
        <v>-128</v>
      </c>
      <c r="AK217" s="231" t="str">
        <f t="shared" si="64"/>
        <v>IRG +</v>
      </c>
      <c r="AL217" s="232"/>
      <c r="AM217" s="232" t="str">
        <f t="shared" si="65"/>
        <v>IRG +</v>
      </c>
      <c r="AN217" s="232">
        <f t="shared" si="66"/>
        <v>2</v>
      </c>
      <c r="AO217" s="232"/>
      <c r="AP217" s="485"/>
      <c r="AQ217" s="485"/>
      <c r="AR217" s="485"/>
      <c r="AS217" s="485"/>
      <c r="AT217" s="485"/>
      <c r="AU217" s="485"/>
      <c r="AV217" s="485"/>
      <c r="AW217" s="485"/>
      <c r="AX217" s="485"/>
      <c r="AY217" s="485"/>
      <c r="AZ217" s="485"/>
      <c r="BA217" s="485"/>
      <c r="BB217" s="485"/>
      <c r="BC217" s="485"/>
      <c r="BD217" s="485"/>
      <c r="BE217" s="485"/>
      <c r="BF217" s="485"/>
      <c r="BG217" s="485"/>
      <c r="BH217" s="485"/>
      <c r="BI217" s="485"/>
      <c r="BJ217" s="485"/>
      <c r="BK217" s="485"/>
      <c r="BL217" s="485"/>
      <c r="BM217" s="485"/>
      <c r="BN217" s="485"/>
      <c r="BO217" s="485"/>
      <c r="BP217" s="485"/>
      <c r="BQ217" s="485"/>
      <c r="BR217" s="485"/>
      <c r="BS217" s="485"/>
      <c r="BT217" s="485"/>
      <c r="BU217" s="485"/>
      <c r="BV217" s="485"/>
      <c r="BW217" s="485"/>
      <c r="BX217" s="485"/>
      <c r="BY217" s="485"/>
      <c r="BZ217" s="485"/>
      <c r="CA217" s="485"/>
      <c r="CB217" s="485"/>
      <c r="CC217" s="485"/>
      <c r="CD217" s="485"/>
      <c r="CE217" s="485"/>
      <c r="CF217" s="485"/>
      <c r="CG217" s="485"/>
      <c r="CH217" s="485"/>
      <c r="CI217" s="485"/>
      <c r="CJ217" s="485"/>
      <c r="CK217" s="485"/>
      <c r="CL217" s="485"/>
      <c r="CM217" s="485"/>
      <c r="CN217" s="485"/>
      <c r="CO217" s="485"/>
      <c r="CP217" s="485"/>
      <c r="CQ217" s="485"/>
      <c r="CR217" s="485"/>
      <c r="CS217" s="485"/>
      <c r="CT217" s="485"/>
      <c r="CU217" s="485"/>
      <c r="CV217" s="485"/>
      <c r="CW217" s="485"/>
      <c r="CX217" s="485"/>
      <c r="CY217" s="485"/>
      <c r="CZ217" s="485"/>
      <c r="DA217" s="485"/>
      <c r="DB217" s="485"/>
      <c r="DC217" s="485"/>
      <c r="DD217" s="485"/>
      <c r="DE217" s="485"/>
      <c r="DF217" s="485"/>
      <c r="DG217" s="485"/>
      <c r="DH217" s="485"/>
      <c r="DI217" s="485"/>
      <c r="DJ217" s="485"/>
      <c r="DK217" s="485"/>
      <c r="DL217" s="485"/>
      <c r="DM217" s="485"/>
      <c r="DN217" s="485"/>
      <c r="DO217" s="485"/>
      <c r="DP217" s="485"/>
      <c r="DQ217" s="485"/>
      <c r="DR217" s="485"/>
      <c r="DS217" s="485"/>
      <c r="DT217" s="485"/>
    </row>
    <row r="218" spans="1:124" ht="23" customHeight="1" x14ac:dyDescent="0.3">
      <c r="A218" s="484"/>
      <c r="B218" s="136" t="s">
        <v>543</v>
      </c>
      <c r="C218" s="499">
        <v>375932</v>
      </c>
      <c r="D218" s="167"/>
      <c r="E218" s="323" t="s">
        <v>40</v>
      </c>
      <c r="F218" s="486" t="s">
        <v>470</v>
      </c>
      <c r="G218" s="487" t="s">
        <v>367</v>
      </c>
      <c r="H218" s="292">
        <v>1989</v>
      </c>
      <c r="I218" s="571" t="s">
        <v>418</v>
      </c>
      <c r="J218" s="290" t="s">
        <v>44</v>
      </c>
      <c r="K218" s="297">
        <v>81.3</v>
      </c>
      <c r="L218" s="783">
        <v>95</v>
      </c>
      <c r="M218" s="794">
        <v>-100</v>
      </c>
      <c r="N218" s="794">
        <v>-100</v>
      </c>
      <c r="O218" s="490">
        <f t="shared" si="60"/>
        <v>95</v>
      </c>
      <c r="P218" s="783">
        <v>125</v>
      </c>
      <c r="Q218" s="458">
        <v>130</v>
      </c>
      <c r="R218" s="458">
        <v>135</v>
      </c>
      <c r="S218" s="490">
        <f t="shared" si="61"/>
        <v>135</v>
      </c>
      <c r="T218" s="502">
        <f>IF(E218="","",IF(OR(O218=0,S218=0),0,O218+S218))</f>
        <v>230</v>
      </c>
      <c r="U218" s="48" t="str">
        <f t="shared" si="62"/>
        <v>IRG + 0</v>
      </c>
      <c r="V218" s="48" t="str">
        <f>IF(E218=0," ",IF(E218="H",IF(H218&lt;1999,VLOOKUP(K218,Minimas!$A$15:$F$29,6),IF(AND(H218&gt;1998,H218&lt;2002),VLOOKUP(K218,Minimas!$A$15:$F$29,5),IF(AND(H218&gt;2001,H218&lt;2004),VLOOKUP(K218,Minimas!$A$15:$F$29,4),IF(AND(H218&gt;2003,H218&lt;2006),VLOOKUP(K218,Minimas!$A$15:$F$29,3),VLOOKUP(K218,Minimas!$A$15:$F$29,2))))),IF(H218&lt;1999,VLOOKUP(K218,Minimas!$G$15:$L$29,6),IF(AND(H218&gt;1998,H218&lt;2002),VLOOKUP(K218,Minimas!$G$15:$L$29,5),IF(AND(H218&gt;2001,H218&lt;2004),VLOOKUP(K218,Minimas!$G$15:$L$29,4),IF(AND(H218&gt;2003,H218&lt;2006),VLOOKUP(K218,Minimas!$G$15:$L$29,3),VLOOKUP(K218,Minimas!$G$15:$L$29,2)))))))</f>
        <v>SE M89</v>
      </c>
      <c r="W218" s="49">
        <f t="shared" si="63"/>
        <v>279.07151377622318</v>
      </c>
      <c r="X218" s="184">
        <v>43435</v>
      </c>
      <c r="Y218" s="284" t="s">
        <v>509</v>
      </c>
      <c r="Z218" s="284" t="s">
        <v>504</v>
      </c>
      <c r="AA218" s="232"/>
      <c r="AB218" s="230">
        <f>T218-HLOOKUP(V218,Minimas!$C$3:$CD$12,2,FALSE)</f>
        <v>80</v>
      </c>
      <c r="AC218" s="230">
        <f>T218-HLOOKUP(V218,Minimas!$C$3:$CD$12,3,FALSE)</f>
        <v>55</v>
      </c>
      <c r="AD218" s="230">
        <f>T218-HLOOKUP(V218,Minimas!$C$3:$CD$12,4,FALSE)</f>
        <v>30</v>
      </c>
      <c r="AE218" s="230">
        <f>T218-HLOOKUP(V218,Minimas!$C$3:$CD$12,5,FALSE)</f>
        <v>0</v>
      </c>
      <c r="AF218" s="230">
        <f>T218-HLOOKUP(V218,Minimas!$C$3:$CD$12,6,FALSE)</f>
        <v>-30</v>
      </c>
      <c r="AG218" s="230">
        <f>T218-HLOOKUP(V218,Minimas!$C$3:$CD$12,7,FALSE)</f>
        <v>-57</v>
      </c>
      <c r="AH218" s="230">
        <f>T218-HLOOKUP(V218,Minimas!$C$3:$CD$12,8,FALSE)</f>
        <v>-80</v>
      </c>
      <c r="AI218" s="230">
        <f>T218-HLOOKUP(V218,Minimas!$C$3:$CD$12,9,FALSE)</f>
        <v>-100</v>
      </c>
      <c r="AJ218" s="230">
        <f>T218-HLOOKUP(V218,Minimas!$C$3:$CD$12,10,FALSE)</f>
        <v>-130</v>
      </c>
      <c r="AK218" s="231" t="str">
        <f t="shared" si="64"/>
        <v>IRG +</v>
      </c>
      <c r="AL218" s="232"/>
      <c r="AM218" s="232" t="str">
        <f t="shared" si="65"/>
        <v>IRG +</v>
      </c>
      <c r="AN218" s="232">
        <f t="shared" si="66"/>
        <v>0</v>
      </c>
      <c r="AO218" s="232"/>
      <c r="AP218" s="485"/>
      <c r="AQ218" s="485"/>
      <c r="AR218" s="485"/>
      <c r="AS218" s="485"/>
      <c r="AT218" s="485"/>
      <c r="AU218" s="485"/>
      <c r="AV218" s="485"/>
      <c r="AW218" s="485"/>
      <c r="AX218" s="485"/>
      <c r="AY218" s="485"/>
      <c r="AZ218" s="485"/>
      <c r="BA218" s="485"/>
      <c r="BB218" s="485"/>
      <c r="BC218" s="485"/>
      <c r="BD218" s="485"/>
      <c r="BE218" s="485"/>
      <c r="BF218" s="485"/>
      <c r="BG218" s="485"/>
      <c r="BH218" s="485"/>
      <c r="BI218" s="485"/>
      <c r="BJ218" s="485"/>
      <c r="BK218" s="485"/>
      <c r="BL218" s="485"/>
      <c r="BM218" s="485"/>
      <c r="BN218" s="485"/>
      <c r="BO218" s="485"/>
      <c r="BP218" s="485"/>
      <c r="BQ218" s="485"/>
      <c r="BR218" s="485"/>
      <c r="BS218" s="485"/>
      <c r="BT218" s="485"/>
      <c r="BU218" s="485"/>
      <c r="BV218" s="485"/>
      <c r="BW218" s="485"/>
      <c r="BX218" s="485"/>
      <c r="BY218" s="485"/>
      <c r="BZ218" s="485"/>
      <c r="CA218" s="485"/>
      <c r="CB218" s="485"/>
      <c r="CC218" s="485"/>
      <c r="CD218" s="485"/>
      <c r="CE218" s="485"/>
      <c r="CF218" s="485"/>
      <c r="CG218" s="485"/>
      <c r="CH218" s="485"/>
      <c r="CI218" s="485"/>
      <c r="CJ218" s="485"/>
      <c r="CK218" s="485"/>
      <c r="CL218" s="485"/>
      <c r="CM218" s="485"/>
      <c r="CN218" s="485"/>
      <c r="CO218" s="485"/>
      <c r="CP218" s="485"/>
      <c r="CQ218" s="485"/>
      <c r="CR218" s="485"/>
      <c r="CS218" s="485"/>
      <c r="CT218" s="485"/>
      <c r="CU218" s="485"/>
      <c r="CV218" s="485"/>
      <c r="CW218" s="485"/>
      <c r="CX218" s="485"/>
      <c r="CY218" s="485"/>
      <c r="CZ218" s="485"/>
      <c r="DA218" s="485"/>
      <c r="DB218" s="485"/>
      <c r="DC218" s="485"/>
      <c r="DD218" s="485"/>
      <c r="DE218" s="485"/>
      <c r="DF218" s="485"/>
      <c r="DG218" s="485"/>
      <c r="DH218" s="485"/>
      <c r="DI218" s="485"/>
      <c r="DJ218" s="485"/>
      <c r="DK218" s="485"/>
      <c r="DL218" s="485"/>
      <c r="DM218" s="485"/>
      <c r="DN218" s="485"/>
      <c r="DO218" s="485"/>
      <c r="DP218" s="485"/>
      <c r="DQ218" s="485"/>
      <c r="DR218" s="485"/>
      <c r="DS218" s="485"/>
      <c r="DT218" s="485"/>
    </row>
    <row r="219" spans="1:124" ht="23" x14ac:dyDescent="0.25">
      <c r="A219" s="484"/>
      <c r="B219" s="136" t="s">
        <v>543</v>
      </c>
      <c r="C219" s="525">
        <v>445939</v>
      </c>
      <c r="D219" s="119"/>
      <c r="E219" s="406" t="s">
        <v>40</v>
      </c>
      <c r="F219" s="414" t="s">
        <v>444</v>
      </c>
      <c r="G219" s="415" t="s">
        <v>445</v>
      </c>
      <c r="H219" s="416">
        <v>1987</v>
      </c>
      <c r="I219" s="568" t="s">
        <v>173</v>
      </c>
      <c r="J219" s="578" t="s">
        <v>44</v>
      </c>
      <c r="K219" s="581">
        <v>86.6</v>
      </c>
      <c r="L219" s="448">
        <v>-95</v>
      </c>
      <c r="M219" s="301">
        <v>95</v>
      </c>
      <c r="N219" s="301">
        <v>100</v>
      </c>
      <c r="O219" s="490">
        <v>100</v>
      </c>
      <c r="P219" s="448">
        <v>-125</v>
      </c>
      <c r="Q219" s="301">
        <v>125</v>
      </c>
      <c r="R219" s="301">
        <v>130</v>
      </c>
      <c r="S219" s="490">
        <f t="shared" si="61"/>
        <v>130</v>
      </c>
      <c r="T219" s="502">
        <f>IF(E219="","",IF(OR(O219=0,S219=0),0,O219+S219))</f>
        <v>230</v>
      </c>
      <c r="U219" s="48" t="str">
        <f t="shared" si="62"/>
        <v>IRG + 0</v>
      </c>
      <c r="V219" s="48" t="str">
        <f>IF(E219=0," ",IF(E219="H",IF(H219&lt;1999,VLOOKUP(K219,[11]Minimas!$A$15:$F$29,6),IF(AND(H219&gt;1998,H219&lt;2002),VLOOKUP(K219,[11]Minimas!$A$15:$F$29,5),IF(AND(H219&gt;2001,H219&lt;2004),VLOOKUP(K219,[11]Minimas!$A$15:$F$29,4),IF(AND(H219&gt;2003,H219&lt;2006),VLOOKUP(K219,[11]Minimas!$A$15:$F$29,3),VLOOKUP(K219,[11]Minimas!$A$15:$F$29,2))))),IF(H219&lt;1999,VLOOKUP(K219,[11]Minimas!$G$15:$L$29,6),IF(AND(H219&gt;1998,H219&lt;2002),VLOOKUP(K219,[11]Minimas!$G$15:$L$29,5),IF(AND(H219&gt;2001,H219&lt;2004),VLOOKUP(K219,[11]Minimas!$G$15:$L$29,4),IF(AND(H219&gt;2003,H219&lt;2006),VLOOKUP(K219,[11]Minimas!$G$15:$L$29,3),VLOOKUP(K219,[11]Minimas!$G$15:$L$29,2)))))))</f>
        <v>SE M89</v>
      </c>
      <c r="W219" s="49">
        <f t="shared" si="63"/>
        <v>270.704775416492</v>
      </c>
      <c r="X219" s="257">
        <v>43527</v>
      </c>
      <c r="Y219" s="261" t="s">
        <v>705</v>
      </c>
      <c r="Z219" s="261" t="s">
        <v>704</v>
      </c>
      <c r="AA219" s="232"/>
      <c r="AB219" s="230">
        <f>T219-HLOOKUP(V219,[8]Minimas!$C$3:$CD$12,2,FALSE)</f>
        <v>80</v>
      </c>
      <c r="AC219" s="230">
        <f>T219-HLOOKUP(V219,[8]Minimas!$C$3:$CD$12,3,FALSE)</f>
        <v>55</v>
      </c>
      <c r="AD219" s="230">
        <f>T219-HLOOKUP(V219,[8]Minimas!$C$3:$CD$12,4,FALSE)</f>
        <v>30</v>
      </c>
      <c r="AE219" s="230">
        <f>T219-HLOOKUP(V219,[8]Minimas!$C$3:$CD$12,5,FALSE)</f>
        <v>0</v>
      </c>
      <c r="AF219" s="230">
        <f>T219-HLOOKUP(V219,[8]Minimas!$C$3:$CD$12,6,FALSE)</f>
        <v>-30</v>
      </c>
      <c r="AG219" s="230">
        <f>T219-HLOOKUP(V219,[8]Minimas!$C$3:$CD$12,7,FALSE)</f>
        <v>-57</v>
      </c>
      <c r="AH219" s="230">
        <f>T219-HLOOKUP(V219,[8]Minimas!$C$3:$CD$12,8,FALSE)</f>
        <v>-80</v>
      </c>
      <c r="AI219" s="230">
        <f>T219-HLOOKUP(V219,[8]Minimas!$C$3:$CD$12,9,FALSE)</f>
        <v>-100</v>
      </c>
      <c r="AJ219" s="230">
        <f>T219-HLOOKUP(V219,[8]Minimas!$C$3:$CD$12,10,FALSE)</f>
        <v>-130</v>
      </c>
      <c r="AK219" s="231" t="str">
        <f t="shared" si="64"/>
        <v>IRG +</v>
      </c>
      <c r="AL219" s="232"/>
      <c r="AM219" s="232" t="str">
        <f t="shared" si="65"/>
        <v>IRG +</v>
      </c>
      <c r="AN219" s="232">
        <f t="shared" si="66"/>
        <v>0</v>
      </c>
      <c r="AO219" s="232"/>
      <c r="AP219" s="485"/>
      <c r="AQ219" s="485"/>
      <c r="AR219" s="485"/>
      <c r="AS219" s="485"/>
      <c r="AT219" s="485"/>
      <c r="AU219" s="485"/>
      <c r="AV219" s="485"/>
      <c r="AW219" s="485"/>
      <c r="AX219" s="485"/>
      <c r="AY219" s="485"/>
      <c r="AZ219" s="485"/>
      <c r="BA219" s="485"/>
      <c r="BB219" s="485"/>
      <c r="BC219" s="485"/>
      <c r="BD219" s="485"/>
      <c r="BE219" s="485"/>
      <c r="BF219" s="485"/>
      <c r="BG219" s="485"/>
      <c r="BH219" s="485"/>
      <c r="BI219" s="485"/>
      <c r="BJ219" s="485"/>
      <c r="BK219" s="485"/>
      <c r="BL219" s="485"/>
      <c r="BM219" s="485"/>
      <c r="BN219" s="485"/>
      <c r="BO219" s="485"/>
      <c r="BP219" s="485"/>
      <c r="BQ219" s="485"/>
      <c r="BR219" s="485"/>
      <c r="BS219" s="485"/>
      <c r="BT219" s="485"/>
      <c r="BU219" s="485"/>
      <c r="BV219" s="485"/>
      <c r="BW219" s="485"/>
      <c r="BX219" s="485"/>
      <c r="BY219" s="485"/>
      <c r="BZ219" s="485"/>
      <c r="CA219" s="485"/>
      <c r="CB219" s="485"/>
      <c r="CC219" s="485"/>
      <c r="CD219" s="485"/>
      <c r="CE219" s="485"/>
      <c r="CF219" s="485"/>
      <c r="CG219" s="485"/>
      <c r="CH219" s="485"/>
      <c r="CI219" s="485"/>
      <c r="CJ219" s="485"/>
      <c r="CK219" s="485"/>
      <c r="CL219" s="485"/>
      <c r="CM219" s="485"/>
      <c r="CN219" s="485"/>
      <c r="CO219" s="485"/>
      <c r="CP219" s="485"/>
      <c r="CQ219" s="485"/>
      <c r="CR219" s="485"/>
      <c r="CS219" s="485"/>
      <c r="CT219" s="485"/>
      <c r="CU219" s="485"/>
      <c r="CV219" s="485"/>
      <c r="CW219" s="485"/>
      <c r="CX219" s="485"/>
      <c r="CY219" s="485"/>
      <c r="CZ219" s="485"/>
      <c r="DA219" s="485"/>
      <c r="DB219" s="485"/>
      <c r="DC219" s="485"/>
      <c r="DD219" s="485"/>
      <c r="DE219" s="485"/>
      <c r="DF219" s="485"/>
      <c r="DG219" s="485"/>
      <c r="DH219" s="485"/>
      <c r="DI219" s="485"/>
      <c r="DJ219" s="485"/>
      <c r="DK219" s="485"/>
      <c r="DL219" s="485"/>
      <c r="DM219" s="485"/>
      <c r="DN219" s="485"/>
      <c r="DO219" s="485"/>
      <c r="DP219" s="485"/>
      <c r="DQ219" s="485"/>
      <c r="DR219" s="485"/>
      <c r="DS219" s="485"/>
      <c r="DT219" s="485"/>
    </row>
    <row r="220" spans="1:124" ht="23.5" customHeight="1" x14ac:dyDescent="0.25">
      <c r="B220" s="136" t="s">
        <v>543</v>
      </c>
      <c r="C220" s="499">
        <v>442976</v>
      </c>
      <c r="D220" s="167"/>
      <c r="E220" s="323" t="s">
        <v>40</v>
      </c>
      <c r="F220" s="486" t="s">
        <v>718</v>
      </c>
      <c r="G220" s="487" t="s">
        <v>273</v>
      </c>
      <c r="H220" s="292">
        <v>1995</v>
      </c>
      <c r="I220" s="337" t="s">
        <v>139</v>
      </c>
      <c r="J220" s="290" t="s">
        <v>44</v>
      </c>
      <c r="K220" s="488">
        <v>87.2</v>
      </c>
      <c r="L220" s="300">
        <v>90</v>
      </c>
      <c r="M220" s="335">
        <v>-100</v>
      </c>
      <c r="N220" s="301">
        <v>100</v>
      </c>
      <c r="O220" s="52">
        <f t="shared" ref="O220:O251" si="68">IF(E220="","",IF(MAXA(L220:N220)&lt;=0,0,MAXA(L220:N220)))</f>
        <v>100</v>
      </c>
      <c r="P220" s="300">
        <v>120</v>
      </c>
      <c r="Q220" s="301">
        <v>130</v>
      </c>
      <c r="R220" s="449" t="s">
        <v>719</v>
      </c>
      <c r="S220" s="52">
        <f t="shared" si="61"/>
        <v>130</v>
      </c>
      <c r="T220" s="502">
        <f>IF(E220="","",O220+S220)</f>
        <v>230</v>
      </c>
      <c r="U220" s="48" t="str">
        <f t="shared" si="62"/>
        <v>IRG + 0</v>
      </c>
      <c r="V220" s="48" t="str">
        <f>IF(E220=0," ",IF(E220="H",IF(H220&lt;1999,VLOOKUP(K220,[18]Minimas!$A$15:$F$29,6),IF(AND(H220&gt;1998,H220&lt;2002),VLOOKUP(K220,[18]Minimas!$A$15:$F$29,5),IF(AND(H220&gt;2001,H220&lt;2004),VLOOKUP(K220,[18]Minimas!$A$15:$F$29,4),IF(AND(H220&gt;2003,H220&lt;2006),VLOOKUP(K220,[18]Minimas!$A$15:$F$29,3),VLOOKUP(K220,[18]Minimas!$A$15:$F$29,2))))),IF(H220&lt;1999,VLOOKUP(K220,[18]Minimas!$G$15:$L$29,6),IF(AND(H220&gt;1998,H220&lt;2002),VLOOKUP(K220,[18]Minimas!$G$15:$L$29,5),IF(AND(H220&gt;2001,H220&lt;2004),VLOOKUP(K220,[18]Minimas!$G$15:$L$29,4),IF(AND(H220&gt;2003,H220&lt;2006),VLOOKUP(K220,[18]Minimas!$G$15:$L$29,3),VLOOKUP(K220,[18]Minimas!$G$15:$L$29,2)))))))</f>
        <v>SE M89</v>
      </c>
      <c r="W220" s="49">
        <f t="shared" si="63"/>
        <v>269.84802363435296</v>
      </c>
      <c r="X220" s="257">
        <v>43540</v>
      </c>
      <c r="Y220" s="261" t="s">
        <v>714</v>
      </c>
      <c r="Z220" s="261" t="s">
        <v>514</v>
      </c>
      <c r="AA220" s="463"/>
      <c r="AB220" s="230">
        <f>T220-HLOOKUP(V220,Minimas!$C$3:$CD$12,2,FALSE)</f>
        <v>80</v>
      </c>
      <c r="AC220" s="230">
        <f>T220-HLOOKUP(V220,Minimas!$C$3:$CD$12,3,FALSE)</f>
        <v>55</v>
      </c>
      <c r="AD220" s="230">
        <f>T220-HLOOKUP(V220,Minimas!$C$3:$CD$12,4,FALSE)</f>
        <v>30</v>
      </c>
      <c r="AE220" s="230">
        <f>T220-HLOOKUP(V220,Minimas!$C$3:$CD$12,5,FALSE)</f>
        <v>0</v>
      </c>
      <c r="AF220" s="230">
        <f>T220-HLOOKUP(V220,Minimas!$C$3:$CD$12,6,FALSE)</f>
        <v>-30</v>
      </c>
      <c r="AG220" s="230">
        <f>T220-HLOOKUP(V220,Minimas!$C$3:$CD$12,7,FALSE)</f>
        <v>-57</v>
      </c>
      <c r="AH220" s="230">
        <f>T220-HLOOKUP(V220,Minimas!$C$3:$CD$12,8,FALSE)</f>
        <v>-80</v>
      </c>
      <c r="AI220" s="230">
        <f>T220-HLOOKUP(V220,Minimas!$C$3:$CD$12,9,FALSE)</f>
        <v>-100</v>
      </c>
      <c r="AJ220" s="230">
        <f>T220-HLOOKUP(V220,Minimas!$C$3:$CD$12,10,FALSE)</f>
        <v>-130</v>
      </c>
      <c r="AK220" s="231" t="str">
        <f t="shared" si="64"/>
        <v>IRG +</v>
      </c>
      <c r="AL220" s="232"/>
      <c r="AM220" s="232" t="str">
        <f t="shared" si="65"/>
        <v>IRG +</v>
      </c>
      <c r="AN220" s="232">
        <f t="shared" si="66"/>
        <v>0</v>
      </c>
      <c r="AO220" s="463"/>
    </row>
    <row r="221" spans="1:124" ht="23.5" customHeight="1" x14ac:dyDescent="0.25">
      <c r="A221" s="484"/>
      <c r="B221" s="136" t="s">
        <v>543</v>
      </c>
      <c r="C221" s="525">
        <v>447764</v>
      </c>
      <c r="D221" s="265"/>
      <c r="E221" s="406" t="s">
        <v>40</v>
      </c>
      <c r="F221" s="423" t="s">
        <v>606</v>
      </c>
      <c r="G221" s="415" t="s">
        <v>607</v>
      </c>
      <c r="H221" s="424">
        <v>1993</v>
      </c>
      <c r="I221" s="568" t="s">
        <v>587</v>
      </c>
      <c r="J221" s="290" t="s">
        <v>44</v>
      </c>
      <c r="K221" s="581">
        <v>85.5</v>
      </c>
      <c r="L221" s="456">
        <v>95</v>
      </c>
      <c r="M221" s="457">
        <v>100</v>
      </c>
      <c r="N221" s="596">
        <v>-105</v>
      </c>
      <c r="O221" s="52">
        <f t="shared" si="68"/>
        <v>100</v>
      </c>
      <c r="P221" s="456">
        <v>115</v>
      </c>
      <c r="Q221" s="457">
        <v>120</v>
      </c>
      <c r="R221" s="457">
        <v>125</v>
      </c>
      <c r="S221" s="52">
        <f t="shared" si="61"/>
        <v>125</v>
      </c>
      <c r="T221" s="502">
        <f t="shared" ref="T221:T228" si="69">IF(E221="","",IF(OR(O221=0,S221=0),0,O221+S221))</f>
        <v>225</v>
      </c>
      <c r="U221" s="48" t="str">
        <f t="shared" si="62"/>
        <v>REG + 25</v>
      </c>
      <c r="V221" s="48" t="str">
        <f>IF(E221=0," ",IF(E221="H",IF(H221&lt;1999,VLOOKUP(K221,Minimas!$A$15:$F$29,6),IF(AND(H221&gt;1998,H221&lt;2002),VLOOKUP(K221,Minimas!$A$15:$F$29,5),IF(AND(H221&gt;2001,H221&lt;2004),VLOOKUP(K221,Minimas!$A$15:$F$29,4),IF(AND(H221&gt;2003,H221&lt;2006),VLOOKUP(K221,Minimas!$A$15:$F$29,3),VLOOKUP(K221,Minimas!$A$15:$F$29,2))))),IF(H221&lt;1999,VLOOKUP(K221,Minimas!$G$15:$L$29,6),IF(AND(H221&gt;1998,H221&lt;2002),VLOOKUP(K221,Minimas!$G$15:$L$29,5),IF(AND(H221&gt;2001,H221&lt;2004),VLOOKUP(K221,Minimas!$G$15:$L$29,4),IF(AND(H221&gt;2003,H221&lt;2006),VLOOKUP(K221,Minimas!$G$15:$L$29,3),VLOOKUP(K221,Minimas!$G$15:$L$29,2)))))))</f>
        <v>SE M89</v>
      </c>
      <c r="W221" s="49">
        <f t="shared" si="63"/>
        <v>266.40057290827667</v>
      </c>
      <c r="X221" s="257">
        <v>43484</v>
      </c>
      <c r="Y221" s="261" t="s">
        <v>630</v>
      </c>
      <c r="Z221" s="261" t="s">
        <v>581</v>
      </c>
      <c r="AA221" s="232"/>
      <c r="AB221" s="230">
        <f>T221-HLOOKUP(V221,Minimas!$C$3:$CD$12,2,FALSE)</f>
        <v>75</v>
      </c>
      <c r="AC221" s="230">
        <f>T221-HLOOKUP(V221,Minimas!$C$3:$CD$12,3,FALSE)</f>
        <v>50</v>
      </c>
      <c r="AD221" s="230">
        <f>T221-HLOOKUP(V221,Minimas!$C$3:$CD$12,4,FALSE)</f>
        <v>25</v>
      </c>
      <c r="AE221" s="230">
        <f>T221-HLOOKUP(V221,Minimas!$C$3:$CD$12,5,FALSE)</f>
        <v>-5</v>
      </c>
      <c r="AF221" s="230">
        <f>T221-HLOOKUP(V221,Minimas!$C$3:$CD$12,6,FALSE)</f>
        <v>-35</v>
      </c>
      <c r="AG221" s="230">
        <f>T221-HLOOKUP(V221,Minimas!$C$3:$CD$12,7,FALSE)</f>
        <v>-62</v>
      </c>
      <c r="AH221" s="230">
        <f>T221-HLOOKUP(V221,Minimas!$C$3:$CD$12,8,FALSE)</f>
        <v>-85</v>
      </c>
      <c r="AI221" s="230">
        <f>T221-HLOOKUP(V221,Minimas!$C$3:$CD$12,9,FALSE)</f>
        <v>-105</v>
      </c>
      <c r="AJ221" s="230">
        <f>T221-HLOOKUP(V221,Minimas!$C$3:$CD$12,10,FALSE)</f>
        <v>-135</v>
      </c>
      <c r="AK221" s="231" t="str">
        <f t="shared" si="64"/>
        <v>REG +</v>
      </c>
      <c r="AL221" s="232"/>
      <c r="AM221" s="232" t="str">
        <f t="shared" si="65"/>
        <v>REG +</v>
      </c>
      <c r="AN221" s="232">
        <f t="shared" si="66"/>
        <v>25</v>
      </c>
      <c r="AO221" s="232"/>
      <c r="AP221" s="485"/>
      <c r="AQ221" s="485"/>
      <c r="AR221" s="485"/>
      <c r="AS221" s="485"/>
      <c r="AT221" s="485"/>
      <c r="AU221" s="485"/>
      <c r="AV221" s="485"/>
      <c r="AW221" s="485"/>
      <c r="AX221" s="485"/>
      <c r="AY221" s="485"/>
      <c r="AZ221" s="485"/>
      <c r="BA221" s="485"/>
      <c r="BB221" s="485"/>
      <c r="BC221" s="485"/>
      <c r="BD221" s="485"/>
      <c r="BE221" s="485"/>
      <c r="BF221" s="485"/>
      <c r="BG221" s="485"/>
      <c r="BH221" s="485"/>
      <c r="BI221" s="485"/>
      <c r="BJ221" s="485"/>
      <c r="BK221" s="485"/>
      <c r="BL221" s="485"/>
      <c r="BM221" s="485"/>
      <c r="BN221" s="485"/>
      <c r="BO221" s="485"/>
      <c r="BP221" s="485"/>
      <c r="BQ221" s="485"/>
      <c r="BR221" s="485"/>
      <c r="BS221" s="485"/>
      <c r="BT221" s="485"/>
      <c r="BU221" s="485"/>
      <c r="BV221" s="485"/>
      <c r="BW221" s="485"/>
      <c r="BX221" s="485"/>
      <c r="BY221" s="485"/>
      <c r="BZ221" s="485"/>
      <c r="CA221" s="485"/>
      <c r="CB221" s="485"/>
      <c r="CC221" s="485"/>
      <c r="CD221" s="485"/>
      <c r="CE221" s="485"/>
      <c r="CF221" s="485"/>
      <c r="CG221" s="485"/>
      <c r="CH221" s="485"/>
      <c r="CI221" s="485"/>
      <c r="CJ221" s="485"/>
      <c r="CK221" s="485"/>
      <c r="CL221" s="485"/>
      <c r="CM221" s="485"/>
      <c r="CN221" s="485"/>
      <c r="CO221" s="485"/>
      <c r="CP221" s="485"/>
      <c r="CQ221" s="485"/>
      <c r="CR221" s="485"/>
      <c r="CS221" s="485"/>
      <c r="CT221" s="485"/>
      <c r="CU221" s="485"/>
      <c r="CV221" s="485"/>
      <c r="CW221" s="485"/>
      <c r="CX221" s="485"/>
      <c r="CY221" s="485"/>
      <c r="CZ221" s="485"/>
      <c r="DA221" s="485"/>
      <c r="DB221" s="485"/>
      <c r="DC221" s="485"/>
      <c r="DD221" s="485"/>
      <c r="DE221" s="485"/>
      <c r="DF221" s="485"/>
      <c r="DG221" s="485"/>
      <c r="DH221" s="485"/>
      <c r="DI221" s="485"/>
      <c r="DJ221" s="485"/>
      <c r="DK221" s="485"/>
      <c r="DL221" s="485"/>
      <c r="DM221" s="485"/>
      <c r="DN221" s="485"/>
      <c r="DO221" s="485"/>
      <c r="DP221" s="485"/>
      <c r="DQ221" s="485"/>
      <c r="DR221" s="485"/>
      <c r="DS221" s="485"/>
      <c r="DT221" s="485"/>
    </row>
    <row r="222" spans="1:124" ht="23.5" customHeight="1" x14ac:dyDescent="0.25">
      <c r="A222" s="484"/>
      <c r="B222" s="136" t="s">
        <v>543</v>
      </c>
      <c r="C222" s="525">
        <v>424029</v>
      </c>
      <c r="D222" s="119"/>
      <c r="E222" s="406" t="s">
        <v>40</v>
      </c>
      <c r="F222" s="414" t="s">
        <v>616</v>
      </c>
      <c r="G222" s="415" t="s">
        <v>617</v>
      </c>
      <c r="H222" s="416">
        <v>1987</v>
      </c>
      <c r="I222" s="568" t="s">
        <v>563</v>
      </c>
      <c r="J222" s="578"/>
      <c r="K222" s="581">
        <v>84.4</v>
      </c>
      <c r="L222" s="456">
        <v>90</v>
      </c>
      <c r="M222" s="457">
        <v>95</v>
      </c>
      <c r="N222" s="596">
        <v>-100</v>
      </c>
      <c r="O222" s="490">
        <f t="shared" si="68"/>
        <v>95</v>
      </c>
      <c r="P222" s="456">
        <v>115</v>
      </c>
      <c r="Q222" s="457">
        <v>120</v>
      </c>
      <c r="R222" s="596">
        <v>-125</v>
      </c>
      <c r="S222" s="52">
        <f t="shared" si="61"/>
        <v>120</v>
      </c>
      <c r="T222" s="502">
        <f t="shared" si="69"/>
        <v>215</v>
      </c>
      <c r="U222" s="48" t="str">
        <f t="shared" si="62"/>
        <v>REG + 15</v>
      </c>
      <c r="V222" s="48" t="str">
        <f>IF(E222=0," ",IF(E222="H",IF(H222&lt;1999,VLOOKUP(K222,Minimas!$A$15:$F$29,6),IF(AND(H222&gt;1998,H222&lt;2002),VLOOKUP(K222,Minimas!$A$15:$F$29,5),IF(AND(H222&gt;2001,H222&lt;2004),VLOOKUP(K222,Minimas!$A$15:$F$29,4),IF(AND(H222&gt;2003,H222&lt;2006),VLOOKUP(K222,Minimas!$A$15:$F$29,3),VLOOKUP(K222,Minimas!$A$15:$F$29,2))))),IF(H222&lt;1999,VLOOKUP(K222,Minimas!$G$15:$L$29,6),IF(AND(H222&gt;1998,H222&lt;2002),VLOOKUP(K222,Minimas!$G$15:$L$29,5),IF(AND(H222&gt;2001,H222&lt;2004),VLOOKUP(K222,Minimas!$G$15:$L$29,4),IF(AND(H222&gt;2003,H222&lt;2006),VLOOKUP(K222,Minimas!$G$15:$L$29,3),VLOOKUP(K222,Minimas!$G$15:$L$29,2)))))))</f>
        <v>SE M89</v>
      </c>
      <c r="W222" s="49">
        <f t="shared" si="63"/>
        <v>256.12759812266108</v>
      </c>
      <c r="X222" s="257">
        <v>43484</v>
      </c>
      <c r="Y222" s="261" t="s">
        <v>630</v>
      </c>
      <c r="Z222" s="261" t="s">
        <v>581</v>
      </c>
      <c r="AA222" s="232"/>
      <c r="AB222" s="230">
        <f>T222-HLOOKUP(V222,Minimas!$C$3:$CD$12,2,FALSE)</f>
        <v>65</v>
      </c>
      <c r="AC222" s="230">
        <f>T222-HLOOKUP(V222,Minimas!$C$3:$CD$12,3,FALSE)</f>
        <v>40</v>
      </c>
      <c r="AD222" s="230">
        <f>T222-HLOOKUP(V222,Minimas!$C$3:$CD$12,4,FALSE)</f>
        <v>15</v>
      </c>
      <c r="AE222" s="230">
        <f>T222-HLOOKUP(V222,Minimas!$C$3:$CD$12,5,FALSE)</f>
        <v>-15</v>
      </c>
      <c r="AF222" s="230">
        <f>T222-HLOOKUP(V222,Minimas!$C$3:$CD$12,6,FALSE)</f>
        <v>-45</v>
      </c>
      <c r="AG222" s="230">
        <f>T222-HLOOKUP(V222,Minimas!$C$3:$CD$12,7,FALSE)</f>
        <v>-72</v>
      </c>
      <c r="AH222" s="230">
        <f>T222-HLOOKUP(V222,Minimas!$C$3:$CD$12,8,FALSE)</f>
        <v>-95</v>
      </c>
      <c r="AI222" s="230">
        <f>T222-HLOOKUP(V222,Minimas!$C$3:$CD$12,9,FALSE)</f>
        <v>-115</v>
      </c>
      <c r="AJ222" s="230">
        <f>T222-HLOOKUP(V222,Minimas!$C$3:$CD$12,10,FALSE)</f>
        <v>-145</v>
      </c>
      <c r="AK222" s="231" t="str">
        <f t="shared" si="64"/>
        <v>REG +</v>
      </c>
      <c r="AL222" s="232"/>
      <c r="AM222" s="232" t="str">
        <f t="shared" si="65"/>
        <v>REG +</v>
      </c>
      <c r="AN222" s="232">
        <f t="shared" si="66"/>
        <v>15</v>
      </c>
      <c r="AO222" s="232"/>
      <c r="AP222" s="485"/>
      <c r="AQ222" s="485"/>
      <c r="AR222" s="485"/>
      <c r="AS222" s="485"/>
      <c r="AT222" s="485"/>
      <c r="AU222" s="485"/>
      <c r="AV222" s="485"/>
      <c r="AW222" s="485"/>
      <c r="AX222" s="485"/>
      <c r="AY222" s="485"/>
      <c r="AZ222" s="485"/>
      <c r="BA222" s="485"/>
      <c r="BB222" s="485"/>
      <c r="BC222" s="485"/>
      <c r="BD222" s="485"/>
      <c r="BE222" s="485"/>
      <c r="BF222" s="485"/>
      <c r="BG222" s="485"/>
      <c r="BH222" s="485"/>
      <c r="BI222" s="485"/>
      <c r="BJ222" s="485"/>
      <c r="BK222" s="485"/>
      <c r="BL222" s="485"/>
      <c r="BM222" s="485"/>
      <c r="BN222" s="485"/>
      <c r="BO222" s="485"/>
      <c r="BP222" s="485"/>
      <c r="BQ222" s="485"/>
      <c r="BR222" s="485"/>
      <c r="BS222" s="485"/>
      <c r="BT222" s="485"/>
      <c r="BU222" s="485"/>
      <c r="BV222" s="485"/>
      <c r="BW222" s="485"/>
      <c r="BX222" s="485"/>
      <c r="BY222" s="485"/>
      <c r="BZ222" s="485"/>
      <c r="CA222" s="485"/>
      <c r="CB222" s="485"/>
      <c r="CC222" s="485"/>
      <c r="CD222" s="485"/>
      <c r="CE222" s="485"/>
      <c r="CF222" s="485"/>
      <c r="CG222" s="485"/>
      <c r="CH222" s="485"/>
      <c r="CI222" s="485"/>
      <c r="CJ222" s="485"/>
      <c r="CK222" s="485"/>
      <c r="CL222" s="485"/>
      <c r="CM222" s="485"/>
      <c r="CN222" s="485"/>
      <c r="CO222" s="485"/>
      <c r="CP222" s="485"/>
      <c r="CQ222" s="485"/>
      <c r="CR222" s="485"/>
      <c r="CS222" s="485"/>
      <c r="CT222" s="485"/>
      <c r="CU222" s="485"/>
      <c r="CV222" s="485"/>
      <c r="CW222" s="485"/>
      <c r="CX222" s="485"/>
      <c r="CY222" s="485"/>
      <c r="CZ222" s="485"/>
      <c r="DA222" s="485"/>
      <c r="DB222" s="485"/>
      <c r="DC222" s="485"/>
      <c r="DD222" s="485"/>
      <c r="DE222" s="485"/>
      <c r="DF222" s="485"/>
      <c r="DG222" s="485"/>
      <c r="DH222" s="485"/>
      <c r="DI222" s="485"/>
      <c r="DJ222" s="485"/>
      <c r="DK222" s="485"/>
      <c r="DL222" s="485"/>
      <c r="DM222" s="485"/>
      <c r="DN222" s="485"/>
      <c r="DO222" s="485"/>
      <c r="DP222" s="485"/>
      <c r="DQ222" s="485"/>
      <c r="DR222" s="485"/>
      <c r="DS222" s="485"/>
      <c r="DT222" s="485"/>
    </row>
    <row r="223" spans="1:124" ht="23.5" customHeight="1" x14ac:dyDescent="0.3">
      <c r="A223" s="484"/>
      <c r="B223" s="136" t="s">
        <v>543</v>
      </c>
      <c r="C223" s="525">
        <v>419438</v>
      </c>
      <c r="D223" s="119"/>
      <c r="E223" s="406" t="s">
        <v>40</v>
      </c>
      <c r="F223" s="414" t="s">
        <v>288</v>
      </c>
      <c r="G223" s="415" t="s">
        <v>289</v>
      </c>
      <c r="H223" s="416">
        <v>1982</v>
      </c>
      <c r="I223" s="568" t="s">
        <v>155</v>
      </c>
      <c r="J223" s="578" t="s">
        <v>44</v>
      </c>
      <c r="K223" s="581">
        <v>87.46</v>
      </c>
      <c r="L223" s="456">
        <v>80</v>
      </c>
      <c r="M223" s="457">
        <v>85</v>
      </c>
      <c r="N223" s="457">
        <v>90</v>
      </c>
      <c r="O223" s="490">
        <f t="shared" si="68"/>
        <v>90</v>
      </c>
      <c r="P223" s="452">
        <v>107</v>
      </c>
      <c r="Q223" s="453">
        <v>116</v>
      </c>
      <c r="R223" s="453">
        <v>125</v>
      </c>
      <c r="S223" s="490">
        <f t="shared" si="61"/>
        <v>125</v>
      </c>
      <c r="T223" s="502">
        <f t="shared" si="69"/>
        <v>215</v>
      </c>
      <c r="U223" s="48" t="str">
        <f t="shared" si="62"/>
        <v>REG + 15</v>
      </c>
      <c r="V223" s="48" t="str">
        <f>IF(E223=0," ",IF(E223="H",IF(H223&lt;1999,VLOOKUP(K223,Minimas!$A$15:$F$29,6),IF(AND(H223&gt;1998,H223&lt;2002),VLOOKUP(K223,Minimas!$A$15:$F$29,5),IF(AND(H223&gt;2001,H223&lt;2004),VLOOKUP(K223,Minimas!$A$15:$F$29,4),IF(AND(H223&gt;2003,H223&lt;2006),VLOOKUP(K223,Minimas!$A$15:$F$29,3),VLOOKUP(K223,Minimas!$A$15:$F$29,2))))),IF(H223&lt;1999,VLOOKUP(K223,Minimas!$G$15:$L$29,6),IF(AND(H223&gt;1998,H223&lt;2002),VLOOKUP(K223,Minimas!$G$15:$L$29,5),IF(AND(H223&gt;2001,H223&lt;2004),VLOOKUP(K223,Minimas!$G$15:$L$29,4),IF(AND(H223&gt;2003,H223&lt;2006),VLOOKUP(K223,Minimas!$G$15:$L$29,3),VLOOKUP(K223,Minimas!$G$15:$L$29,2)))))))</f>
        <v>SE M89</v>
      </c>
      <c r="W223" s="49">
        <f t="shared" si="63"/>
        <v>251.90710564222769</v>
      </c>
      <c r="X223" s="184">
        <v>43401</v>
      </c>
      <c r="Y223" s="284" t="s">
        <v>507</v>
      </c>
      <c r="Z223" s="284" t="s">
        <v>506</v>
      </c>
      <c r="AA223" s="232"/>
      <c r="AB223" s="230">
        <f>T223-HLOOKUP(V223,Minimas!$C$3:$CD$12,2,FALSE)</f>
        <v>65</v>
      </c>
      <c r="AC223" s="230">
        <f>T223-HLOOKUP(V223,Minimas!$C$3:$CD$12,3,FALSE)</f>
        <v>40</v>
      </c>
      <c r="AD223" s="230">
        <f>T223-HLOOKUP(V223,Minimas!$C$3:$CD$12,4,FALSE)</f>
        <v>15</v>
      </c>
      <c r="AE223" s="230">
        <f>T223-HLOOKUP(V223,Minimas!$C$3:$CD$12,5,FALSE)</f>
        <v>-15</v>
      </c>
      <c r="AF223" s="230">
        <f>T223-HLOOKUP(V223,Minimas!$C$3:$CD$12,6,FALSE)</f>
        <v>-45</v>
      </c>
      <c r="AG223" s="230">
        <f>T223-HLOOKUP(V223,Minimas!$C$3:$CD$12,7,FALSE)</f>
        <v>-72</v>
      </c>
      <c r="AH223" s="230">
        <f>T223-HLOOKUP(V223,Minimas!$C$3:$CD$12,8,FALSE)</f>
        <v>-95</v>
      </c>
      <c r="AI223" s="230">
        <f>T223-HLOOKUP(V223,Minimas!$C$3:$CD$12,9,FALSE)</f>
        <v>-115</v>
      </c>
      <c r="AJ223" s="230">
        <f>T223-HLOOKUP(V223,Minimas!$C$3:$CD$12,10,FALSE)</f>
        <v>-145</v>
      </c>
      <c r="AK223" s="231" t="str">
        <f t="shared" si="64"/>
        <v>REG +</v>
      </c>
      <c r="AL223" s="232"/>
      <c r="AM223" s="232" t="str">
        <f t="shared" si="65"/>
        <v>REG +</v>
      </c>
      <c r="AN223" s="232">
        <f t="shared" si="66"/>
        <v>15</v>
      </c>
      <c r="AO223" s="232"/>
      <c r="AP223" s="485"/>
      <c r="AQ223" s="485"/>
      <c r="AR223" s="485"/>
      <c r="AS223" s="485"/>
      <c r="AT223" s="485"/>
      <c r="AU223" s="485"/>
      <c r="AV223" s="485"/>
      <c r="AW223" s="485"/>
      <c r="AX223" s="485"/>
      <c r="AY223" s="485"/>
      <c r="AZ223" s="485"/>
      <c r="BA223" s="485"/>
      <c r="BB223" s="485"/>
      <c r="BC223" s="485"/>
      <c r="BD223" s="485"/>
      <c r="BE223" s="485"/>
      <c r="BF223" s="485"/>
      <c r="BG223" s="485"/>
      <c r="BH223" s="485"/>
      <c r="BI223" s="485"/>
      <c r="BJ223" s="485"/>
      <c r="BK223" s="485"/>
      <c r="BL223" s="485"/>
      <c r="BM223" s="485"/>
      <c r="BN223" s="485"/>
      <c r="BO223" s="485"/>
      <c r="BP223" s="485"/>
      <c r="BQ223" s="485"/>
      <c r="BR223" s="485"/>
      <c r="BS223" s="485"/>
      <c r="BT223" s="485"/>
      <c r="BU223" s="485"/>
      <c r="BV223" s="485"/>
      <c r="BW223" s="485"/>
      <c r="BX223" s="485"/>
      <c r="BY223" s="485"/>
      <c r="BZ223" s="485"/>
      <c r="CA223" s="485"/>
      <c r="CB223" s="485"/>
      <c r="CC223" s="485"/>
      <c r="CD223" s="485"/>
      <c r="CE223" s="485"/>
      <c r="CF223" s="485"/>
      <c r="CG223" s="485"/>
      <c r="CH223" s="485"/>
      <c r="CI223" s="485"/>
      <c r="CJ223" s="485"/>
      <c r="CK223" s="485"/>
      <c r="CL223" s="485"/>
      <c r="CM223" s="485"/>
      <c r="CN223" s="485"/>
      <c r="CO223" s="485"/>
      <c r="CP223" s="485"/>
      <c r="CQ223" s="485"/>
      <c r="CR223" s="485"/>
      <c r="CS223" s="485"/>
      <c r="CT223" s="485"/>
      <c r="CU223" s="485"/>
      <c r="CV223" s="485"/>
      <c r="CW223" s="485"/>
      <c r="CX223" s="485"/>
      <c r="CY223" s="485"/>
      <c r="CZ223" s="485"/>
      <c r="DA223" s="485"/>
      <c r="DB223" s="485"/>
      <c r="DC223" s="485"/>
      <c r="DD223" s="485"/>
      <c r="DE223" s="485"/>
      <c r="DF223" s="485"/>
      <c r="DG223" s="485"/>
      <c r="DH223" s="485"/>
      <c r="DI223" s="485"/>
      <c r="DJ223" s="485"/>
      <c r="DK223" s="485"/>
      <c r="DL223" s="485"/>
      <c r="DM223" s="485"/>
      <c r="DN223" s="485"/>
      <c r="DO223" s="485"/>
      <c r="DP223" s="485"/>
      <c r="DQ223" s="485"/>
      <c r="DR223" s="485"/>
      <c r="DS223" s="485"/>
      <c r="DT223" s="485"/>
    </row>
    <row r="224" spans="1:124" ht="23.5" customHeight="1" x14ac:dyDescent="0.25">
      <c r="A224" s="484"/>
      <c r="B224" s="136" t="s">
        <v>543</v>
      </c>
      <c r="C224" s="499">
        <v>407302</v>
      </c>
      <c r="D224" s="167"/>
      <c r="E224" s="323" t="s">
        <v>40</v>
      </c>
      <c r="F224" s="328" t="s">
        <v>550</v>
      </c>
      <c r="G224" s="487" t="s">
        <v>551</v>
      </c>
      <c r="H224" s="563">
        <v>1979</v>
      </c>
      <c r="I224" s="571" t="s">
        <v>546</v>
      </c>
      <c r="J224" s="498" t="s">
        <v>44</v>
      </c>
      <c r="K224" s="297">
        <v>88.1</v>
      </c>
      <c r="L224" s="300">
        <v>90</v>
      </c>
      <c r="M224" s="301">
        <v>95</v>
      </c>
      <c r="N224" s="301">
        <v>98</v>
      </c>
      <c r="O224" s="802">
        <f t="shared" si="68"/>
        <v>98</v>
      </c>
      <c r="P224" s="300">
        <v>112</v>
      </c>
      <c r="Q224" s="301">
        <v>117</v>
      </c>
      <c r="R224" s="449">
        <v>-122</v>
      </c>
      <c r="S224" s="490">
        <f t="shared" si="61"/>
        <v>117</v>
      </c>
      <c r="T224" s="502">
        <f t="shared" si="69"/>
        <v>215</v>
      </c>
      <c r="U224" s="48" t="str">
        <f t="shared" si="62"/>
        <v>REG + 15</v>
      </c>
      <c r="V224" s="48" t="str">
        <f>IF(E224=0," ",IF(E224="H",IF(H224&lt;1999,VLOOKUP(K224,Minimas!$A$15:$F$29,6),IF(AND(H224&gt;1998,H224&lt;2002),VLOOKUP(K224,Minimas!$A$15:$F$29,5),IF(AND(H224&gt;2001,H224&lt;2004),VLOOKUP(K224,Minimas!$A$15:$F$29,4),IF(AND(H224&gt;2003,H224&lt;2006),VLOOKUP(K224,Minimas!$A$15:$F$29,3),VLOOKUP(K224,Minimas!$A$15:$F$29,2))))),IF(H224&lt;1999,VLOOKUP(K224,Minimas!$G$15:$L$29,6),IF(AND(H224&gt;1998,H224&lt;2002),VLOOKUP(K224,Minimas!$G$15:$L$29,5),IF(AND(H224&gt;2001,H224&lt;2004),VLOOKUP(K224,Minimas!$G$15:$L$29,4),IF(AND(H224&gt;2003,H224&lt;2006),VLOOKUP(K224,Minimas!$G$15:$L$29,3),VLOOKUP(K224,Minimas!$G$15:$L$29,2)))))))</f>
        <v>SE M89</v>
      </c>
      <c r="W224" s="49">
        <f t="shared" si="63"/>
        <v>251.07734111513787</v>
      </c>
      <c r="X224" s="257">
        <v>43484</v>
      </c>
      <c r="Y224" s="261" t="s">
        <v>630</v>
      </c>
      <c r="Z224" s="261" t="s">
        <v>511</v>
      </c>
      <c r="AA224" s="232"/>
      <c r="AB224" s="230">
        <f>T224-HLOOKUP(V224,Minimas!$C$3:$CD$12,2,FALSE)</f>
        <v>65</v>
      </c>
      <c r="AC224" s="230">
        <f>T224-HLOOKUP(V224,Minimas!$C$3:$CD$12,3,FALSE)</f>
        <v>40</v>
      </c>
      <c r="AD224" s="230">
        <f>T224-HLOOKUP(V224,Minimas!$C$3:$CD$12,4,FALSE)</f>
        <v>15</v>
      </c>
      <c r="AE224" s="230">
        <f>T224-HLOOKUP(V224,Minimas!$C$3:$CD$12,5,FALSE)</f>
        <v>-15</v>
      </c>
      <c r="AF224" s="230">
        <f>T224-HLOOKUP(V224,Minimas!$C$3:$CD$12,6,FALSE)</f>
        <v>-45</v>
      </c>
      <c r="AG224" s="230">
        <f>T224-HLOOKUP(V224,Minimas!$C$3:$CD$12,7,FALSE)</f>
        <v>-72</v>
      </c>
      <c r="AH224" s="230">
        <f>T224-HLOOKUP(V224,Minimas!$C$3:$CD$12,8,FALSE)</f>
        <v>-95</v>
      </c>
      <c r="AI224" s="230">
        <f>T224-HLOOKUP(V224,Minimas!$C$3:$CD$12,9,FALSE)</f>
        <v>-115</v>
      </c>
      <c r="AJ224" s="230">
        <f>T224-HLOOKUP(V224,Minimas!$C$3:$CD$12,10,FALSE)</f>
        <v>-145</v>
      </c>
      <c r="AK224" s="231" t="str">
        <f t="shared" si="64"/>
        <v>REG +</v>
      </c>
      <c r="AL224" s="232"/>
      <c r="AM224" s="232" t="str">
        <f t="shared" si="65"/>
        <v>REG +</v>
      </c>
      <c r="AN224" s="232">
        <f t="shared" si="66"/>
        <v>15</v>
      </c>
      <c r="AO224" s="232"/>
      <c r="AP224" s="485"/>
      <c r="AQ224" s="485"/>
      <c r="AR224" s="485"/>
      <c r="AS224" s="485"/>
      <c r="AT224" s="485"/>
      <c r="AU224" s="485"/>
      <c r="AV224" s="485"/>
      <c r="AW224" s="485"/>
      <c r="AX224" s="485"/>
      <c r="AY224" s="485"/>
      <c r="AZ224" s="485"/>
      <c r="BA224" s="485"/>
      <c r="BB224" s="485"/>
      <c r="BC224" s="485"/>
      <c r="BD224" s="485"/>
      <c r="BE224" s="485"/>
      <c r="BF224" s="485"/>
      <c r="BG224" s="485"/>
      <c r="BH224" s="485"/>
      <c r="BI224" s="485"/>
      <c r="BJ224" s="485"/>
      <c r="BK224" s="485"/>
      <c r="BL224" s="485"/>
      <c r="BM224" s="485"/>
      <c r="BN224" s="485"/>
      <c r="BO224" s="485"/>
      <c r="BP224" s="485"/>
      <c r="BQ224" s="485"/>
      <c r="BR224" s="485"/>
      <c r="BS224" s="485"/>
      <c r="BT224" s="485"/>
      <c r="BU224" s="485"/>
      <c r="BV224" s="485"/>
      <c r="BW224" s="485"/>
      <c r="BX224" s="485"/>
      <c r="BY224" s="485"/>
      <c r="BZ224" s="485"/>
      <c r="CA224" s="485"/>
      <c r="CB224" s="485"/>
      <c r="CC224" s="485"/>
      <c r="CD224" s="485"/>
      <c r="CE224" s="485"/>
      <c r="CF224" s="485"/>
      <c r="CG224" s="485"/>
      <c r="CH224" s="485"/>
      <c r="CI224" s="485"/>
      <c r="CJ224" s="485"/>
      <c r="CK224" s="485"/>
      <c r="CL224" s="485"/>
      <c r="CM224" s="485"/>
      <c r="CN224" s="485"/>
      <c r="CO224" s="485"/>
      <c r="CP224" s="485"/>
      <c r="CQ224" s="485"/>
      <c r="CR224" s="485"/>
      <c r="CS224" s="485"/>
      <c r="CT224" s="485"/>
      <c r="CU224" s="485"/>
      <c r="CV224" s="485"/>
      <c r="CW224" s="485"/>
      <c r="CX224" s="485"/>
      <c r="CY224" s="485"/>
      <c r="CZ224" s="485"/>
      <c r="DA224" s="485"/>
      <c r="DB224" s="485"/>
      <c r="DC224" s="485"/>
      <c r="DD224" s="485"/>
      <c r="DE224" s="485"/>
      <c r="DF224" s="485"/>
      <c r="DG224" s="485"/>
      <c r="DH224" s="485"/>
      <c r="DI224" s="485"/>
      <c r="DJ224" s="485"/>
      <c r="DK224" s="485"/>
      <c r="DL224" s="485"/>
      <c r="DM224" s="485"/>
      <c r="DN224" s="485"/>
      <c r="DO224" s="485"/>
      <c r="DP224" s="485"/>
      <c r="DQ224" s="485"/>
      <c r="DR224" s="485"/>
      <c r="DS224" s="485"/>
      <c r="DT224" s="485"/>
    </row>
    <row r="225" spans="1:124" ht="23.15" customHeight="1" x14ac:dyDescent="0.25">
      <c r="A225" s="484"/>
      <c r="B225" s="685" t="s">
        <v>543</v>
      </c>
      <c r="C225" s="499">
        <v>406996</v>
      </c>
      <c r="D225" s="167"/>
      <c r="E225" s="323" t="s">
        <v>40</v>
      </c>
      <c r="F225" s="328" t="s">
        <v>468</v>
      </c>
      <c r="G225" s="487" t="s">
        <v>469</v>
      </c>
      <c r="H225" s="563">
        <v>1986</v>
      </c>
      <c r="I225" s="648" t="s">
        <v>418</v>
      </c>
      <c r="J225" s="498" t="s">
        <v>44</v>
      </c>
      <c r="K225" s="488">
        <v>86.3</v>
      </c>
      <c r="L225" s="300">
        <v>85</v>
      </c>
      <c r="M225" s="301">
        <v>90</v>
      </c>
      <c r="N225" s="301">
        <v>92</v>
      </c>
      <c r="O225" s="490">
        <f t="shared" si="68"/>
        <v>92</v>
      </c>
      <c r="P225" s="300">
        <v>115</v>
      </c>
      <c r="Q225" s="301">
        <v>120</v>
      </c>
      <c r="R225" s="301">
        <v>122</v>
      </c>
      <c r="S225" s="490">
        <f t="shared" si="61"/>
        <v>122</v>
      </c>
      <c r="T225" s="502">
        <f t="shared" si="69"/>
        <v>214</v>
      </c>
      <c r="U225" s="48" t="str">
        <f t="shared" si="62"/>
        <v>REG + 14</v>
      </c>
      <c r="V225" s="48" t="str">
        <f>IF(E225=0," ",IF(E225="H",IF(H225&lt;1999,VLOOKUP(K225,[10]Minimas!$A$15:$F$29,6),IF(AND(H225&gt;1998,H225&lt;2002),VLOOKUP(K225,[10]Minimas!$A$15:$F$29,5),IF(AND(H225&gt;2001,H225&lt;2004),VLOOKUP(K225,[10]Minimas!$A$15:$F$29,4),IF(AND(H225&gt;2003,H225&lt;2006),VLOOKUP(K225,[10]Minimas!$A$15:$F$29,3),VLOOKUP(K225,[10]Minimas!$A$15:$F$29,2))))),IF(H225&lt;1999,VLOOKUP(K225,[10]Minimas!$G$15:$L$29,6),IF(AND(H225&gt;1998,H225&lt;2002),VLOOKUP(K225,[10]Minimas!$G$15:$L$29,5),IF(AND(H225&gt;2001,H225&lt;2004),VLOOKUP(K225,[10]Minimas!$G$15:$L$29,4),IF(AND(H225&gt;2003,H225&lt;2006),VLOOKUP(K225,[10]Minimas!$G$15:$L$29,3),VLOOKUP(K225,[10]Minimas!$G$15:$L$29,2)))))))</f>
        <v>SE M89</v>
      </c>
      <c r="W225" s="49">
        <f t="shared" si="63"/>
        <v>252.27770946393846</v>
      </c>
      <c r="X225" s="257">
        <v>43555</v>
      </c>
      <c r="Y225" s="261" t="s">
        <v>805</v>
      </c>
      <c r="Z225" s="261" t="s">
        <v>661</v>
      </c>
      <c r="AA225" s="232"/>
      <c r="AB225" s="230">
        <f>T225-HLOOKUP(V225,[10]Minimas!$C$3:$CD$12,2,FALSE)</f>
        <v>64</v>
      </c>
      <c r="AC225" s="230">
        <f>T225-HLOOKUP(V225,[10]Minimas!$C$3:$CD$12,3,FALSE)</f>
        <v>39</v>
      </c>
      <c r="AD225" s="230">
        <f>T225-HLOOKUP(V225,[10]Minimas!$C$3:$CD$12,4,FALSE)</f>
        <v>14</v>
      </c>
      <c r="AE225" s="230">
        <f>T225-HLOOKUP(V225,[10]Minimas!$C$3:$CD$12,5,FALSE)</f>
        <v>-16</v>
      </c>
      <c r="AF225" s="230">
        <f>T225-HLOOKUP(V225,[10]Minimas!$C$3:$CD$12,6,FALSE)</f>
        <v>-46</v>
      </c>
      <c r="AG225" s="230">
        <f>T225-HLOOKUP(V225,[10]Minimas!$C$3:$CD$12,7,FALSE)</f>
        <v>-73</v>
      </c>
      <c r="AH225" s="230">
        <f>T225-HLOOKUP(V225,[10]Minimas!$C$3:$CD$12,8,FALSE)</f>
        <v>-96</v>
      </c>
      <c r="AI225" s="230">
        <f>T225-HLOOKUP(V225,[10]Minimas!$C$3:$CD$12,9,FALSE)</f>
        <v>-116</v>
      </c>
      <c r="AJ225" s="230">
        <f>T225-HLOOKUP(V225,[10]Minimas!$C$3:$CD$12,10,FALSE)</f>
        <v>-146</v>
      </c>
      <c r="AK225" s="231" t="str">
        <f t="shared" si="64"/>
        <v>REG +</v>
      </c>
      <c r="AL225" s="232"/>
      <c r="AM225" s="232" t="str">
        <f t="shared" si="65"/>
        <v>REG +</v>
      </c>
      <c r="AN225" s="232">
        <f t="shared" si="66"/>
        <v>14</v>
      </c>
      <c r="AO225" s="232"/>
      <c r="AP225" s="485"/>
      <c r="AQ225" s="485"/>
      <c r="AR225" s="485"/>
      <c r="AS225" s="485"/>
      <c r="AT225" s="485"/>
      <c r="AU225" s="485"/>
      <c r="AV225" s="485"/>
      <c r="AW225" s="485"/>
      <c r="AX225" s="485"/>
      <c r="AY225" s="485"/>
      <c r="AZ225" s="485"/>
      <c r="BA225" s="485"/>
      <c r="BB225" s="485"/>
      <c r="BC225" s="485"/>
      <c r="BD225" s="485"/>
      <c r="BE225" s="485"/>
      <c r="BF225" s="485"/>
      <c r="BG225" s="485"/>
      <c r="BH225" s="485"/>
      <c r="BI225" s="485"/>
      <c r="BJ225" s="485"/>
      <c r="BK225" s="485"/>
      <c r="BL225" s="485"/>
      <c r="BM225" s="485"/>
      <c r="BN225" s="485"/>
      <c r="BO225" s="485"/>
      <c r="BP225" s="485"/>
      <c r="BQ225" s="485"/>
      <c r="BR225" s="485"/>
      <c r="BS225" s="485"/>
      <c r="BT225" s="485"/>
      <c r="BU225" s="485"/>
      <c r="BV225" s="485"/>
      <c r="BW225" s="485"/>
      <c r="BX225" s="485"/>
      <c r="BY225" s="485"/>
      <c r="BZ225" s="485"/>
      <c r="CA225" s="485"/>
      <c r="CB225" s="485"/>
      <c r="CC225" s="485"/>
      <c r="CD225" s="485"/>
      <c r="CE225" s="485"/>
      <c r="CF225" s="485"/>
      <c r="CG225" s="485"/>
      <c r="CH225" s="485"/>
      <c r="CI225" s="485"/>
      <c r="CJ225" s="485"/>
      <c r="CK225" s="485"/>
      <c r="CL225" s="485"/>
      <c r="CM225" s="485"/>
      <c r="CN225" s="485"/>
      <c r="CO225" s="485"/>
      <c r="CP225" s="485"/>
      <c r="CQ225" s="485"/>
      <c r="CR225" s="485"/>
      <c r="CS225" s="485"/>
      <c r="CT225" s="485"/>
      <c r="CU225" s="485"/>
      <c r="CV225" s="485"/>
      <c r="CW225" s="485"/>
      <c r="CX225" s="485"/>
      <c r="CY225" s="485"/>
      <c r="CZ225" s="485"/>
      <c r="DA225" s="485"/>
      <c r="DB225" s="485"/>
      <c r="DC225" s="485"/>
      <c r="DD225" s="485"/>
      <c r="DE225" s="485"/>
      <c r="DF225" s="485"/>
      <c r="DG225" s="485"/>
      <c r="DH225" s="485"/>
      <c r="DI225" s="485"/>
      <c r="DJ225" s="485"/>
      <c r="DK225" s="485"/>
      <c r="DL225" s="485"/>
      <c r="DM225" s="485"/>
      <c r="DN225" s="485"/>
      <c r="DO225" s="485"/>
      <c r="DP225" s="485"/>
      <c r="DQ225" s="485"/>
      <c r="DR225" s="485"/>
      <c r="DS225" s="485"/>
      <c r="DT225" s="485"/>
    </row>
    <row r="226" spans="1:124" ht="23.5" customHeight="1" x14ac:dyDescent="0.3">
      <c r="A226" s="484"/>
      <c r="B226" s="136" t="s">
        <v>543</v>
      </c>
      <c r="C226" s="525">
        <v>445669</v>
      </c>
      <c r="D226" s="119"/>
      <c r="E226" s="406" t="s">
        <v>40</v>
      </c>
      <c r="F226" s="414" t="s">
        <v>446</v>
      </c>
      <c r="G226" s="415" t="s">
        <v>424</v>
      </c>
      <c r="H226" s="416">
        <v>1989</v>
      </c>
      <c r="I226" s="568" t="s">
        <v>195</v>
      </c>
      <c r="J226" s="578" t="s">
        <v>44</v>
      </c>
      <c r="K226" s="581">
        <v>89</v>
      </c>
      <c r="L226" s="452">
        <v>80</v>
      </c>
      <c r="M226" s="453">
        <v>85</v>
      </c>
      <c r="N226" s="453">
        <v>90</v>
      </c>
      <c r="O226" s="52">
        <f t="shared" si="68"/>
        <v>90</v>
      </c>
      <c r="P226" s="452">
        <v>107</v>
      </c>
      <c r="Q226" s="453">
        <v>112</v>
      </c>
      <c r="R226" s="453">
        <v>120</v>
      </c>
      <c r="S226" s="52">
        <f t="shared" ref="S226:S257" si="70">IF(E226="","",IF(MAXA(P226:R226)&lt;=0,0,MAXA(P226:R226)))</f>
        <v>120</v>
      </c>
      <c r="T226" s="502">
        <f t="shared" si="69"/>
        <v>210</v>
      </c>
      <c r="U226" s="48" t="str">
        <f t="shared" ref="U226:U257" si="71">+CONCATENATE(AM226," ",AN226)</f>
        <v>REG + 10</v>
      </c>
      <c r="V226" s="48" t="str">
        <f>IF(E226=0," ",IF(E226="H",IF(H226&lt;1999,VLOOKUP(K226,Minimas!$A$15:$F$29,6),IF(AND(H226&gt;1998,H226&lt;2002),VLOOKUP(K226,Minimas!$A$15:$F$29,5),IF(AND(H226&gt;2001,H226&lt;2004),VLOOKUP(K226,Minimas!$A$15:$F$29,4),IF(AND(H226&gt;2003,H226&lt;2006),VLOOKUP(K226,Minimas!$A$15:$F$29,3),VLOOKUP(K226,Minimas!$A$15:$F$29,2))))),IF(H226&lt;1999,VLOOKUP(K226,Minimas!$G$15:$L$29,6),IF(AND(H226&gt;1998,H226&lt;2002),VLOOKUP(K226,Minimas!$G$15:$L$29,5),IF(AND(H226&gt;2001,H226&lt;2004),VLOOKUP(K226,Minimas!$G$15:$L$29,4),IF(AND(H226&gt;2003,H226&lt;2006),VLOOKUP(K226,Minimas!$G$15:$L$29,3),VLOOKUP(K226,Minimas!$G$15:$L$29,2)))))))</f>
        <v>SE M89</v>
      </c>
      <c r="W226" s="49">
        <f t="shared" ref="W226:W257" si="72">IF(E226=" "," ",IF(E226="H",10^(0.75194503*LOG(K226/175.508)^2)*T226,IF(E226="F",10^(0.783497476* LOG(K226/153.655)^2)*T226,"")))</f>
        <v>244.12711487143201</v>
      </c>
      <c r="X226" s="184">
        <v>43429</v>
      </c>
      <c r="Y226" s="284" t="s">
        <v>509</v>
      </c>
      <c r="Z226" s="284" t="s">
        <v>510</v>
      </c>
      <c r="AA226" s="232"/>
      <c r="AB226" s="230">
        <f>T226-HLOOKUP(V226,Minimas!$C$3:$CD$12,2,FALSE)</f>
        <v>60</v>
      </c>
      <c r="AC226" s="230">
        <f>T226-HLOOKUP(V226,Minimas!$C$3:$CD$12,3,FALSE)</f>
        <v>35</v>
      </c>
      <c r="AD226" s="230">
        <f>T226-HLOOKUP(V226,Minimas!$C$3:$CD$12,4,FALSE)</f>
        <v>10</v>
      </c>
      <c r="AE226" s="230">
        <f>T226-HLOOKUP(V226,Minimas!$C$3:$CD$12,5,FALSE)</f>
        <v>-20</v>
      </c>
      <c r="AF226" s="230">
        <f>T226-HLOOKUP(V226,Minimas!$C$3:$CD$12,6,FALSE)</f>
        <v>-50</v>
      </c>
      <c r="AG226" s="230">
        <f>T226-HLOOKUP(V226,Minimas!$C$3:$CD$12,7,FALSE)</f>
        <v>-77</v>
      </c>
      <c r="AH226" s="230">
        <f>T226-HLOOKUP(V226,Minimas!$C$3:$CD$12,8,FALSE)</f>
        <v>-100</v>
      </c>
      <c r="AI226" s="230">
        <f>T226-HLOOKUP(V226,Minimas!$C$3:$CD$12,9,FALSE)</f>
        <v>-120</v>
      </c>
      <c r="AJ226" s="230">
        <f>T226-HLOOKUP(V226,Minimas!$C$3:$CD$12,10,FALSE)</f>
        <v>-150</v>
      </c>
      <c r="AK226" s="231" t="str">
        <f t="shared" ref="AK226:AK257" si="73">IF(E226=0," ",IF(AJ226&gt;=0,$AJ$5,IF(AI226&gt;=0,$AI$5,IF(AH226&gt;=0,$AH$5,IF(AG226&gt;=0,$AG$5,IF(AF226&gt;=0,$AF$5,IF(AE226&gt;=0,$AE$5,IF(AD226&gt;=0,$AD$5,IF(AC226&gt;=0,$AC$5,$AB$5)))))))))</f>
        <v>REG +</v>
      </c>
      <c r="AL226" s="232"/>
      <c r="AM226" s="232" t="str">
        <f t="shared" ref="AM226:AM257" si="74">IF(AK226="","",AK226)</f>
        <v>REG +</v>
      </c>
      <c r="AN226" s="232">
        <f t="shared" ref="AN226:AN257" si="75">IF(E226=0," ",IF(AJ226&gt;=0,AJ226,IF(AI226&gt;=0,AI226,IF(AH226&gt;=0,AH226,IF(AG226&gt;=0,AG226,IF(AF226&gt;=0,AF226,IF(AE226&gt;=0,AE226,IF(AD226&gt;=0,AD226,IF(AC226&gt;=0,AC226,AB226)))))))))</f>
        <v>10</v>
      </c>
      <c r="AO226" s="232"/>
      <c r="AP226" s="485"/>
      <c r="AQ226" s="485"/>
      <c r="AR226" s="485"/>
      <c r="AS226" s="485"/>
      <c r="AT226" s="485"/>
      <c r="AU226" s="485"/>
      <c r="AV226" s="485"/>
      <c r="AW226" s="485"/>
      <c r="AX226" s="485"/>
      <c r="AY226" s="485"/>
      <c r="AZ226" s="485"/>
      <c r="BA226" s="485"/>
      <c r="BB226" s="485"/>
      <c r="BC226" s="485"/>
      <c r="BD226" s="485"/>
      <c r="BE226" s="485"/>
      <c r="BF226" s="485"/>
      <c r="BG226" s="485"/>
      <c r="BH226" s="485"/>
      <c r="BI226" s="485"/>
      <c r="BJ226" s="485"/>
      <c r="BK226" s="485"/>
      <c r="BL226" s="485"/>
      <c r="BM226" s="485"/>
      <c r="BN226" s="485"/>
      <c r="BO226" s="485"/>
      <c r="BP226" s="485"/>
      <c r="BQ226" s="485"/>
      <c r="BR226" s="485"/>
      <c r="BS226" s="485"/>
      <c r="BT226" s="485"/>
      <c r="BU226" s="485"/>
      <c r="BV226" s="485"/>
      <c r="BW226" s="485"/>
      <c r="BX226" s="485"/>
      <c r="BY226" s="485"/>
      <c r="BZ226" s="485"/>
      <c r="CA226" s="485"/>
      <c r="CB226" s="485"/>
      <c r="CC226" s="485"/>
      <c r="CD226" s="485"/>
      <c r="CE226" s="485"/>
      <c r="CF226" s="485"/>
      <c r="CG226" s="485"/>
      <c r="CH226" s="485"/>
      <c r="CI226" s="485"/>
      <c r="CJ226" s="485"/>
      <c r="CK226" s="485"/>
      <c r="CL226" s="485"/>
      <c r="CM226" s="485"/>
      <c r="CN226" s="485"/>
      <c r="CO226" s="485"/>
      <c r="CP226" s="485"/>
      <c r="CQ226" s="485"/>
      <c r="CR226" s="485"/>
      <c r="CS226" s="485"/>
      <c r="CT226" s="485"/>
      <c r="CU226" s="485"/>
      <c r="CV226" s="485"/>
      <c r="CW226" s="485"/>
      <c r="CX226" s="485"/>
      <c r="CY226" s="485"/>
      <c r="CZ226" s="485"/>
      <c r="DA226" s="485"/>
      <c r="DB226" s="485"/>
      <c r="DC226" s="485"/>
      <c r="DD226" s="485"/>
      <c r="DE226" s="485"/>
      <c r="DF226" s="485"/>
      <c r="DG226" s="485"/>
      <c r="DH226" s="485"/>
      <c r="DI226" s="485"/>
      <c r="DJ226" s="485"/>
      <c r="DK226" s="485"/>
      <c r="DL226" s="485"/>
      <c r="DM226" s="485"/>
      <c r="DN226" s="485"/>
      <c r="DO226" s="485"/>
      <c r="DP226" s="485"/>
      <c r="DQ226" s="485"/>
      <c r="DR226" s="485"/>
      <c r="DS226" s="485"/>
      <c r="DT226" s="485"/>
    </row>
    <row r="227" spans="1:124" ht="23.15" customHeight="1" x14ac:dyDescent="0.3">
      <c r="A227" s="484"/>
      <c r="B227" s="136" t="s">
        <v>543</v>
      </c>
      <c r="C227" s="525">
        <v>431517</v>
      </c>
      <c r="D227" s="122"/>
      <c r="E227" s="406" t="s">
        <v>40</v>
      </c>
      <c r="F227" s="414" t="s">
        <v>391</v>
      </c>
      <c r="G227" s="415" t="s">
        <v>351</v>
      </c>
      <c r="H227" s="416">
        <v>1987</v>
      </c>
      <c r="I227" s="753" t="s">
        <v>170</v>
      </c>
      <c r="J227" s="578" t="s">
        <v>44</v>
      </c>
      <c r="K227" s="846">
        <v>85.9</v>
      </c>
      <c r="L227" s="456">
        <v>85</v>
      </c>
      <c r="M227" s="457">
        <v>90</v>
      </c>
      <c r="N227" s="457">
        <v>95</v>
      </c>
      <c r="O227" s="490">
        <f t="shared" si="68"/>
        <v>95</v>
      </c>
      <c r="P227" s="452">
        <v>105</v>
      </c>
      <c r="Q227" s="453">
        <v>110</v>
      </c>
      <c r="R227" s="597">
        <v>-115</v>
      </c>
      <c r="S227" s="490">
        <f t="shared" si="70"/>
        <v>110</v>
      </c>
      <c r="T227" s="502">
        <f t="shared" si="69"/>
        <v>205</v>
      </c>
      <c r="U227" s="48" t="str">
        <f t="shared" si="71"/>
        <v>REG + 5</v>
      </c>
      <c r="V227" s="48" t="str">
        <f>IF(E227=0," ",IF(E227="H",IF(H227&lt;1999,VLOOKUP(K227,Minimas!$A$15:$F$29,6),IF(AND(H227&gt;1998,H227&lt;2002),VLOOKUP(K227,Minimas!$A$15:$F$29,5),IF(AND(H227&gt;2001,H227&lt;2004),VLOOKUP(K227,Minimas!$A$15:$F$29,4),IF(AND(H227&gt;2003,H227&lt;2006),VLOOKUP(K227,Minimas!$A$15:$F$29,3),VLOOKUP(K227,Minimas!$A$15:$F$29,2))))),IF(H227&lt;1999,VLOOKUP(K227,Minimas!$G$15:$L$29,6),IF(AND(H227&gt;1998,H227&lt;2002),VLOOKUP(K227,Minimas!$G$15:$L$29,5),IF(AND(H227&gt;2001,H227&lt;2004),VLOOKUP(K227,Minimas!$G$15:$L$29,4),IF(AND(H227&gt;2003,H227&lt;2006),VLOOKUP(K227,Minimas!$G$15:$L$29,3),VLOOKUP(K227,Minimas!$G$15:$L$29,2)))))))</f>
        <v>SE M89</v>
      </c>
      <c r="W227" s="49">
        <f t="shared" si="72"/>
        <v>242.1906983381773</v>
      </c>
      <c r="X227" s="184">
        <v>43401</v>
      </c>
      <c r="Y227" s="284" t="s">
        <v>507</v>
      </c>
      <c r="Z227" s="284" t="s">
        <v>506</v>
      </c>
      <c r="AA227" s="232"/>
      <c r="AB227" s="230">
        <f>T227-HLOOKUP(V227,Minimas!$C$3:$CD$12,2,FALSE)</f>
        <v>55</v>
      </c>
      <c r="AC227" s="230">
        <f>T227-HLOOKUP(V227,Minimas!$C$3:$CD$12,3,FALSE)</f>
        <v>30</v>
      </c>
      <c r="AD227" s="230">
        <f>T227-HLOOKUP(V227,Minimas!$C$3:$CD$12,4,FALSE)</f>
        <v>5</v>
      </c>
      <c r="AE227" s="230">
        <f>T227-HLOOKUP(V227,Minimas!$C$3:$CD$12,5,FALSE)</f>
        <v>-25</v>
      </c>
      <c r="AF227" s="230">
        <f>T227-HLOOKUP(V227,Minimas!$C$3:$CD$12,6,FALSE)</f>
        <v>-55</v>
      </c>
      <c r="AG227" s="230">
        <f>T227-HLOOKUP(V227,Minimas!$C$3:$CD$12,7,FALSE)</f>
        <v>-82</v>
      </c>
      <c r="AH227" s="230">
        <f>T227-HLOOKUP(V227,Minimas!$C$3:$CD$12,8,FALSE)</f>
        <v>-105</v>
      </c>
      <c r="AI227" s="230">
        <f>T227-HLOOKUP(V227,Minimas!$C$3:$CD$12,9,FALSE)</f>
        <v>-125</v>
      </c>
      <c r="AJ227" s="230">
        <f>T227-HLOOKUP(V227,Minimas!$C$3:$CD$12,10,FALSE)</f>
        <v>-155</v>
      </c>
      <c r="AK227" s="231" t="str">
        <f t="shared" si="73"/>
        <v>REG +</v>
      </c>
      <c r="AL227" s="232"/>
      <c r="AM227" s="232" t="str">
        <f t="shared" si="74"/>
        <v>REG +</v>
      </c>
      <c r="AN227" s="232">
        <f t="shared" si="75"/>
        <v>5</v>
      </c>
      <c r="AO227" s="232"/>
      <c r="AP227" s="485"/>
      <c r="AQ227" s="485"/>
      <c r="AR227" s="485"/>
      <c r="AS227" s="485"/>
      <c r="AT227" s="485"/>
      <c r="AU227" s="485"/>
      <c r="AV227" s="485"/>
      <c r="AW227" s="485"/>
      <c r="AX227" s="485"/>
      <c r="AY227" s="485"/>
      <c r="AZ227" s="485"/>
      <c r="BA227" s="485"/>
      <c r="BB227" s="485"/>
      <c r="BC227" s="485"/>
      <c r="BD227" s="485"/>
      <c r="BE227" s="485"/>
      <c r="BF227" s="485"/>
      <c r="BG227" s="485"/>
      <c r="BH227" s="485"/>
      <c r="BI227" s="485"/>
      <c r="BJ227" s="485"/>
      <c r="BK227" s="485"/>
      <c r="BL227" s="485"/>
      <c r="BM227" s="485"/>
      <c r="BN227" s="485"/>
      <c r="BO227" s="485"/>
      <c r="BP227" s="485"/>
      <c r="BQ227" s="485"/>
      <c r="BR227" s="485"/>
      <c r="BS227" s="485"/>
      <c r="BT227" s="485"/>
      <c r="BU227" s="485"/>
      <c r="BV227" s="485"/>
      <c r="BW227" s="485"/>
      <c r="BX227" s="485"/>
      <c r="BY227" s="485"/>
      <c r="BZ227" s="485"/>
      <c r="CA227" s="485"/>
      <c r="CB227" s="485"/>
      <c r="CC227" s="485"/>
      <c r="CD227" s="485"/>
      <c r="CE227" s="485"/>
      <c r="CF227" s="485"/>
      <c r="CG227" s="485"/>
      <c r="CH227" s="485"/>
      <c r="CI227" s="485"/>
      <c r="CJ227" s="485"/>
      <c r="CK227" s="485"/>
      <c r="CL227" s="485"/>
      <c r="CM227" s="485"/>
      <c r="CN227" s="485"/>
      <c r="CO227" s="485"/>
      <c r="CP227" s="485"/>
      <c r="CQ227" s="485"/>
      <c r="CR227" s="485"/>
      <c r="CS227" s="485"/>
      <c r="CT227" s="485"/>
      <c r="CU227" s="485"/>
      <c r="CV227" s="485"/>
      <c r="CW227" s="485"/>
      <c r="CX227" s="485"/>
      <c r="CY227" s="485"/>
      <c r="CZ227" s="485"/>
      <c r="DA227" s="485"/>
      <c r="DB227" s="485"/>
      <c r="DC227" s="485"/>
      <c r="DD227" s="485"/>
      <c r="DE227" s="485"/>
      <c r="DF227" s="485"/>
      <c r="DG227" s="485"/>
      <c r="DH227" s="485"/>
      <c r="DI227" s="485"/>
      <c r="DJ227" s="485"/>
      <c r="DK227" s="485"/>
      <c r="DL227" s="485"/>
      <c r="DM227" s="485"/>
      <c r="DN227" s="485"/>
      <c r="DO227" s="485"/>
      <c r="DP227" s="485"/>
      <c r="DQ227" s="485"/>
      <c r="DR227" s="485"/>
      <c r="DS227" s="485"/>
      <c r="DT227" s="485"/>
    </row>
    <row r="228" spans="1:124" ht="23.5" customHeight="1" x14ac:dyDescent="0.3">
      <c r="A228" s="484"/>
      <c r="B228" s="136" t="s">
        <v>543</v>
      </c>
      <c r="C228" s="525">
        <v>418139</v>
      </c>
      <c r="D228" s="119"/>
      <c r="E228" s="406" t="s">
        <v>40</v>
      </c>
      <c r="F228" s="414" t="s">
        <v>392</v>
      </c>
      <c r="G228" s="415" t="s">
        <v>393</v>
      </c>
      <c r="H228" s="416">
        <v>1979</v>
      </c>
      <c r="I228" s="881" t="s">
        <v>394</v>
      </c>
      <c r="J228" s="578" t="s">
        <v>44</v>
      </c>
      <c r="K228" s="581">
        <v>88.4</v>
      </c>
      <c r="L228" s="456">
        <v>85</v>
      </c>
      <c r="M228" s="457">
        <v>90</v>
      </c>
      <c r="N228" s="597">
        <v>-95</v>
      </c>
      <c r="O228" s="490">
        <f t="shared" si="68"/>
        <v>90</v>
      </c>
      <c r="P228" s="590">
        <v>-115</v>
      </c>
      <c r="Q228" s="453">
        <v>115</v>
      </c>
      <c r="R228" s="597">
        <v>-120</v>
      </c>
      <c r="S228" s="490">
        <f t="shared" si="70"/>
        <v>115</v>
      </c>
      <c r="T228" s="502">
        <f t="shared" si="69"/>
        <v>205</v>
      </c>
      <c r="U228" s="48" t="str">
        <f t="shared" si="71"/>
        <v>REG + 5</v>
      </c>
      <c r="V228" s="48" t="str">
        <f>IF(E228=0," ",IF(E228="H",IF(H228&lt;1999,VLOOKUP(K228,Minimas!$A$15:$F$29,6),IF(AND(H228&gt;1998,H228&lt;2002),VLOOKUP(K228,Minimas!$A$15:$F$29,5),IF(AND(H228&gt;2001,H228&lt;2004),VLOOKUP(K228,Minimas!$A$15:$F$29,4),IF(AND(H228&gt;2003,H228&lt;2006),VLOOKUP(K228,Minimas!$A$15:$F$29,3),VLOOKUP(K228,Minimas!$A$15:$F$29,2))))),IF(H228&lt;1999,VLOOKUP(K228,Minimas!$G$15:$L$29,6),IF(AND(H228&gt;1998,H228&lt;2002),VLOOKUP(K228,Minimas!$G$15:$L$29,5),IF(AND(H228&gt;2001,H228&lt;2004),VLOOKUP(K228,Minimas!$G$15:$L$29,4),IF(AND(H228&gt;2003,H228&lt;2006),VLOOKUP(K228,Minimas!$G$15:$L$29,3),VLOOKUP(K228,Minimas!$G$15:$L$29,2)))))))</f>
        <v>SE M89</v>
      </c>
      <c r="W228" s="49">
        <f t="shared" si="72"/>
        <v>239.03416846468295</v>
      </c>
      <c r="X228" s="184">
        <v>43401</v>
      </c>
      <c r="Y228" s="284" t="s">
        <v>507</v>
      </c>
      <c r="Z228" s="284" t="s">
        <v>506</v>
      </c>
      <c r="AA228" s="232"/>
      <c r="AB228" s="230">
        <f>T228-HLOOKUP(V228,Minimas!$C$3:$CD$12,2,FALSE)</f>
        <v>55</v>
      </c>
      <c r="AC228" s="230">
        <f>T228-HLOOKUP(V228,Minimas!$C$3:$CD$12,3,FALSE)</f>
        <v>30</v>
      </c>
      <c r="AD228" s="230">
        <f>T228-HLOOKUP(V228,Minimas!$C$3:$CD$12,4,FALSE)</f>
        <v>5</v>
      </c>
      <c r="AE228" s="230">
        <f>T228-HLOOKUP(V228,Minimas!$C$3:$CD$12,5,FALSE)</f>
        <v>-25</v>
      </c>
      <c r="AF228" s="230">
        <f>T228-HLOOKUP(V228,Minimas!$C$3:$CD$12,6,FALSE)</f>
        <v>-55</v>
      </c>
      <c r="AG228" s="230">
        <f>T228-HLOOKUP(V228,Minimas!$C$3:$CD$12,7,FALSE)</f>
        <v>-82</v>
      </c>
      <c r="AH228" s="230">
        <f>T228-HLOOKUP(V228,Minimas!$C$3:$CD$12,8,FALSE)</f>
        <v>-105</v>
      </c>
      <c r="AI228" s="230">
        <f>T228-HLOOKUP(V228,Minimas!$C$3:$CD$12,9,FALSE)</f>
        <v>-125</v>
      </c>
      <c r="AJ228" s="230">
        <f>T228-HLOOKUP(V228,Minimas!$C$3:$CD$12,10,FALSE)</f>
        <v>-155</v>
      </c>
      <c r="AK228" s="231" t="str">
        <f t="shared" si="73"/>
        <v>REG +</v>
      </c>
      <c r="AL228" s="232"/>
      <c r="AM228" s="232" t="str">
        <f t="shared" si="74"/>
        <v>REG +</v>
      </c>
      <c r="AN228" s="232">
        <f t="shared" si="75"/>
        <v>5</v>
      </c>
      <c r="AO228" s="232"/>
      <c r="AP228" s="485"/>
      <c r="AQ228" s="485"/>
      <c r="AR228" s="485"/>
      <c r="AS228" s="485"/>
      <c r="AT228" s="485"/>
      <c r="AU228" s="485"/>
      <c r="AV228" s="485"/>
      <c r="AW228" s="485"/>
      <c r="AX228" s="485"/>
      <c r="AY228" s="485"/>
      <c r="AZ228" s="485"/>
      <c r="BA228" s="485"/>
      <c r="BB228" s="485"/>
      <c r="BC228" s="485"/>
      <c r="BD228" s="485"/>
      <c r="BE228" s="485"/>
      <c r="BF228" s="485"/>
      <c r="BG228" s="485"/>
      <c r="BH228" s="485"/>
      <c r="BI228" s="485"/>
      <c r="BJ228" s="485"/>
      <c r="BK228" s="485"/>
      <c r="BL228" s="485"/>
      <c r="BM228" s="485"/>
      <c r="BN228" s="485"/>
      <c r="BO228" s="485"/>
      <c r="BP228" s="485"/>
      <c r="BQ228" s="485"/>
      <c r="BR228" s="485"/>
      <c r="BS228" s="485"/>
      <c r="BT228" s="485"/>
      <c r="BU228" s="485"/>
      <c r="BV228" s="485"/>
      <c r="BW228" s="485"/>
      <c r="BX228" s="485"/>
      <c r="BY228" s="485"/>
      <c r="BZ228" s="485"/>
      <c r="CA228" s="485"/>
      <c r="CB228" s="485"/>
      <c r="CC228" s="485"/>
      <c r="CD228" s="485"/>
      <c r="CE228" s="485"/>
      <c r="CF228" s="485"/>
      <c r="CG228" s="485"/>
      <c r="CH228" s="485"/>
      <c r="CI228" s="485"/>
      <c r="CJ228" s="485"/>
      <c r="CK228" s="485"/>
      <c r="CL228" s="485"/>
      <c r="CM228" s="485"/>
      <c r="CN228" s="485"/>
      <c r="CO228" s="485"/>
      <c r="CP228" s="485"/>
      <c r="CQ228" s="485"/>
      <c r="CR228" s="485"/>
      <c r="CS228" s="485"/>
      <c r="CT228" s="485"/>
      <c r="CU228" s="485"/>
      <c r="CV228" s="485"/>
      <c r="CW228" s="485"/>
      <c r="CX228" s="485"/>
      <c r="CY228" s="485"/>
      <c r="CZ228" s="485"/>
      <c r="DA228" s="485"/>
      <c r="DB228" s="485"/>
      <c r="DC228" s="485"/>
      <c r="DD228" s="485"/>
      <c r="DE228" s="485"/>
      <c r="DF228" s="485"/>
      <c r="DG228" s="485"/>
      <c r="DH228" s="485"/>
      <c r="DI228" s="485"/>
      <c r="DJ228" s="485"/>
      <c r="DK228" s="485"/>
      <c r="DL228" s="485"/>
      <c r="DM228" s="485"/>
      <c r="DN228" s="485"/>
      <c r="DO228" s="485"/>
      <c r="DP228" s="485"/>
      <c r="DQ228" s="485"/>
      <c r="DR228" s="485"/>
      <c r="DS228" s="485"/>
      <c r="DT228" s="485"/>
    </row>
    <row r="229" spans="1:124" ht="23.5" customHeight="1" x14ac:dyDescent="0.25">
      <c r="A229" s="484"/>
      <c r="B229" s="136" t="s">
        <v>543</v>
      </c>
      <c r="C229" s="499">
        <v>430810</v>
      </c>
      <c r="D229" s="171"/>
      <c r="E229" s="323" t="s">
        <v>40</v>
      </c>
      <c r="F229" s="486" t="s">
        <v>667</v>
      </c>
      <c r="G229" s="487" t="s">
        <v>668</v>
      </c>
      <c r="H229" s="292">
        <v>1992</v>
      </c>
      <c r="I229" s="337" t="s">
        <v>170</v>
      </c>
      <c r="J229" s="304" t="s">
        <v>44</v>
      </c>
      <c r="K229" s="297">
        <v>88.8</v>
      </c>
      <c r="L229" s="300">
        <v>-85</v>
      </c>
      <c r="M229" s="301">
        <v>85</v>
      </c>
      <c r="N229" s="301">
        <v>90</v>
      </c>
      <c r="O229" s="490">
        <f t="shared" si="68"/>
        <v>90</v>
      </c>
      <c r="P229" s="300">
        <v>-108</v>
      </c>
      <c r="Q229" s="301">
        <v>110</v>
      </c>
      <c r="R229" s="301">
        <v>115</v>
      </c>
      <c r="S229" s="490">
        <f t="shared" si="70"/>
        <v>115</v>
      </c>
      <c r="T229" s="502">
        <f>IF(E229="","",O229+S229)</f>
        <v>205</v>
      </c>
      <c r="U229" s="48" t="str">
        <f t="shared" si="71"/>
        <v>REG + 5</v>
      </c>
      <c r="V229" s="48" t="str">
        <f>IF(E229=0," ",IF(E229="H",IF(H229&lt;1999,VLOOKUP(K229,[27]Minimas!$A$15:$F$29,6),IF(AND(H229&gt;1998,H229&lt;2002),VLOOKUP(K229,[27]Minimas!$A$15:$F$29,5),IF(AND(H229&gt;2001,H229&lt;2004),VLOOKUP(K229,[27]Minimas!$A$15:$F$29,4),IF(AND(H229&gt;2003,H229&lt;2006),VLOOKUP(K229,[27]Minimas!$A$15:$F$29,3),VLOOKUP(K229,[27]Minimas!$A$15:$F$29,2))))),IF(H229&lt;1999,VLOOKUP(K229,[27]Minimas!$G$15:$L$29,6),IF(AND(H229&gt;1998,H229&lt;2002),VLOOKUP(K229,[27]Minimas!$G$15:$L$29,5),IF(AND(H229&gt;2001,H229&lt;2004),VLOOKUP(K229,[27]Minimas!$G$15:$L$29,4),IF(AND(H229&gt;2003,H229&lt;2006),VLOOKUP(K229,[27]Minimas!$G$15:$L$29,3),VLOOKUP(K229,[27]Minimas!$G$15:$L$29,2)))))))</f>
        <v>SE M89</v>
      </c>
      <c r="W229" s="49">
        <f t="shared" si="72"/>
        <v>238.55286005228274</v>
      </c>
      <c r="X229" s="257">
        <v>43506</v>
      </c>
      <c r="Y229" s="261" t="s">
        <v>660</v>
      </c>
      <c r="Z229" s="261" t="s">
        <v>661</v>
      </c>
      <c r="AA229" s="232"/>
      <c r="AB229" s="230">
        <f>T229-HLOOKUP(V229,Minimas!$C$3:$CD$12,2,FALSE)</f>
        <v>55</v>
      </c>
      <c r="AC229" s="230">
        <f>T229-HLOOKUP(V229,Minimas!$C$3:$CD$12,3,FALSE)</f>
        <v>30</v>
      </c>
      <c r="AD229" s="230">
        <f>T229-HLOOKUP(V229,Minimas!$C$3:$CD$12,4,FALSE)</f>
        <v>5</v>
      </c>
      <c r="AE229" s="230">
        <f>T229-HLOOKUP(V229,Minimas!$C$3:$CD$12,5,FALSE)</f>
        <v>-25</v>
      </c>
      <c r="AF229" s="230">
        <f>T229-HLOOKUP(V229,Minimas!$C$3:$CD$12,6,FALSE)</f>
        <v>-55</v>
      </c>
      <c r="AG229" s="230">
        <f>T229-HLOOKUP(V229,Minimas!$C$3:$CD$12,7,FALSE)</f>
        <v>-82</v>
      </c>
      <c r="AH229" s="230">
        <f>T229-HLOOKUP(V229,Minimas!$C$3:$CD$12,8,FALSE)</f>
        <v>-105</v>
      </c>
      <c r="AI229" s="230">
        <f>T229-HLOOKUP(V229,Minimas!$C$3:$CD$12,9,FALSE)</f>
        <v>-125</v>
      </c>
      <c r="AJ229" s="230">
        <f>T229-HLOOKUP(V229,Minimas!$C$3:$CD$12,10,FALSE)</f>
        <v>-155</v>
      </c>
      <c r="AK229" s="231" t="str">
        <f t="shared" si="73"/>
        <v>REG +</v>
      </c>
      <c r="AL229" s="232"/>
      <c r="AM229" s="232" t="str">
        <f t="shared" si="74"/>
        <v>REG +</v>
      </c>
      <c r="AN229" s="232">
        <f t="shared" si="75"/>
        <v>5</v>
      </c>
      <c r="AO229" s="232"/>
      <c r="AP229" s="485"/>
      <c r="AQ229" s="485"/>
      <c r="AR229" s="485"/>
      <c r="AS229" s="485"/>
      <c r="AT229" s="485"/>
      <c r="AU229" s="485"/>
      <c r="AV229" s="485"/>
      <c r="AW229" s="485"/>
      <c r="AX229" s="485"/>
      <c r="AY229" s="485"/>
      <c r="AZ229" s="485"/>
      <c r="BA229" s="485"/>
      <c r="BB229" s="485"/>
      <c r="BC229" s="485"/>
      <c r="BD229" s="485"/>
      <c r="BE229" s="485"/>
      <c r="BF229" s="485"/>
      <c r="BG229" s="485"/>
      <c r="BH229" s="485"/>
      <c r="BI229" s="485"/>
      <c r="BJ229" s="485"/>
      <c r="BK229" s="485"/>
      <c r="BL229" s="485"/>
      <c r="BM229" s="485"/>
      <c r="BN229" s="485"/>
      <c r="BO229" s="485"/>
      <c r="BP229" s="485"/>
      <c r="BQ229" s="485"/>
      <c r="BR229" s="485"/>
      <c r="BS229" s="485"/>
      <c r="BT229" s="485"/>
      <c r="BU229" s="485"/>
      <c r="BV229" s="485"/>
      <c r="BW229" s="485"/>
      <c r="BX229" s="485"/>
      <c r="BY229" s="485"/>
      <c r="BZ229" s="485"/>
      <c r="CA229" s="485"/>
      <c r="CB229" s="485"/>
      <c r="CC229" s="485"/>
      <c r="CD229" s="485"/>
      <c r="CE229" s="485"/>
      <c r="CF229" s="485"/>
      <c r="CG229" s="485"/>
      <c r="CH229" s="485"/>
      <c r="CI229" s="485"/>
      <c r="CJ229" s="485"/>
      <c r="CK229" s="485"/>
      <c r="CL229" s="485"/>
      <c r="CM229" s="485"/>
      <c r="CN229" s="485"/>
      <c r="CO229" s="485"/>
      <c r="CP229" s="485"/>
      <c r="CQ229" s="485"/>
      <c r="CR229" s="485"/>
      <c r="CS229" s="485"/>
      <c r="CT229" s="485"/>
      <c r="CU229" s="485"/>
      <c r="CV229" s="485"/>
      <c r="CW229" s="485"/>
      <c r="CX229" s="485"/>
      <c r="CY229" s="485"/>
      <c r="CZ229" s="485"/>
      <c r="DA229" s="485"/>
      <c r="DB229" s="485"/>
      <c r="DC229" s="485"/>
      <c r="DD229" s="485"/>
      <c r="DE229" s="485"/>
      <c r="DF229" s="485"/>
      <c r="DG229" s="485"/>
      <c r="DH229" s="485"/>
      <c r="DI229" s="485"/>
      <c r="DJ229" s="485"/>
      <c r="DK229" s="485"/>
      <c r="DL229" s="485"/>
      <c r="DM229" s="485"/>
      <c r="DN229" s="485"/>
      <c r="DO229" s="485"/>
      <c r="DP229" s="485"/>
      <c r="DQ229" s="485"/>
      <c r="DR229" s="485"/>
      <c r="DS229" s="485"/>
      <c r="DT229" s="485"/>
    </row>
    <row r="230" spans="1:124" ht="23.5" customHeight="1" x14ac:dyDescent="0.25">
      <c r="A230" s="484"/>
      <c r="B230" s="516" t="s">
        <v>543</v>
      </c>
      <c r="C230" s="499">
        <v>417754</v>
      </c>
      <c r="D230" s="530"/>
      <c r="E230" s="323" t="s">
        <v>40</v>
      </c>
      <c r="F230" s="439" t="s">
        <v>671</v>
      </c>
      <c r="G230" s="440" t="s">
        <v>306</v>
      </c>
      <c r="H230" s="306">
        <v>1998</v>
      </c>
      <c r="I230" s="758" t="s">
        <v>139</v>
      </c>
      <c r="J230" s="290" t="s">
        <v>44</v>
      </c>
      <c r="K230" s="488">
        <v>85.5</v>
      </c>
      <c r="L230" s="300">
        <v>83</v>
      </c>
      <c r="M230" s="301">
        <v>88</v>
      </c>
      <c r="N230" s="301">
        <v>90</v>
      </c>
      <c r="O230" s="358">
        <f t="shared" si="68"/>
        <v>90</v>
      </c>
      <c r="P230" s="300">
        <v>100</v>
      </c>
      <c r="Q230" s="301">
        <v>110</v>
      </c>
      <c r="R230" s="301">
        <v>-115</v>
      </c>
      <c r="S230" s="358">
        <f t="shared" si="70"/>
        <v>110</v>
      </c>
      <c r="T230" s="364">
        <f>IF(E230="","",IF(OR(O230=0,S230=0),0,O230+S230))</f>
        <v>200</v>
      </c>
      <c r="U230" s="360" t="str">
        <f t="shared" si="71"/>
        <v>REG + 0</v>
      </c>
      <c r="V230" s="360" t="str">
        <f>IF(E230=0," ",IF(E230="H",IF(H230&lt;1999,VLOOKUP(K230,[3]Minimas!$A$15:$F$29,6),IF(AND(H230&gt;1998,H230&lt;2002),VLOOKUP(K230,[3]Minimas!$A$15:$F$29,5),IF(AND(H230&gt;2001,H230&lt;2004),VLOOKUP(K230,[3]Minimas!$A$15:$F$29,4),IF(AND(H230&gt;2003,H230&lt;2006),VLOOKUP(K230,[3]Minimas!$A$15:$F$29,3),VLOOKUP(K230,[3]Minimas!$A$15:$F$29,2))))),IF(H230&lt;1999,VLOOKUP(K230,[3]Minimas!$G$15:$L$29,6),IF(AND(H230&gt;1998,H230&lt;2002),VLOOKUP(K230,[3]Minimas!$G$15:$L$29,5),IF(AND(H230&gt;2001,H230&lt;2004),VLOOKUP(K230,[3]Minimas!$G$15:$L$29,4),IF(AND(H230&gt;2003,H230&lt;2006),VLOOKUP(K230,[3]Minimas!$G$15:$L$29,3),VLOOKUP(K230,[3]Minimas!$G$15:$L$29,2)))))))</f>
        <v>SE M89</v>
      </c>
      <c r="W230" s="361">
        <f t="shared" si="72"/>
        <v>236.80050925180149</v>
      </c>
      <c r="X230" s="257">
        <v>43600</v>
      </c>
      <c r="Y230" s="261" t="s">
        <v>874</v>
      </c>
      <c r="Z230" s="261" t="s">
        <v>875</v>
      </c>
      <c r="AA230" s="232"/>
      <c r="AB230" s="230">
        <f>T230-HLOOKUP(V230,[3]Minimas!$C$3:$CD$12,2,FALSE)</f>
        <v>50</v>
      </c>
      <c r="AC230" s="230">
        <f>T230-HLOOKUP(V230,[3]Minimas!$C$3:$CD$12,3,FALSE)</f>
        <v>25</v>
      </c>
      <c r="AD230" s="230">
        <f>T230-HLOOKUP(V230,[3]Minimas!$C$3:$CD$12,4,FALSE)</f>
        <v>0</v>
      </c>
      <c r="AE230" s="230">
        <f>T230-HLOOKUP(V230,[3]Minimas!$C$3:$CD$12,5,FALSE)</f>
        <v>-30</v>
      </c>
      <c r="AF230" s="230">
        <f>T230-HLOOKUP(V230,[3]Minimas!$C$3:$CD$12,6,FALSE)</f>
        <v>-60</v>
      </c>
      <c r="AG230" s="230">
        <f>T230-HLOOKUP(V230,[3]Minimas!$C$3:$CD$12,7,FALSE)</f>
        <v>-87</v>
      </c>
      <c r="AH230" s="230">
        <f>T230-HLOOKUP(V230,[3]Minimas!$C$3:$CD$12,8,FALSE)</f>
        <v>-110</v>
      </c>
      <c r="AI230" s="230">
        <f>T230-HLOOKUP(V230,[3]Minimas!$C$3:$CD$12,9,FALSE)</f>
        <v>-130</v>
      </c>
      <c r="AJ230" s="230">
        <f>T230-HLOOKUP(V230,[3]Minimas!$C$3:$CD$12,10,FALSE)</f>
        <v>-160</v>
      </c>
      <c r="AK230" s="231" t="str">
        <f t="shared" si="73"/>
        <v>REG +</v>
      </c>
      <c r="AL230" s="232"/>
      <c r="AM230" s="232" t="str">
        <f t="shared" si="74"/>
        <v>REG +</v>
      </c>
      <c r="AN230" s="232">
        <f t="shared" si="75"/>
        <v>0</v>
      </c>
      <c r="AO230" s="232"/>
      <c r="AP230" s="485"/>
      <c r="AQ230" s="485"/>
      <c r="AR230" s="485"/>
      <c r="AS230" s="485"/>
      <c r="AT230" s="485"/>
      <c r="AU230" s="485"/>
      <c r="AV230" s="485"/>
      <c r="AW230" s="485"/>
      <c r="AX230" s="485"/>
      <c r="AY230" s="485"/>
      <c r="AZ230" s="485"/>
      <c r="BA230" s="485"/>
      <c r="BB230" s="485"/>
      <c r="BC230" s="485"/>
      <c r="BD230" s="485"/>
      <c r="BE230" s="485"/>
      <c r="BF230" s="485"/>
      <c r="BG230" s="485"/>
      <c r="BH230" s="485"/>
      <c r="BI230" s="485"/>
      <c r="BJ230" s="485"/>
      <c r="BK230" s="485"/>
      <c r="BL230" s="485"/>
      <c r="BM230" s="485"/>
      <c r="BN230" s="485"/>
      <c r="BO230" s="485"/>
      <c r="BP230" s="485"/>
      <c r="BQ230" s="485"/>
      <c r="BR230" s="485"/>
      <c r="BS230" s="485"/>
      <c r="BT230" s="485"/>
      <c r="BU230" s="485"/>
      <c r="BV230" s="485"/>
      <c r="BW230" s="485"/>
      <c r="BX230" s="485"/>
      <c r="BY230" s="485"/>
      <c r="BZ230" s="485"/>
      <c r="CA230" s="485"/>
      <c r="CB230" s="485"/>
      <c r="CC230" s="485"/>
      <c r="CD230" s="485"/>
      <c r="CE230" s="485"/>
      <c r="CF230" s="485"/>
      <c r="CG230" s="485"/>
      <c r="CH230" s="485"/>
      <c r="CI230" s="485"/>
      <c r="CJ230" s="485"/>
      <c r="CK230" s="485"/>
      <c r="CL230" s="485"/>
      <c r="CM230" s="485"/>
      <c r="CN230" s="485"/>
      <c r="CO230" s="485"/>
      <c r="CP230" s="485"/>
      <c r="CQ230" s="485"/>
      <c r="CR230" s="485"/>
      <c r="CS230" s="485"/>
      <c r="CT230" s="485"/>
      <c r="CU230" s="485"/>
      <c r="CV230" s="485"/>
      <c r="CW230" s="485"/>
      <c r="CX230" s="485"/>
      <c r="CY230" s="485"/>
      <c r="CZ230" s="485"/>
      <c r="DA230" s="485"/>
      <c r="DB230" s="485"/>
      <c r="DC230" s="485"/>
      <c r="DD230" s="485"/>
      <c r="DE230" s="485"/>
      <c r="DF230" s="485"/>
      <c r="DG230" s="485"/>
      <c r="DH230" s="485"/>
      <c r="DI230" s="485"/>
      <c r="DJ230" s="485"/>
      <c r="DK230" s="485"/>
      <c r="DL230" s="485"/>
      <c r="DM230" s="485"/>
      <c r="DN230" s="485"/>
      <c r="DO230" s="485"/>
      <c r="DP230" s="485"/>
      <c r="DQ230" s="485"/>
      <c r="DR230" s="485"/>
      <c r="DS230" s="485"/>
      <c r="DT230" s="485"/>
    </row>
    <row r="231" spans="1:124" ht="23.5" customHeight="1" x14ac:dyDescent="0.3">
      <c r="A231" s="484"/>
      <c r="B231" s="136" t="s">
        <v>543</v>
      </c>
      <c r="C231" s="701">
        <v>430501</v>
      </c>
      <c r="D231" s="174"/>
      <c r="E231" s="406" t="s">
        <v>40</v>
      </c>
      <c r="F231" s="407" t="s">
        <v>397</v>
      </c>
      <c r="G231" s="408" t="s">
        <v>398</v>
      </c>
      <c r="H231" s="413">
        <v>1984</v>
      </c>
      <c r="I231" s="752" t="s">
        <v>170</v>
      </c>
      <c r="J231" s="578" t="s">
        <v>44</v>
      </c>
      <c r="K231" s="777">
        <v>85</v>
      </c>
      <c r="L231" s="452">
        <v>83</v>
      </c>
      <c r="M231" s="453">
        <v>87</v>
      </c>
      <c r="N231" s="796">
        <v>-90</v>
      </c>
      <c r="O231" s="52">
        <f t="shared" si="68"/>
        <v>87</v>
      </c>
      <c r="P231" s="452">
        <v>105</v>
      </c>
      <c r="Q231" s="796">
        <v>-110</v>
      </c>
      <c r="R231" s="453">
        <v>110</v>
      </c>
      <c r="S231" s="52">
        <f t="shared" si="70"/>
        <v>110</v>
      </c>
      <c r="T231" s="502">
        <f>IF(E231="","",IF(OR(O231=0,S231=0),0,O231+S231))</f>
        <v>197</v>
      </c>
      <c r="U231" s="48" t="str">
        <f t="shared" si="71"/>
        <v>DPT + 22</v>
      </c>
      <c r="V231" s="48" t="str">
        <f>IF(E231=0," ",IF(E231="H",IF(H231&lt;1999,VLOOKUP(K231,Minimas!$A$15:$F$29,6),IF(AND(H231&gt;1998,H231&lt;2002),VLOOKUP(K231,Minimas!$A$15:$F$29,5),IF(AND(H231&gt;2001,H231&lt;2004),VLOOKUP(K231,Minimas!$A$15:$F$29,4),IF(AND(H231&gt;2003,H231&lt;2006),VLOOKUP(K231,Minimas!$A$15:$F$29,3),VLOOKUP(K231,Minimas!$A$15:$F$29,2))))),IF(H231&lt;1999,VLOOKUP(K231,Minimas!$G$15:$L$29,6),IF(AND(H231&gt;1998,H231&lt;2002),VLOOKUP(K231,Minimas!$G$15:$L$29,5),IF(AND(H231&gt;2001,H231&lt;2004),VLOOKUP(K231,Minimas!$G$15:$L$29,4),IF(AND(H231&gt;2003,H231&lt;2006),VLOOKUP(K231,Minimas!$G$15:$L$29,3),VLOOKUP(K231,Minimas!$G$15:$L$29,2)))))))</f>
        <v>SE M89</v>
      </c>
      <c r="W231" s="49">
        <f t="shared" si="72"/>
        <v>233.8945941963963</v>
      </c>
      <c r="X231" s="184">
        <v>43435</v>
      </c>
      <c r="Y231" s="284" t="s">
        <v>509</v>
      </c>
      <c r="Z231" s="284" t="s">
        <v>511</v>
      </c>
      <c r="AA231" s="232"/>
      <c r="AB231" s="230">
        <f>T231-HLOOKUP(V231,Minimas!$C$3:$CD$12,2,FALSE)</f>
        <v>47</v>
      </c>
      <c r="AC231" s="230">
        <f>T231-HLOOKUP(V231,Minimas!$C$3:$CD$12,3,FALSE)</f>
        <v>22</v>
      </c>
      <c r="AD231" s="230">
        <f>T231-HLOOKUP(V231,Minimas!$C$3:$CD$12,4,FALSE)</f>
        <v>-3</v>
      </c>
      <c r="AE231" s="230">
        <f>T231-HLOOKUP(V231,Minimas!$C$3:$CD$12,5,FALSE)</f>
        <v>-33</v>
      </c>
      <c r="AF231" s="230">
        <f>T231-HLOOKUP(V231,Minimas!$C$3:$CD$12,6,FALSE)</f>
        <v>-63</v>
      </c>
      <c r="AG231" s="230">
        <f>T231-HLOOKUP(V231,Minimas!$C$3:$CD$12,7,FALSE)</f>
        <v>-90</v>
      </c>
      <c r="AH231" s="230">
        <f>T231-HLOOKUP(V231,Minimas!$C$3:$CD$12,8,FALSE)</f>
        <v>-113</v>
      </c>
      <c r="AI231" s="230">
        <f>T231-HLOOKUP(V231,Minimas!$C$3:$CD$12,9,FALSE)</f>
        <v>-133</v>
      </c>
      <c r="AJ231" s="230">
        <f>T231-HLOOKUP(V231,Minimas!$C$3:$CD$12,10,FALSE)</f>
        <v>-163</v>
      </c>
      <c r="AK231" s="231" t="str">
        <f t="shared" si="73"/>
        <v>DPT +</v>
      </c>
      <c r="AL231" s="232"/>
      <c r="AM231" s="232" t="str">
        <f t="shared" si="74"/>
        <v>DPT +</v>
      </c>
      <c r="AN231" s="232">
        <f t="shared" si="75"/>
        <v>22</v>
      </c>
      <c r="AO231" s="232"/>
      <c r="AP231" s="485"/>
      <c r="AQ231" s="485"/>
      <c r="AR231" s="485"/>
      <c r="AS231" s="485"/>
      <c r="AT231" s="485"/>
      <c r="AU231" s="485"/>
      <c r="AV231" s="485"/>
      <c r="AW231" s="485"/>
      <c r="AX231" s="485"/>
      <c r="AY231" s="485"/>
      <c r="AZ231" s="485"/>
      <c r="BA231" s="485"/>
      <c r="BB231" s="485"/>
      <c r="BC231" s="485"/>
      <c r="BD231" s="485"/>
      <c r="BE231" s="485"/>
      <c r="BF231" s="485"/>
      <c r="BG231" s="485"/>
      <c r="BH231" s="485"/>
      <c r="BI231" s="485"/>
      <c r="BJ231" s="485"/>
      <c r="BK231" s="485"/>
      <c r="BL231" s="485"/>
      <c r="BM231" s="485"/>
      <c r="BN231" s="485"/>
      <c r="BO231" s="485"/>
      <c r="BP231" s="485"/>
      <c r="BQ231" s="485"/>
      <c r="BR231" s="485"/>
      <c r="BS231" s="485"/>
      <c r="BT231" s="485"/>
      <c r="BU231" s="485"/>
      <c r="BV231" s="485"/>
      <c r="BW231" s="485"/>
      <c r="BX231" s="485"/>
      <c r="BY231" s="485"/>
      <c r="BZ231" s="485"/>
      <c r="CA231" s="485"/>
      <c r="CB231" s="485"/>
      <c r="CC231" s="485"/>
      <c r="CD231" s="485"/>
      <c r="CE231" s="485"/>
      <c r="CF231" s="485"/>
      <c r="CG231" s="485"/>
      <c r="CH231" s="485"/>
      <c r="CI231" s="485"/>
      <c r="CJ231" s="485"/>
      <c r="CK231" s="485"/>
      <c r="CL231" s="485"/>
      <c r="CM231" s="485"/>
      <c r="CN231" s="485"/>
      <c r="CO231" s="485"/>
      <c r="CP231" s="485"/>
      <c r="CQ231" s="485"/>
      <c r="CR231" s="485"/>
      <c r="CS231" s="485"/>
      <c r="CT231" s="485"/>
      <c r="CU231" s="485"/>
      <c r="CV231" s="485"/>
      <c r="CW231" s="485"/>
      <c r="CX231" s="485"/>
      <c r="CY231" s="485"/>
      <c r="CZ231" s="485"/>
      <c r="DA231" s="485"/>
      <c r="DB231" s="485"/>
      <c r="DC231" s="485"/>
      <c r="DD231" s="485"/>
      <c r="DE231" s="485"/>
      <c r="DF231" s="485"/>
      <c r="DG231" s="485"/>
      <c r="DH231" s="485"/>
      <c r="DI231" s="485"/>
      <c r="DJ231" s="485"/>
      <c r="DK231" s="485"/>
      <c r="DL231" s="485"/>
      <c r="DM231" s="485"/>
      <c r="DN231" s="485"/>
      <c r="DO231" s="485"/>
      <c r="DP231" s="485"/>
      <c r="DQ231" s="485"/>
      <c r="DR231" s="485"/>
      <c r="DS231" s="485"/>
      <c r="DT231" s="485"/>
    </row>
    <row r="232" spans="1:124" ht="23" customHeight="1" x14ac:dyDescent="0.3">
      <c r="A232" s="484"/>
      <c r="B232" s="136" t="s">
        <v>543</v>
      </c>
      <c r="C232" s="468">
        <v>406996</v>
      </c>
      <c r="D232" s="167"/>
      <c r="E232" s="315" t="s">
        <v>40</v>
      </c>
      <c r="F232" s="288" t="s">
        <v>468</v>
      </c>
      <c r="G232" s="491" t="s">
        <v>469</v>
      </c>
      <c r="H232" s="289">
        <v>1986</v>
      </c>
      <c r="I232" s="571" t="s">
        <v>418</v>
      </c>
      <c r="J232" s="290" t="s">
        <v>44</v>
      </c>
      <c r="K232" s="294">
        <v>86</v>
      </c>
      <c r="L232" s="807">
        <v>80</v>
      </c>
      <c r="M232" s="884">
        <v>85</v>
      </c>
      <c r="N232" s="885">
        <v>-90</v>
      </c>
      <c r="O232" s="501">
        <f t="shared" si="68"/>
        <v>85</v>
      </c>
      <c r="P232" s="807">
        <v>100</v>
      </c>
      <c r="Q232" s="884">
        <v>105</v>
      </c>
      <c r="R232" s="884">
        <v>110</v>
      </c>
      <c r="S232" s="501">
        <f t="shared" si="70"/>
        <v>110</v>
      </c>
      <c r="T232" s="502">
        <f>IF(E232="","",IF(OR(O232=0,S232=0),0,O232+S232))</f>
        <v>195</v>
      </c>
      <c r="U232" s="48" t="str">
        <f t="shared" si="71"/>
        <v>DPT + 20</v>
      </c>
      <c r="V232" s="48" t="str">
        <f>IF(E232=0," ",IF(E232="H",IF(H232&lt;1999,VLOOKUP(K232,Minimas!$A$15:$F$29,6),IF(AND(H232&gt;1998,H232&lt;2002),VLOOKUP(K232,Minimas!$A$15:$F$29,5),IF(AND(H232&gt;2001,H232&lt;2004),VLOOKUP(K232,Minimas!$A$15:$F$29,4),IF(AND(H232&gt;2003,H232&lt;2006),VLOOKUP(K232,Minimas!$A$15:$F$29,3),VLOOKUP(K232,Minimas!$A$15:$F$29,2))))),IF(H232&lt;1999,VLOOKUP(K232,Minimas!$G$15:$L$29,6),IF(AND(H232&gt;1998,H232&lt;2002),VLOOKUP(K232,Minimas!$G$15:$L$29,5),IF(AND(H232&gt;2001,H232&lt;2004),VLOOKUP(K232,Minimas!$G$15:$L$29,4),IF(AND(H232&gt;2003,H232&lt;2006),VLOOKUP(K232,Minimas!$G$15:$L$29,3),VLOOKUP(K232,Minimas!$G$15:$L$29,2)))))))</f>
        <v>SE M89</v>
      </c>
      <c r="W232" s="60">
        <f t="shared" si="72"/>
        <v>230.25157147073338</v>
      </c>
      <c r="X232" s="184">
        <v>43435</v>
      </c>
      <c r="Y232" s="284" t="s">
        <v>509</v>
      </c>
      <c r="Z232" s="284" t="s">
        <v>504</v>
      </c>
      <c r="AA232" s="232"/>
      <c r="AB232" s="230">
        <f>T232-HLOOKUP(V232,Minimas!$C$3:$CD$12,2,FALSE)</f>
        <v>45</v>
      </c>
      <c r="AC232" s="230">
        <f>T232-HLOOKUP(V232,Minimas!$C$3:$CD$12,3,FALSE)</f>
        <v>20</v>
      </c>
      <c r="AD232" s="230">
        <f>T232-HLOOKUP(V232,Minimas!$C$3:$CD$12,4,FALSE)</f>
        <v>-5</v>
      </c>
      <c r="AE232" s="230">
        <f>T232-HLOOKUP(V232,Minimas!$C$3:$CD$12,5,FALSE)</f>
        <v>-35</v>
      </c>
      <c r="AF232" s="230">
        <f>T232-HLOOKUP(V232,Minimas!$C$3:$CD$12,6,FALSE)</f>
        <v>-65</v>
      </c>
      <c r="AG232" s="230">
        <f>T232-HLOOKUP(V232,Minimas!$C$3:$CD$12,7,FALSE)</f>
        <v>-92</v>
      </c>
      <c r="AH232" s="230">
        <f>T232-HLOOKUP(V232,Minimas!$C$3:$CD$12,8,FALSE)</f>
        <v>-115</v>
      </c>
      <c r="AI232" s="230">
        <f>T232-HLOOKUP(V232,Minimas!$C$3:$CD$12,9,FALSE)</f>
        <v>-135</v>
      </c>
      <c r="AJ232" s="230">
        <f>T232-HLOOKUP(V232,Minimas!$C$3:$CD$12,10,FALSE)</f>
        <v>-165</v>
      </c>
      <c r="AK232" s="231" t="str">
        <f t="shared" si="73"/>
        <v>DPT +</v>
      </c>
      <c r="AL232" s="232"/>
      <c r="AM232" s="232" t="str">
        <f t="shared" si="74"/>
        <v>DPT +</v>
      </c>
      <c r="AN232" s="232">
        <f t="shared" si="75"/>
        <v>20</v>
      </c>
      <c r="AO232" s="232"/>
      <c r="AP232" s="485"/>
      <c r="AQ232" s="485"/>
      <c r="AR232" s="485"/>
      <c r="AS232" s="485"/>
      <c r="AT232" s="485"/>
      <c r="AU232" s="485"/>
      <c r="AV232" s="485"/>
      <c r="AW232" s="485"/>
      <c r="AX232" s="485"/>
      <c r="AY232" s="485"/>
      <c r="AZ232" s="485"/>
      <c r="BA232" s="485"/>
      <c r="BB232" s="485"/>
      <c r="BC232" s="485"/>
      <c r="BD232" s="485"/>
      <c r="BE232" s="485"/>
      <c r="BF232" s="485"/>
      <c r="BG232" s="485"/>
      <c r="BH232" s="485"/>
      <c r="BI232" s="485"/>
      <c r="BJ232" s="485"/>
      <c r="BK232" s="485"/>
      <c r="BL232" s="485"/>
      <c r="BM232" s="485"/>
      <c r="BN232" s="485"/>
      <c r="BO232" s="485"/>
      <c r="BP232" s="485"/>
      <c r="BQ232" s="485"/>
      <c r="BR232" s="485"/>
      <c r="BS232" s="485"/>
      <c r="BT232" s="485"/>
      <c r="BU232" s="485"/>
      <c r="BV232" s="485"/>
      <c r="BW232" s="485"/>
      <c r="BX232" s="485"/>
      <c r="BY232" s="485"/>
      <c r="BZ232" s="485"/>
      <c r="CA232" s="485"/>
      <c r="CB232" s="485"/>
      <c r="CC232" s="485"/>
      <c r="CD232" s="485"/>
      <c r="CE232" s="485"/>
      <c r="CF232" s="485"/>
      <c r="CG232" s="485"/>
      <c r="CH232" s="485"/>
      <c r="CI232" s="485"/>
      <c r="CJ232" s="485"/>
      <c r="CK232" s="485"/>
      <c r="CL232" s="485"/>
      <c r="CM232" s="485"/>
      <c r="CN232" s="485"/>
      <c r="CO232" s="485"/>
      <c r="CP232" s="485"/>
      <c r="CQ232" s="485"/>
      <c r="CR232" s="485"/>
      <c r="CS232" s="485"/>
      <c r="CT232" s="485"/>
      <c r="CU232" s="485"/>
      <c r="CV232" s="485"/>
      <c r="CW232" s="485"/>
      <c r="CX232" s="485"/>
      <c r="CY232" s="485"/>
      <c r="CZ232" s="485"/>
      <c r="DA232" s="485"/>
      <c r="DB232" s="485"/>
      <c r="DC232" s="485"/>
      <c r="DD232" s="485"/>
      <c r="DE232" s="485"/>
      <c r="DF232" s="485"/>
      <c r="DG232" s="485"/>
      <c r="DH232" s="485"/>
      <c r="DI232" s="485"/>
      <c r="DJ232" s="485"/>
      <c r="DK232" s="485"/>
      <c r="DL232" s="485"/>
      <c r="DM232" s="485"/>
      <c r="DN232" s="485"/>
      <c r="DO232" s="485"/>
      <c r="DP232" s="485"/>
      <c r="DQ232" s="485"/>
      <c r="DR232" s="485"/>
      <c r="DS232" s="485"/>
      <c r="DT232" s="485"/>
    </row>
    <row r="233" spans="1:124" ht="23" customHeight="1" x14ac:dyDescent="0.3">
      <c r="A233" s="484"/>
      <c r="B233" s="136" t="s">
        <v>543</v>
      </c>
      <c r="C233" s="525">
        <v>443524</v>
      </c>
      <c r="D233" s="122"/>
      <c r="E233" s="399" t="s">
        <v>40</v>
      </c>
      <c r="F233" s="414" t="s">
        <v>395</v>
      </c>
      <c r="G233" s="415" t="s">
        <v>396</v>
      </c>
      <c r="H233" s="416">
        <v>1991</v>
      </c>
      <c r="I233" s="753" t="s">
        <v>170</v>
      </c>
      <c r="J233" s="578" t="s">
        <v>44</v>
      </c>
      <c r="K233" s="581">
        <v>82.9</v>
      </c>
      <c r="L233" s="456">
        <v>75</v>
      </c>
      <c r="M233" s="457">
        <v>80</v>
      </c>
      <c r="N233" s="457">
        <v>85</v>
      </c>
      <c r="O233" s="501">
        <f t="shared" si="68"/>
        <v>85</v>
      </c>
      <c r="P233" s="452">
        <v>95</v>
      </c>
      <c r="Q233" s="453">
        <v>100</v>
      </c>
      <c r="R233" s="453">
        <v>105</v>
      </c>
      <c r="S233" s="501">
        <f t="shared" si="70"/>
        <v>105</v>
      </c>
      <c r="T233" s="502">
        <f>IF(E233="","",IF(OR(O233=0,S233=0),0,O233+S233))</f>
        <v>190</v>
      </c>
      <c r="U233" s="48" t="str">
        <f t="shared" si="71"/>
        <v>DPT + 15</v>
      </c>
      <c r="V233" s="48" t="str">
        <f>IF(E233=0," ",IF(E233="H",IF(H233&lt;1999,VLOOKUP(K233,Minimas!$A$15:$F$29,6),IF(AND(H233&gt;1998,H233&lt;2002),VLOOKUP(K233,Minimas!$A$15:$F$29,5),IF(AND(H233&gt;2001,H233&lt;2004),VLOOKUP(K233,Minimas!$A$15:$F$29,4),IF(AND(H233&gt;2003,H233&lt;2006),VLOOKUP(K233,Minimas!$A$15:$F$29,3),VLOOKUP(K233,Minimas!$A$15:$F$29,2))))),IF(H233&lt;1999,VLOOKUP(K233,Minimas!$G$15:$L$29,6),IF(AND(H233&gt;1998,H233&lt;2002),VLOOKUP(K233,Minimas!$G$15:$L$29,5),IF(AND(H233&gt;2001,H233&lt;2004),VLOOKUP(K233,Minimas!$G$15:$L$29,4),IF(AND(H233&gt;2003,H233&lt;2006),VLOOKUP(K233,Minimas!$G$15:$L$29,3),VLOOKUP(K233,Minimas!$G$15:$L$29,2)))))))</f>
        <v>SE M89</v>
      </c>
      <c r="W233" s="49">
        <f t="shared" si="72"/>
        <v>228.31847828762497</v>
      </c>
      <c r="X233" s="184">
        <v>43401</v>
      </c>
      <c r="Y233" s="284" t="s">
        <v>507</v>
      </c>
      <c r="Z233" s="284" t="s">
        <v>506</v>
      </c>
      <c r="AA233" s="232"/>
      <c r="AB233" s="230">
        <f>T233-HLOOKUP(V233,Minimas!$C$3:$CD$12,2,FALSE)</f>
        <v>40</v>
      </c>
      <c r="AC233" s="230">
        <f>T233-HLOOKUP(V233,Minimas!$C$3:$CD$12,3,FALSE)</f>
        <v>15</v>
      </c>
      <c r="AD233" s="230">
        <f>T233-HLOOKUP(V233,Minimas!$C$3:$CD$12,4,FALSE)</f>
        <v>-10</v>
      </c>
      <c r="AE233" s="230">
        <f>T233-HLOOKUP(V233,Minimas!$C$3:$CD$12,5,FALSE)</f>
        <v>-40</v>
      </c>
      <c r="AF233" s="230">
        <f>T233-HLOOKUP(V233,Minimas!$C$3:$CD$12,6,FALSE)</f>
        <v>-70</v>
      </c>
      <c r="AG233" s="230">
        <f>T233-HLOOKUP(V233,Minimas!$C$3:$CD$12,7,FALSE)</f>
        <v>-97</v>
      </c>
      <c r="AH233" s="230">
        <f>T233-HLOOKUP(V233,Minimas!$C$3:$CD$12,8,FALSE)</f>
        <v>-120</v>
      </c>
      <c r="AI233" s="230">
        <f>T233-HLOOKUP(V233,Minimas!$C$3:$CD$12,9,FALSE)</f>
        <v>-140</v>
      </c>
      <c r="AJ233" s="230">
        <f>T233-HLOOKUP(V233,Minimas!$C$3:$CD$12,10,FALSE)</f>
        <v>-170</v>
      </c>
      <c r="AK233" s="231" t="str">
        <f t="shared" si="73"/>
        <v>DPT +</v>
      </c>
      <c r="AL233" s="232"/>
      <c r="AM233" s="232" t="str">
        <f t="shared" si="74"/>
        <v>DPT +</v>
      </c>
      <c r="AN233" s="232">
        <f t="shared" si="75"/>
        <v>15</v>
      </c>
      <c r="AO233" s="232"/>
      <c r="AP233" s="485"/>
      <c r="AQ233" s="485"/>
      <c r="AR233" s="485"/>
      <c r="AS233" s="485"/>
      <c r="AT233" s="485"/>
      <c r="AU233" s="485"/>
      <c r="AV233" s="485"/>
      <c r="AW233" s="485"/>
      <c r="AX233" s="485"/>
      <c r="AY233" s="485"/>
      <c r="AZ233" s="485"/>
      <c r="BA233" s="485"/>
      <c r="BB233" s="485"/>
      <c r="BC233" s="485"/>
      <c r="BD233" s="485"/>
      <c r="BE233" s="485"/>
      <c r="BF233" s="485"/>
      <c r="BG233" s="485"/>
      <c r="BH233" s="485"/>
      <c r="BI233" s="485"/>
      <c r="BJ233" s="485"/>
      <c r="BK233" s="485"/>
      <c r="BL233" s="485"/>
      <c r="BM233" s="485"/>
      <c r="BN233" s="485"/>
      <c r="BO233" s="485"/>
      <c r="BP233" s="485"/>
      <c r="BQ233" s="485"/>
      <c r="BR233" s="485"/>
      <c r="BS233" s="485"/>
      <c r="BT233" s="485"/>
      <c r="BU233" s="485"/>
      <c r="BV233" s="485"/>
      <c r="BW233" s="485"/>
      <c r="BX233" s="485"/>
      <c r="BY233" s="485"/>
      <c r="BZ233" s="485"/>
      <c r="CA233" s="485"/>
      <c r="CB233" s="485"/>
      <c r="CC233" s="485"/>
      <c r="CD233" s="485"/>
      <c r="CE233" s="485"/>
      <c r="CF233" s="485"/>
      <c r="CG233" s="485"/>
      <c r="CH233" s="485"/>
      <c r="CI233" s="485"/>
      <c r="CJ233" s="485"/>
      <c r="CK233" s="485"/>
      <c r="CL233" s="485"/>
      <c r="CM233" s="485"/>
      <c r="CN233" s="485"/>
      <c r="CO233" s="485"/>
      <c r="CP233" s="485"/>
      <c r="CQ233" s="485"/>
      <c r="CR233" s="485"/>
      <c r="CS233" s="485"/>
      <c r="CT233" s="485"/>
      <c r="CU233" s="485"/>
      <c r="CV233" s="485"/>
      <c r="CW233" s="485"/>
      <c r="CX233" s="485"/>
      <c r="CY233" s="485"/>
      <c r="CZ233" s="485"/>
      <c r="DA233" s="485"/>
      <c r="DB233" s="485"/>
      <c r="DC233" s="485"/>
      <c r="DD233" s="485"/>
      <c r="DE233" s="485"/>
      <c r="DF233" s="485"/>
      <c r="DG233" s="485"/>
      <c r="DH233" s="485"/>
      <c r="DI233" s="485"/>
      <c r="DJ233" s="485"/>
      <c r="DK233" s="485"/>
      <c r="DL233" s="485"/>
      <c r="DM233" s="485"/>
      <c r="DN233" s="485"/>
      <c r="DO233" s="485"/>
      <c r="DP233" s="485"/>
      <c r="DQ233" s="485"/>
      <c r="DR233" s="485"/>
      <c r="DS233" s="485"/>
      <c r="DT233" s="485"/>
    </row>
    <row r="234" spans="1:124" ht="23" customHeight="1" x14ac:dyDescent="0.25">
      <c r="A234" s="484"/>
      <c r="B234" s="136" t="s">
        <v>543</v>
      </c>
      <c r="C234" s="499">
        <v>435119</v>
      </c>
      <c r="D234" s="171"/>
      <c r="E234" s="323" t="s">
        <v>40</v>
      </c>
      <c r="F234" s="486" t="s">
        <v>149</v>
      </c>
      <c r="G234" s="487" t="s">
        <v>665</v>
      </c>
      <c r="H234" s="292">
        <v>1995</v>
      </c>
      <c r="I234" s="337" t="s">
        <v>324</v>
      </c>
      <c r="J234" s="290" t="s">
        <v>44</v>
      </c>
      <c r="K234" s="297">
        <v>86.2</v>
      </c>
      <c r="L234" s="300">
        <v>80</v>
      </c>
      <c r="M234" s="301">
        <v>-84</v>
      </c>
      <c r="N234" s="301">
        <v>-84</v>
      </c>
      <c r="O234" s="490">
        <f t="shared" si="68"/>
        <v>80</v>
      </c>
      <c r="P234" s="300">
        <v>100</v>
      </c>
      <c r="Q234" s="301">
        <v>105</v>
      </c>
      <c r="R234" s="301">
        <v>110</v>
      </c>
      <c r="S234" s="490">
        <f t="shared" si="70"/>
        <v>110</v>
      </c>
      <c r="T234" s="502">
        <f>IF(E234="","",O234+S234)</f>
        <v>190</v>
      </c>
      <c r="U234" s="48" t="str">
        <f t="shared" si="71"/>
        <v>DPT + 15</v>
      </c>
      <c r="V234" s="48" t="str">
        <f>IF(E234=0," ",IF(E234="H",IF(H234&lt;1999,VLOOKUP(K234,[27]Minimas!$A$15:$F$29,6),IF(AND(H234&gt;1998,H234&lt;2002),VLOOKUP(K234,[27]Minimas!$A$15:$F$29,5),IF(AND(H234&gt;2001,H234&lt;2004),VLOOKUP(K234,[27]Minimas!$A$15:$F$29,4),IF(AND(H234&gt;2003,H234&lt;2006),VLOOKUP(K234,[27]Minimas!$A$15:$F$29,3),VLOOKUP(K234,[27]Minimas!$A$15:$F$29,2))))),IF(H234&lt;1999,VLOOKUP(K234,[27]Minimas!$G$15:$L$29,6),IF(AND(H234&gt;1998,H234&lt;2002),VLOOKUP(K234,[27]Minimas!$G$15:$L$29,5),IF(AND(H234&gt;2001,H234&lt;2004),VLOOKUP(K234,[27]Minimas!$G$15:$L$29,4),IF(AND(H234&gt;2003,H234&lt;2006),VLOOKUP(K234,[27]Minimas!$G$15:$L$29,3),VLOOKUP(K234,[27]Minimas!$G$15:$L$29,2)))))))</f>
        <v>SE M89</v>
      </c>
      <c r="W234" s="49">
        <f t="shared" si="72"/>
        <v>224.10541387460589</v>
      </c>
      <c r="X234" s="257">
        <v>43506</v>
      </c>
      <c r="Y234" s="261" t="s">
        <v>660</v>
      </c>
      <c r="Z234" s="261" t="s">
        <v>661</v>
      </c>
      <c r="AA234" s="232"/>
      <c r="AB234" s="230">
        <f>T234-HLOOKUP(V234,Minimas!$C$3:$CD$12,2,FALSE)</f>
        <v>40</v>
      </c>
      <c r="AC234" s="230">
        <f>T234-HLOOKUP(V234,Minimas!$C$3:$CD$12,3,FALSE)</f>
        <v>15</v>
      </c>
      <c r="AD234" s="230">
        <f>T234-HLOOKUP(V234,Minimas!$C$3:$CD$12,4,FALSE)</f>
        <v>-10</v>
      </c>
      <c r="AE234" s="230">
        <f>T234-HLOOKUP(V234,Minimas!$C$3:$CD$12,5,FALSE)</f>
        <v>-40</v>
      </c>
      <c r="AF234" s="230">
        <f>T234-HLOOKUP(V234,Minimas!$C$3:$CD$12,6,FALSE)</f>
        <v>-70</v>
      </c>
      <c r="AG234" s="230">
        <f>T234-HLOOKUP(V234,Minimas!$C$3:$CD$12,7,FALSE)</f>
        <v>-97</v>
      </c>
      <c r="AH234" s="230">
        <f>T234-HLOOKUP(V234,Minimas!$C$3:$CD$12,8,FALSE)</f>
        <v>-120</v>
      </c>
      <c r="AI234" s="230">
        <f>T234-HLOOKUP(V234,Minimas!$C$3:$CD$12,9,FALSE)</f>
        <v>-140</v>
      </c>
      <c r="AJ234" s="230">
        <f>T234-HLOOKUP(V234,Minimas!$C$3:$CD$12,10,FALSE)</f>
        <v>-170</v>
      </c>
      <c r="AK234" s="231" t="str">
        <f t="shared" si="73"/>
        <v>DPT +</v>
      </c>
      <c r="AL234" s="232"/>
      <c r="AM234" s="232" t="str">
        <f t="shared" si="74"/>
        <v>DPT +</v>
      </c>
      <c r="AN234" s="232">
        <f t="shared" si="75"/>
        <v>15</v>
      </c>
      <c r="AO234" s="232"/>
      <c r="AP234" s="485"/>
      <c r="AQ234" s="485"/>
      <c r="AR234" s="485"/>
      <c r="AS234" s="485"/>
      <c r="AT234" s="485"/>
      <c r="AU234" s="485"/>
      <c r="AV234" s="485"/>
      <c r="AW234" s="485"/>
      <c r="AX234" s="485"/>
      <c r="AY234" s="485"/>
      <c r="AZ234" s="485"/>
      <c r="BA234" s="485"/>
      <c r="BB234" s="485"/>
      <c r="BC234" s="485"/>
      <c r="BD234" s="485"/>
      <c r="BE234" s="485"/>
      <c r="BF234" s="485"/>
      <c r="BG234" s="485"/>
      <c r="BH234" s="485"/>
      <c r="BI234" s="485"/>
      <c r="BJ234" s="485"/>
      <c r="BK234" s="485"/>
      <c r="BL234" s="485"/>
      <c r="BM234" s="485"/>
      <c r="BN234" s="485"/>
      <c r="BO234" s="485"/>
      <c r="BP234" s="485"/>
      <c r="BQ234" s="485"/>
      <c r="BR234" s="485"/>
      <c r="BS234" s="485"/>
      <c r="BT234" s="485"/>
      <c r="BU234" s="485"/>
      <c r="BV234" s="485"/>
      <c r="BW234" s="485"/>
      <c r="BX234" s="485"/>
      <c r="BY234" s="485"/>
      <c r="BZ234" s="485"/>
      <c r="CA234" s="485"/>
      <c r="CB234" s="485"/>
      <c r="CC234" s="485"/>
      <c r="CD234" s="485"/>
      <c r="CE234" s="485"/>
      <c r="CF234" s="485"/>
      <c r="CG234" s="485"/>
      <c r="CH234" s="485"/>
      <c r="CI234" s="485"/>
      <c r="CJ234" s="485"/>
      <c r="CK234" s="485"/>
      <c r="CL234" s="485"/>
      <c r="CM234" s="485"/>
      <c r="CN234" s="485"/>
      <c r="CO234" s="485"/>
      <c r="CP234" s="485"/>
      <c r="CQ234" s="485"/>
      <c r="CR234" s="485"/>
      <c r="CS234" s="485"/>
      <c r="CT234" s="485"/>
      <c r="CU234" s="485"/>
      <c r="CV234" s="485"/>
      <c r="CW234" s="485"/>
      <c r="CX234" s="485"/>
      <c r="CY234" s="485"/>
      <c r="CZ234" s="485"/>
      <c r="DA234" s="485"/>
      <c r="DB234" s="485"/>
      <c r="DC234" s="485"/>
      <c r="DD234" s="485"/>
      <c r="DE234" s="485"/>
      <c r="DF234" s="485"/>
      <c r="DG234" s="485"/>
      <c r="DH234" s="485"/>
      <c r="DI234" s="485"/>
      <c r="DJ234" s="485"/>
      <c r="DK234" s="485"/>
      <c r="DL234" s="485"/>
      <c r="DM234" s="485"/>
      <c r="DN234" s="485"/>
      <c r="DO234" s="485"/>
      <c r="DP234" s="485"/>
      <c r="DQ234" s="485"/>
      <c r="DR234" s="485"/>
      <c r="DS234" s="485"/>
      <c r="DT234" s="485"/>
    </row>
    <row r="235" spans="1:124" ht="23" customHeight="1" x14ac:dyDescent="0.3">
      <c r="A235" s="484"/>
      <c r="B235" s="136" t="s">
        <v>543</v>
      </c>
      <c r="C235" s="525">
        <v>443404</v>
      </c>
      <c r="D235" s="119"/>
      <c r="E235" s="406" t="s">
        <v>40</v>
      </c>
      <c r="F235" s="414" t="s">
        <v>284</v>
      </c>
      <c r="G235" s="415" t="s">
        <v>449</v>
      </c>
      <c r="H235" s="416">
        <v>1992</v>
      </c>
      <c r="I235" s="881" t="s">
        <v>139</v>
      </c>
      <c r="J235" s="578" t="s">
        <v>44</v>
      </c>
      <c r="K235" s="581">
        <v>88.4</v>
      </c>
      <c r="L235" s="452">
        <v>80</v>
      </c>
      <c r="M235" s="453">
        <v>84</v>
      </c>
      <c r="N235" s="597">
        <v>-88</v>
      </c>
      <c r="O235" s="490">
        <f t="shared" si="68"/>
        <v>84</v>
      </c>
      <c r="P235" s="452">
        <v>96</v>
      </c>
      <c r="Q235" s="453">
        <v>100</v>
      </c>
      <c r="R235" s="453">
        <v>105</v>
      </c>
      <c r="S235" s="490">
        <f t="shared" si="70"/>
        <v>105</v>
      </c>
      <c r="T235" s="502">
        <f>IF(E235="","",IF(OR(O235=0,S235=0),0,O235+S235))</f>
        <v>189</v>
      </c>
      <c r="U235" s="48" t="str">
        <f t="shared" si="71"/>
        <v>DPT + 14</v>
      </c>
      <c r="V235" s="48" t="str">
        <f>IF(E235=0," ",IF(E235="H",IF(H235&lt;1999,VLOOKUP(K235,Minimas!$A$15:$F$29,6),IF(AND(H235&gt;1998,H235&lt;2002),VLOOKUP(K235,Minimas!$A$15:$F$29,5),IF(AND(H235&gt;2001,H235&lt;2004),VLOOKUP(K235,Minimas!$A$15:$F$29,4),IF(AND(H235&gt;2003,H235&lt;2006),VLOOKUP(K235,Minimas!$A$15:$F$29,3),VLOOKUP(K235,Minimas!$A$15:$F$29,2))))),IF(H235&lt;1999,VLOOKUP(K235,Minimas!$G$15:$L$29,6),IF(AND(H235&gt;1998,H235&lt;2002),VLOOKUP(K235,Minimas!$G$15:$L$29,5),IF(AND(H235&gt;2001,H235&lt;2004),VLOOKUP(K235,Minimas!$G$15:$L$29,4),IF(AND(H235&gt;2003,H235&lt;2006),VLOOKUP(K235,Minimas!$G$15:$L$29,3),VLOOKUP(K235,Minimas!$G$15:$L$29,2)))))))</f>
        <v>SE M89</v>
      </c>
      <c r="W235" s="49">
        <f t="shared" si="72"/>
        <v>220.37784312109792</v>
      </c>
      <c r="X235" s="184">
        <v>43429</v>
      </c>
      <c r="Y235" s="284" t="s">
        <v>509</v>
      </c>
      <c r="Z235" s="284" t="s">
        <v>510</v>
      </c>
      <c r="AA235" s="232"/>
      <c r="AB235" s="230">
        <f>T235-HLOOKUP(V235,Minimas!$C$3:$CD$12,2,FALSE)</f>
        <v>39</v>
      </c>
      <c r="AC235" s="230">
        <f>T235-HLOOKUP(V235,Minimas!$C$3:$CD$12,3,FALSE)</f>
        <v>14</v>
      </c>
      <c r="AD235" s="230">
        <f>T235-HLOOKUP(V235,Minimas!$C$3:$CD$12,4,FALSE)</f>
        <v>-11</v>
      </c>
      <c r="AE235" s="230">
        <f>T235-HLOOKUP(V235,Minimas!$C$3:$CD$12,5,FALSE)</f>
        <v>-41</v>
      </c>
      <c r="AF235" s="230">
        <f>T235-HLOOKUP(V235,Minimas!$C$3:$CD$12,6,FALSE)</f>
        <v>-71</v>
      </c>
      <c r="AG235" s="230">
        <f>T235-HLOOKUP(V235,Minimas!$C$3:$CD$12,7,FALSE)</f>
        <v>-98</v>
      </c>
      <c r="AH235" s="230">
        <f>T235-HLOOKUP(V235,Minimas!$C$3:$CD$12,8,FALSE)</f>
        <v>-121</v>
      </c>
      <c r="AI235" s="230">
        <f>T235-HLOOKUP(V235,Minimas!$C$3:$CD$12,9,FALSE)</f>
        <v>-141</v>
      </c>
      <c r="AJ235" s="230">
        <f>T235-HLOOKUP(V235,Minimas!$C$3:$CD$12,10,FALSE)</f>
        <v>-171</v>
      </c>
      <c r="AK235" s="231" t="str">
        <f t="shared" si="73"/>
        <v>DPT +</v>
      </c>
      <c r="AL235" s="232"/>
      <c r="AM235" s="232" t="str">
        <f t="shared" si="74"/>
        <v>DPT +</v>
      </c>
      <c r="AN235" s="232">
        <f t="shared" si="75"/>
        <v>14</v>
      </c>
      <c r="AO235" s="232"/>
      <c r="AP235" s="485"/>
      <c r="AQ235" s="485"/>
      <c r="AR235" s="485"/>
      <c r="AS235" s="485"/>
      <c r="AT235" s="485"/>
      <c r="AU235" s="485"/>
      <c r="AV235" s="485"/>
      <c r="AW235" s="485"/>
      <c r="AX235" s="485"/>
      <c r="AY235" s="485"/>
      <c r="AZ235" s="485"/>
      <c r="BA235" s="485"/>
      <c r="BB235" s="485"/>
      <c r="BC235" s="485"/>
      <c r="BD235" s="485"/>
      <c r="BE235" s="485"/>
      <c r="BF235" s="485"/>
      <c r="BG235" s="485"/>
      <c r="BH235" s="485"/>
      <c r="BI235" s="485"/>
      <c r="BJ235" s="485"/>
      <c r="BK235" s="485"/>
      <c r="BL235" s="485"/>
      <c r="BM235" s="485"/>
      <c r="BN235" s="485"/>
      <c r="BO235" s="485"/>
      <c r="BP235" s="485"/>
      <c r="BQ235" s="485"/>
      <c r="BR235" s="485"/>
      <c r="BS235" s="485"/>
      <c r="BT235" s="485"/>
      <c r="BU235" s="485"/>
      <c r="BV235" s="485"/>
      <c r="BW235" s="485"/>
      <c r="BX235" s="485"/>
      <c r="BY235" s="485"/>
      <c r="BZ235" s="485"/>
      <c r="CA235" s="485"/>
      <c r="CB235" s="485"/>
      <c r="CC235" s="485"/>
      <c r="CD235" s="485"/>
      <c r="CE235" s="485"/>
      <c r="CF235" s="485"/>
      <c r="CG235" s="485"/>
      <c r="CH235" s="485"/>
      <c r="CI235" s="485"/>
      <c r="CJ235" s="485"/>
      <c r="CK235" s="485"/>
      <c r="CL235" s="485"/>
      <c r="CM235" s="485"/>
      <c r="CN235" s="485"/>
      <c r="CO235" s="485"/>
      <c r="CP235" s="485"/>
      <c r="CQ235" s="485"/>
      <c r="CR235" s="485"/>
      <c r="CS235" s="485"/>
      <c r="CT235" s="485"/>
      <c r="CU235" s="485"/>
      <c r="CV235" s="485"/>
      <c r="CW235" s="485"/>
      <c r="CX235" s="485"/>
      <c r="CY235" s="485"/>
      <c r="CZ235" s="485"/>
      <c r="DA235" s="485"/>
      <c r="DB235" s="485"/>
      <c r="DC235" s="485"/>
      <c r="DD235" s="485"/>
      <c r="DE235" s="485"/>
      <c r="DF235" s="485"/>
      <c r="DG235" s="485"/>
      <c r="DH235" s="485"/>
      <c r="DI235" s="485"/>
      <c r="DJ235" s="485"/>
      <c r="DK235" s="485"/>
      <c r="DL235" s="485"/>
      <c r="DM235" s="485"/>
      <c r="DN235" s="485"/>
      <c r="DO235" s="485"/>
      <c r="DP235" s="485"/>
      <c r="DQ235" s="485"/>
      <c r="DR235" s="485"/>
      <c r="DS235" s="485"/>
      <c r="DT235" s="485"/>
    </row>
    <row r="236" spans="1:124" ht="23" customHeight="1" x14ac:dyDescent="0.3">
      <c r="A236" s="484"/>
      <c r="B236" s="136" t="s">
        <v>543</v>
      </c>
      <c r="C236" s="525">
        <v>432116</v>
      </c>
      <c r="D236" s="119"/>
      <c r="E236" s="406" t="s">
        <v>40</v>
      </c>
      <c r="F236" s="414" t="s">
        <v>447</v>
      </c>
      <c r="G236" s="415" t="s">
        <v>448</v>
      </c>
      <c r="H236" s="416">
        <v>1997</v>
      </c>
      <c r="I236" s="568" t="s">
        <v>440</v>
      </c>
      <c r="J236" s="578" t="s">
        <v>44</v>
      </c>
      <c r="K236" s="581">
        <v>84.25</v>
      </c>
      <c r="L236" s="452">
        <v>80</v>
      </c>
      <c r="M236" s="453">
        <v>85</v>
      </c>
      <c r="N236" s="453">
        <v>90</v>
      </c>
      <c r="O236" s="490">
        <f t="shared" si="68"/>
        <v>90</v>
      </c>
      <c r="P236" s="452">
        <v>90</v>
      </c>
      <c r="Q236" s="453">
        <v>95</v>
      </c>
      <c r="R236" s="597">
        <v>-100</v>
      </c>
      <c r="S236" s="490">
        <f t="shared" si="70"/>
        <v>95</v>
      </c>
      <c r="T236" s="502">
        <f>IF(E236="","",IF(OR(O236=0,S236=0),0,O236+S236))</f>
        <v>185</v>
      </c>
      <c r="U236" s="48" t="str">
        <f t="shared" si="71"/>
        <v>DPT + 10</v>
      </c>
      <c r="V236" s="48" t="str">
        <f>IF(E236=0," ",IF(E236="H",IF(H236&lt;1999,VLOOKUP(K236,Minimas!$A$15:$F$29,6),IF(AND(H236&gt;1998,H236&lt;2002),VLOOKUP(K236,Minimas!$A$15:$F$29,5),IF(AND(H236&gt;2001,H236&lt;2004),VLOOKUP(K236,Minimas!$A$15:$F$29,4),IF(AND(H236&gt;2003,H236&lt;2006),VLOOKUP(K236,Minimas!$A$15:$F$29,3),VLOOKUP(K236,Minimas!$A$15:$F$29,2))))),IF(H236&lt;1999,VLOOKUP(K236,Minimas!$G$15:$L$29,6),IF(AND(H236&gt;1998,H236&lt;2002),VLOOKUP(K236,Minimas!$G$15:$L$29,5),IF(AND(H236&gt;2001,H236&lt;2004),VLOOKUP(K236,Minimas!$G$15:$L$29,4),IF(AND(H236&gt;2003,H236&lt;2006),VLOOKUP(K236,Minimas!$G$15:$L$29,3),VLOOKUP(K236,Minimas!$G$15:$L$29,2)))))))</f>
        <v>SE M89</v>
      </c>
      <c r="W236" s="49">
        <f t="shared" si="72"/>
        <v>220.57662991711425</v>
      </c>
      <c r="X236" s="184">
        <v>43429</v>
      </c>
      <c r="Y236" s="284" t="s">
        <v>509</v>
      </c>
      <c r="Z236" s="284" t="s">
        <v>510</v>
      </c>
      <c r="AA236" s="232"/>
      <c r="AB236" s="230">
        <f>T236-HLOOKUP(V236,Minimas!$C$3:$CD$12,2,FALSE)</f>
        <v>35</v>
      </c>
      <c r="AC236" s="230">
        <f>T236-HLOOKUP(V236,Minimas!$C$3:$CD$12,3,FALSE)</f>
        <v>10</v>
      </c>
      <c r="AD236" s="230">
        <f>T236-HLOOKUP(V236,Minimas!$C$3:$CD$12,4,FALSE)</f>
        <v>-15</v>
      </c>
      <c r="AE236" s="230">
        <f>T236-HLOOKUP(V236,Minimas!$C$3:$CD$12,5,FALSE)</f>
        <v>-45</v>
      </c>
      <c r="AF236" s="230">
        <f>T236-HLOOKUP(V236,Minimas!$C$3:$CD$12,6,FALSE)</f>
        <v>-75</v>
      </c>
      <c r="AG236" s="230">
        <f>T236-HLOOKUP(V236,Minimas!$C$3:$CD$12,7,FALSE)</f>
        <v>-102</v>
      </c>
      <c r="AH236" s="230">
        <f>T236-HLOOKUP(V236,Minimas!$C$3:$CD$12,8,FALSE)</f>
        <v>-125</v>
      </c>
      <c r="AI236" s="230">
        <f>T236-HLOOKUP(V236,Minimas!$C$3:$CD$12,9,FALSE)</f>
        <v>-145</v>
      </c>
      <c r="AJ236" s="230">
        <f>T236-HLOOKUP(V236,Minimas!$C$3:$CD$12,10,FALSE)</f>
        <v>-175</v>
      </c>
      <c r="AK236" s="231" t="str">
        <f t="shared" si="73"/>
        <v>DPT +</v>
      </c>
      <c r="AL236" s="232"/>
      <c r="AM236" s="232" t="str">
        <f t="shared" si="74"/>
        <v>DPT +</v>
      </c>
      <c r="AN236" s="232">
        <f t="shared" si="75"/>
        <v>10</v>
      </c>
      <c r="AO236" s="232"/>
      <c r="AP236" s="485"/>
      <c r="AQ236" s="485"/>
      <c r="AR236" s="485"/>
      <c r="AS236" s="485"/>
      <c r="AT236" s="485"/>
      <c r="AU236" s="485"/>
      <c r="AV236" s="485"/>
      <c r="AW236" s="485"/>
      <c r="AX236" s="485"/>
      <c r="AY236" s="485"/>
      <c r="AZ236" s="485"/>
      <c r="BA236" s="485"/>
      <c r="BB236" s="485"/>
      <c r="BC236" s="485"/>
      <c r="BD236" s="485"/>
      <c r="BE236" s="485"/>
      <c r="BF236" s="485"/>
      <c r="BG236" s="485"/>
      <c r="BH236" s="485"/>
      <c r="BI236" s="485"/>
      <c r="BJ236" s="485"/>
      <c r="BK236" s="485"/>
      <c r="BL236" s="485"/>
      <c r="BM236" s="485"/>
      <c r="BN236" s="485"/>
      <c r="BO236" s="485"/>
      <c r="BP236" s="485"/>
      <c r="BQ236" s="485"/>
      <c r="BR236" s="485"/>
      <c r="BS236" s="485"/>
      <c r="BT236" s="485"/>
      <c r="BU236" s="485"/>
      <c r="BV236" s="485"/>
      <c r="BW236" s="485"/>
      <c r="BX236" s="485"/>
      <c r="BY236" s="485"/>
      <c r="BZ236" s="485"/>
      <c r="CA236" s="485"/>
      <c r="CB236" s="485"/>
      <c r="CC236" s="485"/>
      <c r="CD236" s="485"/>
      <c r="CE236" s="485"/>
      <c r="CF236" s="485"/>
      <c r="CG236" s="485"/>
      <c r="CH236" s="485"/>
      <c r="CI236" s="485"/>
      <c r="CJ236" s="485"/>
      <c r="CK236" s="485"/>
      <c r="CL236" s="485"/>
      <c r="CM236" s="485"/>
      <c r="CN236" s="485"/>
      <c r="CO236" s="485"/>
      <c r="CP236" s="485"/>
      <c r="CQ236" s="485"/>
      <c r="CR236" s="485"/>
      <c r="CS236" s="485"/>
      <c r="CT236" s="485"/>
      <c r="CU236" s="485"/>
      <c r="CV236" s="485"/>
      <c r="CW236" s="485"/>
      <c r="CX236" s="485"/>
      <c r="CY236" s="485"/>
      <c r="CZ236" s="485"/>
      <c r="DA236" s="485"/>
      <c r="DB236" s="485"/>
      <c r="DC236" s="485"/>
      <c r="DD236" s="485"/>
      <c r="DE236" s="485"/>
      <c r="DF236" s="485"/>
      <c r="DG236" s="485"/>
      <c r="DH236" s="485"/>
      <c r="DI236" s="485"/>
      <c r="DJ236" s="485"/>
      <c r="DK236" s="485"/>
      <c r="DL236" s="485"/>
      <c r="DM236" s="485"/>
      <c r="DN236" s="485"/>
      <c r="DO236" s="485"/>
      <c r="DP236" s="485"/>
      <c r="DQ236" s="485"/>
      <c r="DR236" s="485"/>
      <c r="DS236" s="485"/>
      <c r="DT236" s="485"/>
    </row>
    <row r="237" spans="1:124" ht="23.5" customHeight="1" x14ac:dyDescent="0.3">
      <c r="A237" s="484"/>
      <c r="B237" s="136" t="s">
        <v>543</v>
      </c>
      <c r="C237" s="525">
        <v>443523</v>
      </c>
      <c r="D237" s="122"/>
      <c r="E237" s="406" t="s">
        <v>40</v>
      </c>
      <c r="F237" s="414" t="s">
        <v>399</v>
      </c>
      <c r="G237" s="415" t="s">
        <v>400</v>
      </c>
      <c r="H237" s="416">
        <v>1992</v>
      </c>
      <c r="I237" s="753" t="s">
        <v>170</v>
      </c>
      <c r="J237" s="578" t="s">
        <v>44</v>
      </c>
      <c r="K237" s="581">
        <v>82.3</v>
      </c>
      <c r="L237" s="456">
        <v>70</v>
      </c>
      <c r="M237" s="457">
        <v>74</v>
      </c>
      <c r="N237" s="457">
        <v>78</v>
      </c>
      <c r="O237" s="490">
        <f t="shared" si="68"/>
        <v>78</v>
      </c>
      <c r="P237" s="452">
        <v>95</v>
      </c>
      <c r="Q237" s="453">
        <v>100</v>
      </c>
      <c r="R237" s="453">
        <v>105</v>
      </c>
      <c r="S237" s="490">
        <f t="shared" si="70"/>
        <v>105</v>
      </c>
      <c r="T237" s="502">
        <f>IF(E237="","",IF(OR(O237=0,S237=0),0,O237+S237))</f>
        <v>183</v>
      </c>
      <c r="U237" s="48" t="str">
        <f t="shared" si="71"/>
        <v>DPT + 8</v>
      </c>
      <c r="V237" s="48" t="str">
        <f>IF(E237=0," ",IF(E237="H",IF(H237&lt;1999,VLOOKUP(K237,Minimas!$A$15:$F$29,6),IF(AND(H237&gt;1998,H237&lt;2002),VLOOKUP(K237,Minimas!$A$15:$F$29,5),IF(AND(H237&gt;2001,H237&lt;2004),VLOOKUP(K237,Minimas!$A$15:$F$29,4),IF(AND(H237&gt;2003,H237&lt;2006),VLOOKUP(K237,Minimas!$A$15:$F$29,3),VLOOKUP(K237,Minimas!$A$15:$F$29,2))))),IF(H237&lt;1999,VLOOKUP(K237,Minimas!$G$15:$L$29,6),IF(AND(H237&gt;1998,H237&lt;2002),VLOOKUP(K237,Minimas!$G$15:$L$29,5),IF(AND(H237&gt;2001,H237&lt;2004),VLOOKUP(K237,Minimas!$G$15:$L$29,4),IF(AND(H237&gt;2003,H237&lt;2006),VLOOKUP(K237,Minimas!$G$15:$L$29,3),VLOOKUP(K237,Minimas!$G$15:$L$29,2)))))))</f>
        <v>SE M89</v>
      </c>
      <c r="W237" s="49">
        <f t="shared" si="72"/>
        <v>220.69447350118978</v>
      </c>
      <c r="X237" s="184">
        <v>43401</v>
      </c>
      <c r="Y237" s="284" t="s">
        <v>507</v>
      </c>
      <c r="Z237" s="284" t="s">
        <v>506</v>
      </c>
      <c r="AA237" s="232"/>
      <c r="AB237" s="230">
        <f>T237-HLOOKUP(V237,Minimas!$C$3:$CD$12,2,FALSE)</f>
        <v>33</v>
      </c>
      <c r="AC237" s="230">
        <f>T237-HLOOKUP(V237,Minimas!$C$3:$CD$12,3,FALSE)</f>
        <v>8</v>
      </c>
      <c r="AD237" s="230">
        <f>T237-HLOOKUP(V237,Minimas!$C$3:$CD$12,4,FALSE)</f>
        <v>-17</v>
      </c>
      <c r="AE237" s="230">
        <f>T237-HLOOKUP(V237,Minimas!$C$3:$CD$12,5,FALSE)</f>
        <v>-47</v>
      </c>
      <c r="AF237" s="230">
        <f>T237-HLOOKUP(V237,Minimas!$C$3:$CD$12,6,FALSE)</f>
        <v>-77</v>
      </c>
      <c r="AG237" s="230">
        <f>T237-HLOOKUP(V237,Minimas!$C$3:$CD$12,7,FALSE)</f>
        <v>-104</v>
      </c>
      <c r="AH237" s="230">
        <f>T237-HLOOKUP(V237,Minimas!$C$3:$CD$12,8,FALSE)</f>
        <v>-127</v>
      </c>
      <c r="AI237" s="230">
        <f>T237-HLOOKUP(V237,Minimas!$C$3:$CD$12,9,FALSE)</f>
        <v>-147</v>
      </c>
      <c r="AJ237" s="230">
        <f>T237-HLOOKUP(V237,Minimas!$C$3:$CD$12,10,FALSE)</f>
        <v>-177</v>
      </c>
      <c r="AK237" s="231" t="str">
        <f t="shared" si="73"/>
        <v>DPT +</v>
      </c>
      <c r="AL237" s="232"/>
      <c r="AM237" s="232" t="str">
        <f t="shared" si="74"/>
        <v>DPT +</v>
      </c>
      <c r="AN237" s="232">
        <f t="shared" si="75"/>
        <v>8</v>
      </c>
      <c r="AO237" s="232"/>
      <c r="AP237" s="485"/>
      <c r="AQ237" s="485"/>
      <c r="AR237" s="485"/>
      <c r="AS237" s="485"/>
      <c r="AT237" s="485"/>
      <c r="AU237" s="485"/>
      <c r="AV237" s="485"/>
      <c r="AW237" s="485"/>
      <c r="AX237" s="485"/>
      <c r="AY237" s="485"/>
      <c r="AZ237" s="485"/>
      <c r="BA237" s="485"/>
      <c r="BB237" s="485"/>
      <c r="BC237" s="485"/>
      <c r="BD237" s="485"/>
      <c r="BE237" s="485"/>
      <c r="BF237" s="485"/>
      <c r="BG237" s="485"/>
      <c r="BH237" s="485"/>
      <c r="BI237" s="485"/>
      <c r="BJ237" s="485"/>
      <c r="BK237" s="485"/>
      <c r="BL237" s="485"/>
      <c r="BM237" s="485"/>
      <c r="BN237" s="485"/>
      <c r="BO237" s="485"/>
      <c r="BP237" s="485"/>
      <c r="BQ237" s="485"/>
      <c r="BR237" s="485"/>
      <c r="BS237" s="485"/>
      <c r="BT237" s="485"/>
      <c r="BU237" s="485"/>
      <c r="BV237" s="485"/>
      <c r="BW237" s="485"/>
      <c r="BX237" s="485"/>
      <c r="BY237" s="485"/>
      <c r="BZ237" s="485"/>
      <c r="CA237" s="485"/>
      <c r="CB237" s="485"/>
      <c r="CC237" s="485"/>
      <c r="CD237" s="485"/>
      <c r="CE237" s="485"/>
      <c r="CF237" s="485"/>
      <c r="CG237" s="485"/>
      <c r="CH237" s="485"/>
      <c r="CI237" s="485"/>
      <c r="CJ237" s="485"/>
      <c r="CK237" s="485"/>
      <c r="CL237" s="485"/>
      <c r="CM237" s="485"/>
      <c r="CN237" s="485"/>
      <c r="CO237" s="485"/>
      <c r="CP237" s="485"/>
      <c r="CQ237" s="485"/>
      <c r="CR237" s="485"/>
      <c r="CS237" s="485"/>
      <c r="CT237" s="485"/>
      <c r="CU237" s="485"/>
      <c r="CV237" s="485"/>
      <c r="CW237" s="485"/>
      <c r="CX237" s="485"/>
      <c r="CY237" s="485"/>
      <c r="CZ237" s="485"/>
      <c r="DA237" s="485"/>
      <c r="DB237" s="485"/>
      <c r="DC237" s="485"/>
      <c r="DD237" s="485"/>
      <c r="DE237" s="485"/>
      <c r="DF237" s="485"/>
      <c r="DG237" s="485"/>
      <c r="DH237" s="485"/>
      <c r="DI237" s="485"/>
      <c r="DJ237" s="485"/>
      <c r="DK237" s="485"/>
      <c r="DL237" s="485"/>
      <c r="DM237" s="485"/>
      <c r="DN237" s="485"/>
      <c r="DO237" s="485"/>
      <c r="DP237" s="485"/>
      <c r="DQ237" s="485"/>
      <c r="DR237" s="485"/>
      <c r="DS237" s="485"/>
      <c r="DT237" s="485"/>
    </row>
    <row r="238" spans="1:124" ht="23.5" customHeight="1" x14ac:dyDescent="0.25">
      <c r="A238" s="484"/>
      <c r="B238" s="515" t="s">
        <v>543</v>
      </c>
      <c r="C238" s="499">
        <v>383718</v>
      </c>
      <c r="D238" s="496"/>
      <c r="E238" s="323" t="s">
        <v>40</v>
      </c>
      <c r="F238" s="328" t="s">
        <v>294</v>
      </c>
      <c r="G238" s="487" t="s">
        <v>382</v>
      </c>
      <c r="H238" s="329">
        <v>1981</v>
      </c>
      <c r="I238" s="330" t="s">
        <v>546</v>
      </c>
      <c r="J238" s="331" t="s">
        <v>44</v>
      </c>
      <c r="K238" s="297">
        <v>81.2</v>
      </c>
      <c r="L238" s="300">
        <v>80</v>
      </c>
      <c r="M238" s="449">
        <v>-85</v>
      </c>
      <c r="N238" s="449">
        <v>-85</v>
      </c>
      <c r="O238" s="802">
        <f t="shared" si="68"/>
        <v>80</v>
      </c>
      <c r="P238" s="300">
        <v>95</v>
      </c>
      <c r="Q238" s="301">
        <v>100</v>
      </c>
      <c r="R238" s="449">
        <v>-102</v>
      </c>
      <c r="S238" s="490">
        <f t="shared" si="70"/>
        <v>100</v>
      </c>
      <c r="T238" s="489">
        <f>IF(E238="","",IF(OR(O238=0,S238=0),0,O238+S238))</f>
        <v>180</v>
      </c>
      <c r="U238" s="48" t="str">
        <f t="shared" si="71"/>
        <v>DPT + 5</v>
      </c>
      <c r="V238" s="48" t="str">
        <f>IF(E238=0," ",IF(E238="H",IF(H238&lt;1999,VLOOKUP(K238,Minimas!$A$15:$F$29,6),IF(AND(H238&gt;1998,H238&lt;2002),VLOOKUP(K238,Minimas!$A$15:$F$29,5),IF(AND(H238&gt;2001,H238&lt;2004),VLOOKUP(K238,Minimas!$A$15:$F$29,4),IF(AND(H238&gt;2003,H238&lt;2006),VLOOKUP(K238,Minimas!$A$15:$F$29,3),VLOOKUP(K238,Minimas!$A$15:$F$29,2))))),IF(H238&lt;1999,VLOOKUP(K238,Minimas!$G$15:$L$29,6),IF(AND(H238&gt;1998,H238&lt;2002),VLOOKUP(K238,Minimas!$G$15:$L$29,5),IF(AND(H238&gt;2001,H238&lt;2004),VLOOKUP(K238,Minimas!$G$15:$L$29,4),IF(AND(H238&gt;2003,H238&lt;2006),VLOOKUP(K238,Minimas!$G$15:$L$29,3),VLOOKUP(K238,Minimas!$G$15:$L$29,2)))))))</f>
        <v>SE M89</v>
      </c>
      <c r="W238" s="49">
        <f t="shared" si="72"/>
        <v>218.53904712776549</v>
      </c>
      <c r="X238" s="257">
        <v>43484</v>
      </c>
      <c r="Y238" s="261" t="s">
        <v>630</v>
      </c>
      <c r="Z238" s="261" t="s">
        <v>511</v>
      </c>
      <c r="AA238" s="232"/>
      <c r="AB238" s="230">
        <f>T238-HLOOKUP(V238,Minimas!$C$3:$CD$12,2,FALSE)</f>
        <v>30</v>
      </c>
      <c r="AC238" s="230">
        <f>T238-HLOOKUP(V238,Minimas!$C$3:$CD$12,3,FALSE)</f>
        <v>5</v>
      </c>
      <c r="AD238" s="230">
        <f>T238-HLOOKUP(V238,Minimas!$C$3:$CD$12,4,FALSE)</f>
        <v>-20</v>
      </c>
      <c r="AE238" s="230">
        <f>T238-HLOOKUP(V238,Minimas!$C$3:$CD$12,5,FALSE)</f>
        <v>-50</v>
      </c>
      <c r="AF238" s="230">
        <f>T238-HLOOKUP(V238,Minimas!$C$3:$CD$12,6,FALSE)</f>
        <v>-80</v>
      </c>
      <c r="AG238" s="230">
        <f>T238-HLOOKUP(V238,Minimas!$C$3:$CD$12,7,FALSE)</f>
        <v>-107</v>
      </c>
      <c r="AH238" s="230">
        <f>T238-HLOOKUP(V238,Minimas!$C$3:$CD$12,8,FALSE)</f>
        <v>-130</v>
      </c>
      <c r="AI238" s="230">
        <f>T238-HLOOKUP(V238,Minimas!$C$3:$CD$12,9,FALSE)</f>
        <v>-150</v>
      </c>
      <c r="AJ238" s="230">
        <f>T238-HLOOKUP(V238,Minimas!$C$3:$CD$12,10,FALSE)</f>
        <v>-180</v>
      </c>
      <c r="AK238" s="231" t="str">
        <f t="shared" si="73"/>
        <v>DPT +</v>
      </c>
      <c r="AL238" s="232"/>
      <c r="AM238" s="232" t="str">
        <f t="shared" si="74"/>
        <v>DPT +</v>
      </c>
      <c r="AN238" s="232">
        <f t="shared" si="75"/>
        <v>5</v>
      </c>
      <c r="AO238" s="232"/>
      <c r="AP238" s="485"/>
      <c r="AQ238" s="485"/>
      <c r="AR238" s="485"/>
      <c r="AS238" s="485"/>
      <c r="AT238" s="485"/>
      <c r="AU238" s="485"/>
      <c r="AV238" s="485"/>
      <c r="AW238" s="485"/>
      <c r="AX238" s="485"/>
      <c r="AY238" s="485"/>
      <c r="AZ238" s="485"/>
      <c r="BA238" s="485"/>
      <c r="BB238" s="485"/>
      <c r="BC238" s="485"/>
      <c r="BD238" s="485"/>
      <c r="BE238" s="485"/>
      <c r="BF238" s="485"/>
      <c r="BG238" s="485"/>
      <c r="BH238" s="485"/>
      <c r="BI238" s="485"/>
      <c r="BJ238" s="485"/>
      <c r="BK238" s="485"/>
      <c r="BL238" s="485"/>
      <c r="BM238" s="485"/>
      <c r="BN238" s="485"/>
      <c r="BO238" s="485"/>
      <c r="BP238" s="485"/>
      <c r="BQ238" s="485"/>
      <c r="BR238" s="485"/>
      <c r="BS238" s="485"/>
      <c r="BT238" s="485"/>
      <c r="BU238" s="485"/>
      <c r="BV238" s="485"/>
      <c r="BW238" s="485"/>
      <c r="BX238" s="485"/>
      <c r="BY238" s="485"/>
      <c r="BZ238" s="485"/>
      <c r="CA238" s="485"/>
      <c r="CB238" s="485"/>
      <c r="CC238" s="485"/>
      <c r="CD238" s="485"/>
      <c r="CE238" s="485"/>
      <c r="CF238" s="485"/>
      <c r="CG238" s="485"/>
      <c r="CH238" s="485"/>
      <c r="CI238" s="485"/>
      <c r="CJ238" s="485"/>
      <c r="CK238" s="485"/>
      <c r="CL238" s="485"/>
      <c r="CM238" s="485"/>
      <c r="CN238" s="485"/>
      <c r="CO238" s="485"/>
      <c r="CP238" s="485"/>
      <c r="CQ238" s="485"/>
      <c r="CR238" s="485"/>
      <c r="CS238" s="485"/>
      <c r="CT238" s="485"/>
      <c r="CU238" s="485"/>
      <c r="CV238" s="485"/>
      <c r="CW238" s="485"/>
      <c r="CX238" s="485"/>
      <c r="CY238" s="485"/>
      <c r="CZ238" s="485"/>
      <c r="DA238" s="485"/>
      <c r="DB238" s="485"/>
      <c r="DC238" s="485"/>
      <c r="DD238" s="485"/>
      <c r="DE238" s="485"/>
      <c r="DF238" s="485"/>
      <c r="DG238" s="485"/>
      <c r="DH238" s="485"/>
      <c r="DI238" s="485"/>
      <c r="DJ238" s="485"/>
      <c r="DK238" s="485"/>
      <c r="DL238" s="485"/>
      <c r="DM238" s="485"/>
      <c r="DN238" s="485"/>
      <c r="DO238" s="485"/>
      <c r="DP238" s="485"/>
      <c r="DQ238" s="485"/>
      <c r="DR238" s="485"/>
      <c r="DS238" s="485"/>
      <c r="DT238" s="485"/>
    </row>
    <row r="239" spans="1:124" ht="23.5" customHeight="1" x14ac:dyDescent="0.3">
      <c r="A239" s="484"/>
      <c r="B239" s="515" t="s">
        <v>543</v>
      </c>
      <c r="C239" s="701">
        <v>430488</v>
      </c>
      <c r="D239" s="714"/>
      <c r="E239" s="399" t="s">
        <v>40</v>
      </c>
      <c r="F239" s="407" t="s">
        <v>484</v>
      </c>
      <c r="G239" s="408" t="s">
        <v>485</v>
      </c>
      <c r="H239" s="409">
        <v>1977</v>
      </c>
      <c r="I239" s="410" t="s">
        <v>170</v>
      </c>
      <c r="J239" s="379" t="s">
        <v>44</v>
      </c>
      <c r="K239" s="882">
        <v>84.6</v>
      </c>
      <c r="L239" s="452">
        <v>75</v>
      </c>
      <c r="M239" s="796">
        <v>-80</v>
      </c>
      <c r="N239" s="453">
        <v>80</v>
      </c>
      <c r="O239" s="490">
        <f t="shared" si="68"/>
        <v>80</v>
      </c>
      <c r="P239" s="452">
        <v>85</v>
      </c>
      <c r="Q239" s="453">
        <v>90</v>
      </c>
      <c r="R239" s="453">
        <v>95</v>
      </c>
      <c r="S239" s="490">
        <f t="shared" si="70"/>
        <v>95</v>
      </c>
      <c r="T239" s="489">
        <f>IF(E239="","",IF(OR(O239=0,S239=0),0,O239+S239))</f>
        <v>175</v>
      </c>
      <c r="U239" s="48" t="str">
        <f t="shared" si="71"/>
        <v>DPT + 0</v>
      </c>
      <c r="V239" s="48" t="str">
        <f>IF(E239=0," ",IF(E239="H",IF(H239&lt;1999,VLOOKUP(K239,Minimas!$A$15:$F$29,6),IF(AND(H239&gt;1998,H239&lt;2002),VLOOKUP(K239,Minimas!$A$15:$F$29,5),IF(AND(H239&gt;2001,H239&lt;2004),VLOOKUP(K239,Minimas!$A$15:$F$29,4),IF(AND(H239&gt;2003,H239&lt;2006),VLOOKUP(K239,Minimas!$A$15:$F$29,3),VLOOKUP(K239,Minimas!$A$15:$F$29,2))))),IF(H239&lt;1999,VLOOKUP(K239,Minimas!$G$15:$L$29,6),IF(AND(H239&gt;1998,H239&lt;2002),VLOOKUP(K239,Minimas!$G$15:$L$29,5),IF(AND(H239&gt;2001,H239&lt;2004),VLOOKUP(K239,Minimas!$G$15:$L$29,4),IF(AND(H239&gt;2003,H239&lt;2006),VLOOKUP(K239,Minimas!$G$15:$L$29,3),VLOOKUP(K239,Minimas!$G$15:$L$29,2)))))))</f>
        <v>SE M89</v>
      </c>
      <c r="W239" s="49">
        <f t="shared" si="72"/>
        <v>208.24052155126765</v>
      </c>
      <c r="X239" s="184">
        <v>43435</v>
      </c>
      <c r="Y239" s="284" t="s">
        <v>509</v>
      </c>
      <c r="Z239" s="284" t="s">
        <v>511</v>
      </c>
      <c r="AA239" s="232"/>
      <c r="AB239" s="230">
        <f>T239-HLOOKUP(V239,Minimas!$C$3:$CD$12,2,FALSE)</f>
        <v>25</v>
      </c>
      <c r="AC239" s="230">
        <f>T239-HLOOKUP(V239,Minimas!$C$3:$CD$12,3,FALSE)</f>
        <v>0</v>
      </c>
      <c r="AD239" s="230">
        <f>T239-HLOOKUP(V239,Minimas!$C$3:$CD$12,4,FALSE)</f>
        <v>-25</v>
      </c>
      <c r="AE239" s="230">
        <f>T239-HLOOKUP(V239,Minimas!$C$3:$CD$12,5,FALSE)</f>
        <v>-55</v>
      </c>
      <c r="AF239" s="230">
        <f>T239-HLOOKUP(V239,Minimas!$C$3:$CD$12,6,FALSE)</f>
        <v>-85</v>
      </c>
      <c r="AG239" s="230">
        <f>T239-HLOOKUP(V239,Minimas!$C$3:$CD$12,7,FALSE)</f>
        <v>-112</v>
      </c>
      <c r="AH239" s="230">
        <f>T239-HLOOKUP(V239,Minimas!$C$3:$CD$12,8,FALSE)</f>
        <v>-135</v>
      </c>
      <c r="AI239" s="230">
        <f>T239-HLOOKUP(V239,Minimas!$C$3:$CD$12,9,FALSE)</f>
        <v>-155</v>
      </c>
      <c r="AJ239" s="230">
        <f>T239-HLOOKUP(V239,Minimas!$C$3:$CD$12,10,FALSE)</f>
        <v>-185</v>
      </c>
      <c r="AK239" s="231" t="str">
        <f t="shared" si="73"/>
        <v>DPT +</v>
      </c>
      <c r="AL239" s="232"/>
      <c r="AM239" s="232" t="str">
        <f t="shared" si="74"/>
        <v>DPT +</v>
      </c>
      <c r="AN239" s="232">
        <f t="shared" si="75"/>
        <v>0</v>
      </c>
      <c r="AO239" s="232"/>
      <c r="AP239" s="485"/>
      <c r="AQ239" s="485"/>
      <c r="AR239" s="485"/>
      <c r="AS239" s="485"/>
      <c r="AT239" s="485"/>
      <c r="AU239" s="485"/>
      <c r="AV239" s="485"/>
      <c r="AW239" s="485"/>
      <c r="AX239" s="485"/>
      <c r="AY239" s="485"/>
      <c r="AZ239" s="485"/>
      <c r="BA239" s="485"/>
      <c r="BB239" s="485"/>
      <c r="BC239" s="485"/>
      <c r="BD239" s="485"/>
      <c r="BE239" s="485"/>
      <c r="BF239" s="485"/>
      <c r="BG239" s="485"/>
      <c r="BH239" s="485"/>
      <c r="BI239" s="485"/>
      <c r="BJ239" s="485"/>
      <c r="BK239" s="485"/>
      <c r="BL239" s="485"/>
      <c r="BM239" s="485"/>
      <c r="BN239" s="485"/>
      <c r="BO239" s="485"/>
      <c r="BP239" s="485"/>
      <c r="BQ239" s="485"/>
      <c r="BR239" s="485"/>
      <c r="BS239" s="485"/>
      <c r="BT239" s="485"/>
      <c r="BU239" s="485"/>
      <c r="BV239" s="485"/>
      <c r="BW239" s="485"/>
      <c r="BX239" s="485"/>
      <c r="BY239" s="485"/>
      <c r="BZ239" s="485"/>
      <c r="CA239" s="485"/>
      <c r="CB239" s="485"/>
      <c r="CC239" s="485"/>
      <c r="CD239" s="485"/>
      <c r="CE239" s="485"/>
      <c r="CF239" s="485"/>
      <c r="CG239" s="485"/>
      <c r="CH239" s="485"/>
      <c r="CI239" s="485"/>
      <c r="CJ239" s="485"/>
      <c r="CK239" s="485"/>
      <c r="CL239" s="485"/>
      <c r="CM239" s="485"/>
      <c r="CN239" s="485"/>
      <c r="CO239" s="485"/>
      <c r="CP239" s="485"/>
      <c r="CQ239" s="485"/>
      <c r="CR239" s="485"/>
      <c r="CS239" s="485"/>
      <c r="CT239" s="485"/>
      <c r="CU239" s="485"/>
      <c r="CV239" s="485"/>
      <c r="CW239" s="485"/>
      <c r="CX239" s="485"/>
      <c r="CY239" s="485"/>
      <c r="CZ239" s="485"/>
      <c r="DA239" s="485"/>
      <c r="DB239" s="485"/>
      <c r="DC239" s="485"/>
      <c r="DD239" s="485"/>
      <c r="DE239" s="485"/>
      <c r="DF239" s="485"/>
      <c r="DG239" s="485"/>
      <c r="DH239" s="485"/>
      <c r="DI239" s="485"/>
      <c r="DJ239" s="485"/>
      <c r="DK239" s="485"/>
      <c r="DL239" s="485"/>
      <c r="DM239" s="485"/>
      <c r="DN239" s="485"/>
      <c r="DO239" s="485"/>
      <c r="DP239" s="485"/>
      <c r="DQ239" s="485"/>
      <c r="DR239" s="485"/>
      <c r="DS239" s="485"/>
      <c r="DT239" s="485"/>
    </row>
    <row r="240" spans="1:124" ht="23.5" customHeight="1" x14ac:dyDescent="0.25">
      <c r="B240" s="515" t="s">
        <v>543</v>
      </c>
      <c r="C240" s="499">
        <v>438348</v>
      </c>
      <c r="D240" s="496"/>
      <c r="E240" s="323" t="s">
        <v>40</v>
      </c>
      <c r="F240" s="486" t="s">
        <v>415</v>
      </c>
      <c r="G240" s="487" t="s">
        <v>416</v>
      </c>
      <c r="H240" s="492">
        <v>1976</v>
      </c>
      <c r="I240" s="528" t="s">
        <v>129</v>
      </c>
      <c r="J240" s="493" t="s">
        <v>44</v>
      </c>
      <c r="K240" s="488">
        <v>88</v>
      </c>
      <c r="L240" s="448">
        <v>-74</v>
      </c>
      <c r="M240" s="301">
        <v>74</v>
      </c>
      <c r="N240" s="449">
        <v>-80</v>
      </c>
      <c r="O240" s="490">
        <f t="shared" si="68"/>
        <v>74</v>
      </c>
      <c r="P240" s="300">
        <v>90</v>
      </c>
      <c r="Q240" s="301">
        <v>95</v>
      </c>
      <c r="R240" s="301">
        <v>100</v>
      </c>
      <c r="S240" s="490">
        <f t="shared" si="70"/>
        <v>100</v>
      </c>
      <c r="T240" s="489">
        <f>IF(E240="","",O240+S240)</f>
        <v>174</v>
      </c>
      <c r="U240" s="48" t="str">
        <f t="shared" si="71"/>
        <v>DEB 24</v>
      </c>
      <c r="V240" s="48" t="str">
        <f>IF(E240=0," ",IF(E240="H",IF(H240&lt;1999,VLOOKUP(K240,[31]Minimas!$A$15:$F$29,6),IF(AND(H240&gt;1998,H240&lt;2002),VLOOKUP(K240,[31]Minimas!$A$15:$F$29,5),IF(AND(H240&gt;2001,H240&lt;2004),VLOOKUP(K240,[31]Minimas!$A$15:$F$29,4),IF(AND(H240&gt;2003,H240&lt;2006),VLOOKUP(K240,[31]Minimas!$A$15:$F$29,3),VLOOKUP(K240,[31]Minimas!$A$15:$F$29,2))))),IF(H240&lt;1999,VLOOKUP(K240,[31]Minimas!$G$15:$L$29,6),IF(AND(H240&gt;1998,H240&lt;2002),VLOOKUP(K240,[31]Minimas!$G$15:$L$29,5),IF(AND(H240&gt;2001,H240&lt;2004),VLOOKUP(K240,[31]Minimas!$G$15:$L$29,4),IF(AND(H240&gt;2003,H240&lt;2006),VLOOKUP(K240,[31]Minimas!$G$15:$L$29,3),VLOOKUP(K240,[31]Minimas!$G$15:$L$29,2)))))))</f>
        <v>SE M89</v>
      </c>
      <c r="W240" s="49">
        <f t="shared" si="72"/>
        <v>203.30147073355974</v>
      </c>
      <c r="X240" s="257">
        <v>43540</v>
      </c>
      <c r="Y240" s="261" t="s">
        <v>714</v>
      </c>
      <c r="Z240" s="261" t="s">
        <v>704</v>
      </c>
      <c r="AA240" s="463"/>
      <c r="AB240" s="230">
        <f>T240-HLOOKUP(V240,Minimas!$C$3:$CD$12,2,FALSE)</f>
        <v>24</v>
      </c>
      <c r="AC240" s="230">
        <f>T240-HLOOKUP(V240,Minimas!$C$3:$CD$12,3,FALSE)</f>
        <v>-1</v>
      </c>
      <c r="AD240" s="230">
        <f>T240-HLOOKUP(V240,Minimas!$C$3:$CD$12,4,FALSE)</f>
        <v>-26</v>
      </c>
      <c r="AE240" s="230">
        <f>T240-HLOOKUP(V240,Minimas!$C$3:$CD$12,5,FALSE)</f>
        <v>-56</v>
      </c>
      <c r="AF240" s="230">
        <f>T240-HLOOKUP(V240,Minimas!$C$3:$CD$12,6,FALSE)</f>
        <v>-86</v>
      </c>
      <c r="AG240" s="230">
        <f>T240-HLOOKUP(V240,Minimas!$C$3:$CD$12,7,FALSE)</f>
        <v>-113</v>
      </c>
      <c r="AH240" s="230">
        <f>T240-HLOOKUP(V240,Minimas!$C$3:$CD$12,8,FALSE)</f>
        <v>-136</v>
      </c>
      <c r="AI240" s="230">
        <f>T240-HLOOKUP(V240,Minimas!$C$3:$CD$12,9,FALSE)</f>
        <v>-156</v>
      </c>
      <c r="AJ240" s="230">
        <f>T240-HLOOKUP(V240,Minimas!$C$3:$CD$12,10,FALSE)</f>
        <v>-186</v>
      </c>
      <c r="AK240" s="231" t="str">
        <f t="shared" si="73"/>
        <v>DEB</v>
      </c>
      <c r="AL240" s="232"/>
      <c r="AM240" s="232" t="str">
        <f t="shared" si="74"/>
        <v>DEB</v>
      </c>
      <c r="AN240" s="232">
        <f t="shared" si="75"/>
        <v>24</v>
      </c>
      <c r="AO240" s="463"/>
    </row>
    <row r="241" spans="1:124" ht="23.5" customHeight="1" x14ac:dyDescent="0.3">
      <c r="A241" s="484"/>
      <c r="B241" s="515" t="s">
        <v>543</v>
      </c>
      <c r="C241" s="499">
        <v>75093</v>
      </c>
      <c r="D241" s="708"/>
      <c r="E241" s="720" t="s">
        <v>40</v>
      </c>
      <c r="F241" s="486" t="s">
        <v>259</v>
      </c>
      <c r="G241" s="487" t="s">
        <v>260</v>
      </c>
      <c r="H241" s="492">
        <v>1976</v>
      </c>
      <c r="I241" s="528" t="s">
        <v>254</v>
      </c>
      <c r="J241" s="379" t="s">
        <v>44</v>
      </c>
      <c r="K241" s="297">
        <v>81.150000000000006</v>
      </c>
      <c r="L241" s="782">
        <v>70</v>
      </c>
      <c r="M241" s="793">
        <v>75</v>
      </c>
      <c r="N241" s="798">
        <v>-80</v>
      </c>
      <c r="O241" s="802">
        <f t="shared" si="68"/>
        <v>75</v>
      </c>
      <c r="P241" s="782">
        <v>88</v>
      </c>
      <c r="Q241" s="793">
        <v>92</v>
      </c>
      <c r="R241" s="793">
        <v>96</v>
      </c>
      <c r="S241" s="490">
        <f t="shared" si="70"/>
        <v>96</v>
      </c>
      <c r="T241" s="489">
        <f t="shared" ref="T241:T248" si="76">IF(E241="","",IF(OR(O241=0,S241=0),0,O241+S241))</f>
        <v>171</v>
      </c>
      <c r="U241" s="48" t="str">
        <f t="shared" si="71"/>
        <v>DEB 21</v>
      </c>
      <c r="V241" s="48" t="str">
        <f>IF(E241=0," ",IF(E241="H",IF(H241&lt;1999,VLOOKUP(K241,Minimas!$A$15:$F$29,6),IF(AND(H241&gt;1998,H241&lt;2002),VLOOKUP(K241,Minimas!$A$15:$F$29,5),IF(AND(H241&gt;2001,H241&lt;2004),VLOOKUP(K241,Minimas!$A$15:$F$29,4),IF(AND(H241&gt;2003,H241&lt;2006),VLOOKUP(K241,Minimas!$A$15:$F$29,3),VLOOKUP(K241,Minimas!$A$15:$F$29,2))))),IF(H241&lt;1999,VLOOKUP(K241,Minimas!$G$15:$L$29,6),IF(AND(H241&gt;1998,H241&lt;2002),VLOOKUP(K241,Minimas!$G$15:$L$29,5),IF(AND(H241&gt;2001,H241&lt;2004),VLOOKUP(K241,Minimas!$G$15:$L$29,4),IF(AND(H241&gt;2003,H241&lt;2006),VLOOKUP(K241,Minimas!$G$15:$L$29,3),VLOOKUP(K241,Minimas!$G$15:$L$29,2)))))))</f>
        <v>SE M89</v>
      </c>
      <c r="W241" s="49">
        <f t="shared" si="72"/>
        <v>207.67650666722</v>
      </c>
      <c r="X241" s="184">
        <v>43435</v>
      </c>
      <c r="Y241" s="284" t="s">
        <v>526</v>
      </c>
      <c r="Z241" s="284" t="s">
        <v>504</v>
      </c>
      <c r="AA241" s="232"/>
      <c r="AB241" s="230">
        <f>T241-HLOOKUP(V241,Minimas!$C$3:$CD$12,2,FALSE)</f>
        <v>21</v>
      </c>
      <c r="AC241" s="230">
        <f>T241-HLOOKUP(V241,Minimas!$C$3:$CD$12,3,FALSE)</f>
        <v>-4</v>
      </c>
      <c r="AD241" s="230">
        <f>T241-HLOOKUP(V241,Minimas!$C$3:$CD$12,4,FALSE)</f>
        <v>-29</v>
      </c>
      <c r="AE241" s="230">
        <f>T241-HLOOKUP(V241,Minimas!$C$3:$CD$12,5,FALSE)</f>
        <v>-59</v>
      </c>
      <c r="AF241" s="230">
        <f>T241-HLOOKUP(V241,Minimas!$C$3:$CD$12,6,FALSE)</f>
        <v>-89</v>
      </c>
      <c r="AG241" s="230">
        <f>T241-HLOOKUP(V241,Minimas!$C$3:$CD$12,7,FALSE)</f>
        <v>-116</v>
      </c>
      <c r="AH241" s="230">
        <f>T241-HLOOKUP(V241,Minimas!$C$3:$CD$12,8,FALSE)</f>
        <v>-139</v>
      </c>
      <c r="AI241" s="230">
        <f>T241-HLOOKUP(V241,Minimas!$C$3:$CD$12,9,FALSE)</f>
        <v>-159</v>
      </c>
      <c r="AJ241" s="230">
        <f>T241-HLOOKUP(V241,Minimas!$C$3:$CD$12,10,FALSE)</f>
        <v>-189</v>
      </c>
      <c r="AK241" s="231" t="str">
        <f t="shared" si="73"/>
        <v>DEB</v>
      </c>
      <c r="AL241" s="232"/>
      <c r="AM241" s="232" t="str">
        <f t="shared" si="74"/>
        <v>DEB</v>
      </c>
      <c r="AN241" s="232">
        <f t="shared" si="75"/>
        <v>21</v>
      </c>
      <c r="AO241" s="232"/>
      <c r="AP241" s="485"/>
      <c r="AQ241" s="485"/>
      <c r="AR241" s="485"/>
      <c r="AS241" s="485"/>
      <c r="AT241" s="485"/>
      <c r="AU241" s="485"/>
      <c r="AV241" s="485"/>
      <c r="AW241" s="485"/>
      <c r="AX241" s="485"/>
      <c r="AY241" s="485"/>
      <c r="AZ241" s="485"/>
      <c r="BA241" s="485"/>
      <c r="BB241" s="485"/>
      <c r="BC241" s="485"/>
      <c r="BD241" s="485"/>
      <c r="BE241" s="485"/>
      <c r="BF241" s="485"/>
      <c r="BG241" s="485"/>
      <c r="BH241" s="485"/>
      <c r="BI241" s="485"/>
      <c r="BJ241" s="485"/>
      <c r="BK241" s="485"/>
      <c r="BL241" s="485"/>
      <c r="BM241" s="485"/>
      <c r="BN241" s="485"/>
      <c r="BO241" s="485"/>
      <c r="BP241" s="485"/>
      <c r="BQ241" s="485"/>
      <c r="BR241" s="485"/>
      <c r="BS241" s="485"/>
      <c r="BT241" s="485"/>
      <c r="BU241" s="485"/>
      <c r="BV241" s="485"/>
      <c r="BW241" s="485"/>
      <c r="BX241" s="485"/>
      <c r="BY241" s="485"/>
      <c r="BZ241" s="485"/>
      <c r="CA241" s="485"/>
      <c r="CB241" s="485"/>
      <c r="CC241" s="485"/>
      <c r="CD241" s="485"/>
      <c r="CE241" s="485"/>
      <c r="CF241" s="485"/>
      <c r="CG241" s="485"/>
      <c r="CH241" s="485"/>
      <c r="CI241" s="485"/>
      <c r="CJ241" s="485"/>
      <c r="CK241" s="485"/>
      <c r="CL241" s="485"/>
      <c r="CM241" s="485"/>
      <c r="CN241" s="485"/>
      <c r="CO241" s="485"/>
      <c r="CP241" s="485"/>
      <c r="CQ241" s="485"/>
      <c r="CR241" s="485"/>
      <c r="CS241" s="485"/>
      <c r="CT241" s="485"/>
      <c r="CU241" s="485"/>
      <c r="CV241" s="485"/>
      <c r="CW241" s="485"/>
      <c r="CX241" s="485"/>
      <c r="CY241" s="485"/>
      <c r="CZ241" s="485"/>
      <c r="DA241" s="485"/>
      <c r="DB241" s="485"/>
      <c r="DC241" s="485"/>
      <c r="DD241" s="485"/>
      <c r="DE241" s="485"/>
      <c r="DF241" s="485"/>
      <c r="DG241" s="485"/>
      <c r="DH241" s="485"/>
      <c r="DI241" s="485"/>
      <c r="DJ241" s="485"/>
      <c r="DK241" s="485"/>
      <c r="DL241" s="485"/>
      <c r="DM241" s="485"/>
      <c r="DN241" s="485"/>
      <c r="DO241" s="485"/>
      <c r="DP241" s="485"/>
      <c r="DQ241" s="485"/>
      <c r="DR241" s="485"/>
      <c r="DS241" s="485"/>
      <c r="DT241" s="485"/>
    </row>
    <row r="242" spans="1:124" ht="23.5" customHeight="1" x14ac:dyDescent="0.3">
      <c r="A242" s="484"/>
      <c r="B242" s="515" t="s">
        <v>543</v>
      </c>
      <c r="C242" s="699">
        <v>444812</v>
      </c>
      <c r="D242" s="718"/>
      <c r="E242" s="825" t="s">
        <v>40</v>
      </c>
      <c r="F242" s="486" t="s">
        <v>286</v>
      </c>
      <c r="G242" s="487" t="s">
        <v>287</v>
      </c>
      <c r="H242" s="292">
        <v>1995</v>
      </c>
      <c r="I242" s="425" t="s">
        <v>155</v>
      </c>
      <c r="J242" s="379" t="s">
        <v>44</v>
      </c>
      <c r="K242" s="779">
        <v>81.7</v>
      </c>
      <c r="L242" s="784">
        <v>75</v>
      </c>
      <c r="M242" s="799">
        <v>-80</v>
      </c>
      <c r="N242" s="799">
        <v>-82</v>
      </c>
      <c r="O242" s="802">
        <f t="shared" si="68"/>
        <v>75</v>
      </c>
      <c r="P242" s="784">
        <v>90</v>
      </c>
      <c r="Q242" s="799">
        <v>-95</v>
      </c>
      <c r="R242" s="799">
        <v>-95</v>
      </c>
      <c r="S242" s="490">
        <f t="shared" si="70"/>
        <v>90</v>
      </c>
      <c r="T242" s="489">
        <f t="shared" si="76"/>
        <v>165</v>
      </c>
      <c r="U242" s="48" t="str">
        <f t="shared" si="71"/>
        <v>DEB 15</v>
      </c>
      <c r="V242" s="48" t="str">
        <f>IF(E242=0," ",IF(E242="H",IF(H242&lt;1999,VLOOKUP(K242,Minimas!$A$15:$F$29,6),IF(AND(H242&gt;1998,H242&lt;2002),VLOOKUP(K242,Minimas!$A$15:$F$29,5),IF(AND(H242&gt;2001,H242&lt;2004),VLOOKUP(K242,Minimas!$A$15:$F$29,4),IF(AND(H242&gt;2003,H242&lt;2006),VLOOKUP(K242,Minimas!$A$15:$F$29,3),VLOOKUP(K242,Minimas!$A$15:$F$29,2))))),IF(H242&lt;1999,VLOOKUP(K242,Minimas!$G$15:$L$29,6),IF(AND(H242&gt;1998,H242&lt;2002),VLOOKUP(K242,Minimas!$G$15:$L$29,5),IF(AND(H242&gt;2001,H242&lt;2004),VLOOKUP(K242,Minimas!$G$15:$L$29,4),IF(AND(H242&gt;2003,H242&lt;2006),VLOOKUP(K242,Minimas!$G$15:$L$29,3),VLOOKUP(K242,Minimas!$G$15:$L$29,2)))))))</f>
        <v>SE M89</v>
      </c>
      <c r="W242" s="49">
        <f t="shared" si="72"/>
        <v>199.71179482887436</v>
      </c>
      <c r="X242" s="184">
        <v>43435</v>
      </c>
      <c r="Y242" s="284" t="s">
        <v>526</v>
      </c>
      <c r="Z242" s="284" t="s">
        <v>514</v>
      </c>
      <c r="AA242" s="232"/>
      <c r="AB242" s="230">
        <f>T242-HLOOKUP(V242,Minimas!$C$3:$CD$12,2,FALSE)</f>
        <v>15</v>
      </c>
      <c r="AC242" s="230">
        <f>T242-HLOOKUP(V242,Minimas!$C$3:$CD$12,3,FALSE)</f>
        <v>-10</v>
      </c>
      <c r="AD242" s="230">
        <f>T242-HLOOKUP(V242,Minimas!$C$3:$CD$12,4,FALSE)</f>
        <v>-35</v>
      </c>
      <c r="AE242" s="230">
        <f>T242-HLOOKUP(V242,Minimas!$C$3:$CD$12,5,FALSE)</f>
        <v>-65</v>
      </c>
      <c r="AF242" s="230">
        <f>T242-HLOOKUP(V242,Minimas!$C$3:$CD$12,6,FALSE)</f>
        <v>-95</v>
      </c>
      <c r="AG242" s="230">
        <f>T242-HLOOKUP(V242,Minimas!$C$3:$CD$12,7,FALSE)</f>
        <v>-122</v>
      </c>
      <c r="AH242" s="230">
        <f>T242-HLOOKUP(V242,Minimas!$C$3:$CD$12,8,FALSE)</f>
        <v>-145</v>
      </c>
      <c r="AI242" s="230">
        <f>T242-HLOOKUP(V242,Minimas!$C$3:$CD$12,9,FALSE)</f>
        <v>-165</v>
      </c>
      <c r="AJ242" s="230">
        <f>T242-HLOOKUP(V242,Minimas!$C$3:$CD$12,10,FALSE)</f>
        <v>-195</v>
      </c>
      <c r="AK242" s="231" t="str">
        <f t="shared" si="73"/>
        <v>DEB</v>
      </c>
      <c r="AL242" s="232"/>
      <c r="AM242" s="232" t="str">
        <f t="shared" si="74"/>
        <v>DEB</v>
      </c>
      <c r="AN242" s="232">
        <f t="shared" si="75"/>
        <v>15</v>
      </c>
      <c r="AO242" s="232"/>
      <c r="AP242" s="485"/>
      <c r="AQ242" s="485"/>
      <c r="AR242" s="485"/>
      <c r="AS242" s="485"/>
      <c r="AT242" s="485"/>
      <c r="AU242" s="485"/>
      <c r="AV242" s="485"/>
      <c r="AW242" s="485"/>
      <c r="AX242" s="485"/>
      <c r="AY242" s="485"/>
      <c r="AZ242" s="485"/>
      <c r="BA242" s="485"/>
      <c r="BB242" s="485"/>
      <c r="BC242" s="485"/>
      <c r="BD242" s="485"/>
      <c r="BE242" s="485"/>
      <c r="BF242" s="485"/>
      <c r="BG242" s="485"/>
      <c r="BH242" s="485"/>
      <c r="BI242" s="485"/>
      <c r="BJ242" s="485"/>
      <c r="BK242" s="485"/>
      <c r="BL242" s="485"/>
      <c r="BM242" s="485"/>
      <c r="BN242" s="485"/>
      <c r="BO242" s="485"/>
      <c r="BP242" s="485"/>
      <c r="BQ242" s="485"/>
      <c r="BR242" s="485"/>
      <c r="BS242" s="485"/>
      <c r="BT242" s="485"/>
      <c r="BU242" s="485"/>
      <c r="BV242" s="485"/>
      <c r="BW242" s="485"/>
      <c r="BX242" s="485"/>
      <c r="BY242" s="485"/>
      <c r="BZ242" s="485"/>
      <c r="CA242" s="485"/>
      <c r="CB242" s="485"/>
      <c r="CC242" s="485"/>
      <c r="CD242" s="485"/>
      <c r="CE242" s="485"/>
      <c r="CF242" s="485"/>
      <c r="CG242" s="485"/>
      <c r="CH242" s="485"/>
      <c r="CI242" s="485"/>
      <c r="CJ242" s="485"/>
      <c r="CK242" s="485"/>
      <c r="CL242" s="485"/>
      <c r="CM242" s="485"/>
      <c r="CN242" s="485"/>
      <c r="CO242" s="485"/>
      <c r="CP242" s="485"/>
      <c r="CQ242" s="485"/>
      <c r="CR242" s="485"/>
      <c r="CS242" s="485"/>
      <c r="CT242" s="485"/>
      <c r="CU242" s="485"/>
      <c r="CV242" s="485"/>
      <c r="CW242" s="485"/>
      <c r="CX242" s="485"/>
      <c r="CY242" s="485"/>
      <c r="CZ242" s="485"/>
      <c r="DA242" s="485"/>
      <c r="DB242" s="485"/>
      <c r="DC242" s="485"/>
      <c r="DD242" s="485"/>
      <c r="DE242" s="485"/>
      <c r="DF242" s="485"/>
      <c r="DG242" s="485"/>
      <c r="DH242" s="485"/>
      <c r="DI242" s="485"/>
      <c r="DJ242" s="485"/>
      <c r="DK242" s="485"/>
      <c r="DL242" s="485"/>
      <c r="DM242" s="485"/>
      <c r="DN242" s="485"/>
      <c r="DO242" s="485"/>
      <c r="DP242" s="485"/>
      <c r="DQ242" s="485"/>
      <c r="DR242" s="485"/>
      <c r="DS242" s="485"/>
      <c r="DT242" s="485"/>
    </row>
    <row r="243" spans="1:124" ht="23.5" customHeight="1" x14ac:dyDescent="0.3">
      <c r="A243" s="484"/>
      <c r="B243" s="515" t="s">
        <v>543</v>
      </c>
      <c r="C243" s="525">
        <v>435217</v>
      </c>
      <c r="D243" s="532"/>
      <c r="E243" s="399" t="s">
        <v>40</v>
      </c>
      <c r="F243" s="414" t="s">
        <v>401</v>
      </c>
      <c r="G243" s="415" t="s">
        <v>371</v>
      </c>
      <c r="H243" s="416">
        <v>1965</v>
      </c>
      <c r="I243" s="425" t="s">
        <v>173</v>
      </c>
      <c r="J243" s="379" t="s">
        <v>44</v>
      </c>
      <c r="K243" s="581">
        <v>87.05</v>
      </c>
      <c r="L243" s="590">
        <v>-70</v>
      </c>
      <c r="M243" s="457">
        <v>70</v>
      </c>
      <c r="N243" s="457">
        <v>75</v>
      </c>
      <c r="O243" s="490">
        <f t="shared" si="68"/>
        <v>75</v>
      </c>
      <c r="P243" s="452">
        <v>90</v>
      </c>
      <c r="Q243" s="597">
        <v>-97</v>
      </c>
      <c r="R243" s="597">
        <v>-100</v>
      </c>
      <c r="S243" s="490">
        <f t="shared" si="70"/>
        <v>90</v>
      </c>
      <c r="T243" s="489">
        <f t="shared" si="76"/>
        <v>165</v>
      </c>
      <c r="U243" s="48" t="str">
        <f t="shared" si="71"/>
        <v>DEB 15</v>
      </c>
      <c r="V243" s="48" t="str">
        <f>IF(E243=0," ",IF(E243="H",IF(H243&lt;1999,VLOOKUP(K243,Minimas!$A$15:$F$29,6),IF(AND(H243&gt;1998,H243&lt;2002),VLOOKUP(K243,Minimas!$A$15:$F$29,5),IF(AND(H243&gt;2001,H243&lt;2004),VLOOKUP(K243,Minimas!$A$15:$F$29,4),IF(AND(H243&gt;2003,H243&lt;2006),VLOOKUP(K243,Minimas!$A$15:$F$29,3),VLOOKUP(K243,Minimas!$A$15:$F$29,2))))),IF(H243&lt;1999,VLOOKUP(K243,Minimas!$G$15:$L$29,6),IF(AND(H243&gt;1998,H243&lt;2002),VLOOKUP(K243,Minimas!$G$15:$L$29,5),IF(AND(H243&gt;2001,H243&lt;2004),VLOOKUP(K243,Minimas!$G$15:$L$29,4),IF(AND(H243&gt;2003,H243&lt;2006),VLOOKUP(K243,Minimas!$G$15:$L$29,3),VLOOKUP(K243,Minimas!$G$15:$L$29,2)))))))</f>
        <v>SE M89</v>
      </c>
      <c r="W243" s="49">
        <f t="shared" si="72"/>
        <v>193.73913798703617</v>
      </c>
      <c r="X243" s="184">
        <v>43401</v>
      </c>
      <c r="Y243" s="284" t="s">
        <v>507</v>
      </c>
      <c r="Z243" s="284" t="s">
        <v>506</v>
      </c>
      <c r="AA243" s="232"/>
      <c r="AB243" s="230">
        <f>T243-HLOOKUP(V243,Minimas!$C$3:$CD$12,2,FALSE)</f>
        <v>15</v>
      </c>
      <c r="AC243" s="230">
        <f>T243-HLOOKUP(V243,Minimas!$C$3:$CD$12,3,FALSE)</f>
        <v>-10</v>
      </c>
      <c r="AD243" s="230">
        <f>T243-HLOOKUP(V243,Minimas!$C$3:$CD$12,4,FALSE)</f>
        <v>-35</v>
      </c>
      <c r="AE243" s="230">
        <f>T243-HLOOKUP(V243,Minimas!$C$3:$CD$12,5,FALSE)</f>
        <v>-65</v>
      </c>
      <c r="AF243" s="230">
        <f>T243-HLOOKUP(V243,Minimas!$C$3:$CD$12,6,FALSE)</f>
        <v>-95</v>
      </c>
      <c r="AG243" s="230">
        <f>T243-HLOOKUP(V243,Minimas!$C$3:$CD$12,7,FALSE)</f>
        <v>-122</v>
      </c>
      <c r="AH243" s="230">
        <f>T243-HLOOKUP(V243,Minimas!$C$3:$CD$12,8,FALSE)</f>
        <v>-145</v>
      </c>
      <c r="AI243" s="230">
        <f>T243-HLOOKUP(V243,Minimas!$C$3:$CD$12,9,FALSE)</f>
        <v>-165</v>
      </c>
      <c r="AJ243" s="230">
        <f>T243-HLOOKUP(V243,Minimas!$C$3:$CD$12,10,FALSE)</f>
        <v>-195</v>
      </c>
      <c r="AK243" s="231" t="str">
        <f t="shared" si="73"/>
        <v>DEB</v>
      </c>
      <c r="AL243" s="232"/>
      <c r="AM243" s="232" t="str">
        <f t="shared" si="74"/>
        <v>DEB</v>
      </c>
      <c r="AN243" s="232">
        <f t="shared" si="75"/>
        <v>15</v>
      </c>
      <c r="AO243" s="232"/>
      <c r="AP243" s="485"/>
      <c r="AQ243" s="485"/>
      <c r="AR243" s="485"/>
      <c r="AS243" s="485"/>
      <c r="AT243" s="485"/>
      <c r="AU243" s="485"/>
      <c r="AV243" s="485"/>
      <c r="AW243" s="485"/>
      <c r="AX243" s="485"/>
      <c r="AY243" s="485"/>
      <c r="AZ243" s="485"/>
      <c r="BA243" s="485"/>
      <c r="BB243" s="485"/>
      <c r="BC243" s="485"/>
      <c r="BD243" s="485"/>
      <c r="BE243" s="485"/>
      <c r="BF243" s="485"/>
      <c r="BG243" s="485"/>
      <c r="BH243" s="485"/>
      <c r="BI243" s="485"/>
      <c r="BJ243" s="485"/>
      <c r="BK243" s="485"/>
      <c r="BL243" s="485"/>
      <c r="BM243" s="485"/>
      <c r="BN243" s="485"/>
      <c r="BO243" s="485"/>
      <c r="BP243" s="485"/>
      <c r="BQ243" s="485"/>
      <c r="BR243" s="485"/>
      <c r="BS243" s="485"/>
      <c r="BT243" s="485"/>
      <c r="BU243" s="485"/>
      <c r="BV243" s="485"/>
      <c r="BW243" s="485"/>
      <c r="BX243" s="485"/>
      <c r="BY243" s="485"/>
      <c r="BZ243" s="485"/>
      <c r="CA243" s="485"/>
      <c r="CB243" s="485"/>
      <c r="CC243" s="485"/>
      <c r="CD243" s="485"/>
      <c r="CE243" s="485"/>
      <c r="CF243" s="485"/>
      <c r="CG243" s="485"/>
      <c r="CH243" s="485"/>
      <c r="CI243" s="485"/>
      <c r="CJ243" s="485"/>
      <c r="CK243" s="485"/>
      <c r="CL243" s="485"/>
      <c r="CM243" s="485"/>
      <c r="CN243" s="485"/>
      <c r="CO243" s="485"/>
      <c r="CP243" s="485"/>
      <c r="CQ243" s="485"/>
      <c r="CR243" s="485"/>
      <c r="CS243" s="485"/>
      <c r="CT243" s="485"/>
      <c r="CU243" s="485"/>
      <c r="CV243" s="485"/>
      <c r="CW243" s="485"/>
      <c r="CX243" s="485"/>
      <c r="CY243" s="485"/>
      <c r="CZ243" s="485"/>
      <c r="DA243" s="485"/>
      <c r="DB243" s="485"/>
      <c r="DC243" s="485"/>
      <c r="DD243" s="485"/>
      <c r="DE243" s="485"/>
      <c r="DF243" s="485"/>
      <c r="DG243" s="485"/>
      <c r="DH243" s="485"/>
      <c r="DI243" s="485"/>
      <c r="DJ243" s="485"/>
      <c r="DK243" s="485"/>
      <c r="DL243" s="485"/>
      <c r="DM243" s="485"/>
      <c r="DN243" s="485"/>
      <c r="DO243" s="485"/>
      <c r="DP243" s="485"/>
      <c r="DQ243" s="485"/>
      <c r="DR243" s="485"/>
      <c r="DS243" s="485"/>
      <c r="DT243" s="485"/>
    </row>
    <row r="244" spans="1:124" ht="23.5" customHeight="1" x14ac:dyDescent="0.25">
      <c r="A244" s="484"/>
      <c r="B244" s="316" t="s">
        <v>543</v>
      </c>
      <c r="C244" s="317">
        <v>246678</v>
      </c>
      <c r="D244" s="318"/>
      <c r="E244" s="315" t="s">
        <v>40</v>
      </c>
      <c r="F244" s="319" t="s">
        <v>404</v>
      </c>
      <c r="G244" s="320" t="s">
        <v>262</v>
      </c>
      <c r="H244" s="306">
        <v>1974</v>
      </c>
      <c r="I244" s="324" t="s">
        <v>219</v>
      </c>
      <c r="J244" s="322"/>
      <c r="K244" s="339">
        <v>87</v>
      </c>
      <c r="L244" s="300">
        <v>67</v>
      </c>
      <c r="M244" s="301">
        <v>70</v>
      </c>
      <c r="N244" s="301">
        <v>-73</v>
      </c>
      <c r="O244" s="490">
        <f t="shared" si="68"/>
        <v>70</v>
      </c>
      <c r="P244" s="300">
        <v>85</v>
      </c>
      <c r="Q244" s="301">
        <v>88</v>
      </c>
      <c r="R244" s="301">
        <v>91</v>
      </c>
      <c r="S244" s="490">
        <f t="shared" si="70"/>
        <v>91</v>
      </c>
      <c r="T244" s="489">
        <f t="shared" si="76"/>
        <v>161</v>
      </c>
      <c r="U244" s="48" t="str">
        <f t="shared" si="71"/>
        <v>DEB 11</v>
      </c>
      <c r="V244" s="48" t="str">
        <f>IF(E244=0," ",IF(E244="H",IF(H244&lt;1999,VLOOKUP(K244,[12]Minimas!$A$15:$F$29,6),IF(AND(H244&gt;1998,H244&lt;2002),VLOOKUP(K244,[12]Minimas!$A$15:$F$29,5),IF(AND(H244&gt;2001,H244&lt;2004),VLOOKUP(K244,[12]Minimas!$A$15:$F$29,4),IF(AND(H244&gt;2003,H244&lt;2006),VLOOKUP(K244,[12]Minimas!$A$15:$F$29,3),VLOOKUP(K244,[12]Minimas!$A$15:$F$29,2))))),IF(H244&lt;1999,VLOOKUP(K244,[12]Minimas!$G$15:$L$29,6),IF(AND(H244&gt;1998,H244&lt;2002),VLOOKUP(K244,[12]Minimas!$G$15:$L$29,5),IF(AND(H244&gt;2001,H244&lt;2004),VLOOKUP(K244,[12]Minimas!$G$15:$L$29,4),IF(AND(H244&gt;2003,H244&lt;2006),VLOOKUP(K244,[12]Minimas!$G$15:$L$29,3),VLOOKUP(K244,[12]Minimas!$G$15:$L$29,2)))))))</f>
        <v>SE M89</v>
      </c>
      <c r="W244" s="49">
        <f t="shared" si="72"/>
        <v>189.09220117737286</v>
      </c>
      <c r="X244" s="257">
        <v>43492</v>
      </c>
      <c r="Y244" s="261" t="s">
        <v>525</v>
      </c>
      <c r="Z244" s="261" t="s">
        <v>703</v>
      </c>
      <c r="AA244" s="232"/>
      <c r="AB244" s="230">
        <f>T244-HLOOKUP(V244,Minimas!$C$3:$CD$12,2,FALSE)</f>
        <v>11</v>
      </c>
      <c r="AC244" s="230">
        <f>T244-HLOOKUP(V244,Minimas!$C$3:$CD$12,3,FALSE)</f>
        <v>-14</v>
      </c>
      <c r="AD244" s="230">
        <f>T244-HLOOKUP(V244,Minimas!$C$3:$CD$12,4,FALSE)</f>
        <v>-39</v>
      </c>
      <c r="AE244" s="230">
        <f>T244-HLOOKUP(V244,Minimas!$C$3:$CD$12,5,FALSE)</f>
        <v>-69</v>
      </c>
      <c r="AF244" s="230">
        <f>T244-HLOOKUP(V244,Minimas!$C$3:$CD$12,6,FALSE)</f>
        <v>-99</v>
      </c>
      <c r="AG244" s="230">
        <f>T244-HLOOKUP(V244,Minimas!$C$3:$CD$12,7,FALSE)</f>
        <v>-126</v>
      </c>
      <c r="AH244" s="230">
        <f>T244-HLOOKUP(V244,Minimas!$C$3:$CD$12,8,FALSE)</f>
        <v>-149</v>
      </c>
      <c r="AI244" s="230">
        <f>T244-HLOOKUP(V244,Minimas!$C$3:$CD$12,9,FALSE)</f>
        <v>-169</v>
      </c>
      <c r="AJ244" s="230">
        <f>T244-HLOOKUP(V244,Minimas!$C$3:$CD$12,10,FALSE)</f>
        <v>-199</v>
      </c>
      <c r="AK244" s="231" t="str">
        <f t="shared" si="73"/>
        <v>DEB</v>
      </c>
      <c r="AL244" s="232"/>
      <c r="AM244" s="232" t="str">
        <f t="shared" si="74"/>
        <v>DEB</v>
      </c>
      <c r="AN244" s="232">
        <f t="shared" si="75"/>
        <v>11</v>
      </c>
      <c r="AO244" s="232"/>
      <c r="AP244" s="485"/>
      <c r="AQ244" s="485"/>
      <c r="AR244" s="485"/>
      <c r="AS244" s="485"/>
      <c r="AT244" s="485"/>
      <c r="AU244" s="485"/>
      <c r="AV244" s="485"/>
      <c r="AW244" s="485"/>
      <c r="AX244" s="485"/>
      <c r="AY244" s="485"/>
      <c r="AZ244" s="485"/>
      <c r="BA244" s="485"/>
      <c r="BB244" s="485"/>
      <c r="BC244" s="485"/>
      <c r="BD244" s="485"/>
      <c r="BE244" s="485"/>
      <c r="BF244" s="485"/>
      <c r="BG244" s="485"/>
      <c r="BH244" s="485"/>
      <c r="BI244" s="485"/>
      <c r="BJ244" s="485"/>
      <c r="BK244" s="485"/>
      <c r="BL244" s="485"/>
      <c r="BM244" s="485"/>
      <c r="BN244" s="485"/>
      <c r="BO244" s="485"/>
      <c r="BP244" s="485"/>
      <c r="BQ244" s="485"/>
      <c r="BR244" s="485"/>
      <c r="BS244" s="485"/>
      <c r="BT244" s="485"/>
      <c r="BU244" s="485"/>
      <c r="BV244" s="485"/>
      <c r="BW244" s="485"/>
      <c r="BX244" s="485"/>
      <c r="BY244" s="485"/>
      <c r="BZ244" s="485"/>
      <c r="CA244" s="485"/>
      <c r="CB244" s="485"/>
      <c r="CC244" s="485"/>
      <c r="CD244" s="485"/>
      <c r="CE244" s="485"/>
      <c r="CF244" s="485"/>
      <c r="CG244" s="485"/>
      <c r="CH244" s="485"/>
      <c r="CI244" s="485"/>
      <c r="CJ244" s="485"/>
      <c r="CK244" s="485"/>
      <c r="CL244" s="485"/>
      <c r="CM244" s="485"/>
      <c r="CN244" s="485"/>
      <c r="CO244" s="485"/>
      <c r="CP244" s="485"/>
      <c r="CQ244" s="485"/>
      <c r="CR244" s="485"/>
      <c r="CS244" s="485"/>
      <c r="CT244" s="485"/>
      <c r="CU244" s="485"/>
      <c r="CV244" s="485"/>
      <c r="CW244" s="485"/>
      <c r="CX244" s="485"/>
      <c r="CY244" s="485"/>
      <c r="CZ244" s="485"/>
      <c r="DA244" s="485"/>
      <c r="DB244" s="485"/>
      <c r="DC244" s="485"/>
      <c r="DD244" s="485"/>
      <c r="DE244" s="485"/>
      <c r="DF244" s="485"/>
      <c r="DG244" s="485"/>
      <c r="DH244" s="485"/>
      <c r="DI244" s="485"/>
      <c r="DJ244" s="485"/>
      <c r="DK244" s="485"/>
      <c r="DL244" s="485"/>
      <c r="DM244" s="485"/>
      <c r="DN244" s="485"/>
      <c r="DO244" s="485"/>
      <c r="DP244" s="485"/>
      <c r="DQ244" s="485"/>
      <c r="DR244" s="485"/>
      <c r="DS244" s="485"/>
      <c r="DT244" s="485"/>
    </row>
    <row r="245" spans="1:124" ht="23.5" customHeight="1" x14ac:dyDescent="0.3">
      <c r="A245" s="484"/>
      <c r="B245" s="515" t="s">
        <v>543</v>
      </c>
      <c r="C245" s="525"/>
      <c r="D245" s="532"/>
      <c r="E245" s="406" t="s">
        <v>40</v>
      </c>
      <c r="F245" s="414" t="s">
        <v>402</v>
      </c>
      <c r="G245" s="415" t="s">
        <v>403</v>
      </c>
      <c r="H245" s="417">
        <v>1994</v>
      </c>
      <c r="I245" s="425" t="s">
        <v>339</v>
      </c>
      <c r="J245" s="379" t="s">
        <v>44</v>
      </c>
      <c r="K245" s="581">
        <v>82.5</v>
      </c>
      <c r="L245" s="883">
        <v>-60</v>
      </c>
      <c r="M245" s="457">
        <v>65</v>
      </c>
      <c r="N245" s="457">
        <v>70</v>
      </c>
      <c r="O245" s="490">
        <f t="shared" si="68"/>
        <v>70</v>
      </c>
      <c r="P245" s="452">
        <v>80</v>
      </c>
      <c r="Q245" s="597">
        <v>-85</v>
      </c>
      <c r="R245" s="453">
        <v>85</v>
      </c>
      <c r="S245" s="490">
        <f t="shared" si="70"/>
        <v>85</v>
      </c>
      <c r="T245" s="489">
        <f t="shared" si="76"/>
        <v>155</v>
      </c>
      <c r="U245" s="48" t="str">
        <f t="shared" si="71"/>
        <v>DEB 5</v>
      </c>
      <c r="V245" s="48" t="str">
        <f>IF(E245=0," ",IF(E245="H",IF(H245&lt;1999,VLOOKUP(K245,Minimas!$A$15:$F$29,6),IF(AND(H245&gt;1998,H245&lt;2002),VLOOKUP(K245,Minimas!$A$15:$F$29,5),IF(AND(H245&gt;2001,H245&lt;2004),VLOOKUP(K245,Minimas!$A$15:$F$29,4),IF(AND(H245&gt;2003,H245&lt;2006),VLOOKUP(K245,Minimas!$A$15:$F$29,3),VLOOKUP(K245,Minimas!$A$15:$F$29,2))))),IF(H245&lt;1999,VLOOKUP(K245,Minimas!$G$15:$L$29,6),IF(AND(H245&gt;1998,H245&lt;2002),VLOOKUP(K245,Minimas!$G$15:$L$29,5),IF(AND(H245&gt;2001,H245&lt;2004),VLOOKUP(K245,Minimas!$G$15:$L$29,4),IF(AND(H245&gt;2003,H245&lt;2006),VLOOKUP(K245,Minimas!$G$15:$L$29,3),VLOOKUP(K245,Minimas!$G$15:$L$29,2)))))))</f>
        <v>SE M89</v>
      </c>
      <c r="W245" s="49">
        <f t="shared" si="72"/>
        <v>186.70309229013455</v>
      </c>
      <c r="X245" s="184">
        <v>43401</v>
      </c>
      <c r="Y245" s="284" t="s">
        <v>507</v>
      </c>
      <c r="Z245" s="284" t="s">
        <v>506</v>
      </c>
      <c r="AA245" s="232"/>
      <c r="AB245" s="230">
        <f>T245-HLOOKUP(V245,Minimas!$C$3:$CD$12,2,FALSE)</f>
        <v>5</v>
      </c>
      <c r="AC245" s="230">
        <f>T245-HLOOKUP(V245,Minimas!$C$3:$CD$12,3,FALSE)</f>
        <v>-20</v>
      </c>
      <c r="AD245" s="230">
        <f>T245-HLOOKUP(V245,Minimas!$C$3:$CD$12,4,FALSE)</f>
        <v>-45</v>
      </c>
      <c r="AE245" s="230">
        <f>T245-HLOOKUP(V245,Minimas!$C$3:$CD$12,5,FALSE)</f>
        <v>-75</v>
      </c>
      <c r="AF245" s="230">
        <f>T245-HLOOKUP(V245,Minimas!$C$3:$CD$12,6,FALSE)</f>
        <v>-105</v>
      </c>
      <c r="AG245" s="230">
        <f>T245-HLOOKUP(V245,Minimas!$C$3:$CD$12,7,FALSE)</f>
        <v>-132</v>
      </c>
      <c r="AH245" s="230">
        <f>T245-HLOOKUP(V245,Minimas!$C$3:$CD$12,8,FALSE)</f>
        <v>-155</v>
      </c>
      <c r="AI245" s="230">
        <f>T245-HLOOKUP(V245,Minimas!$C$3:$CD$12,9,FALSE)</f>
        <v>-175</v>
      </c>
      <c r="AJ245" s="230">
        <f>T245-HLOOKUP(V245,Minimas!$C$3:$CD$12,10,FALSE)</f>
        <v>-205</v>
      </c>
      <c r="AK245" s="231" t="str">
        <f t="shared" si="73"/>
        <v>DEB</v>
      </c>
      <c r="AL245" s="232"/>
      <c r="AM245" s="232" t="str">
        <f t="shared" si="74"/>
        <v>DEB</v>
      </c>
      <c r="AN245" s="232">
        <f t="shared" si="75"/>
        <v>5</v>
      </c>
      <c r="AO245" s="232"/>
      <c r="AP245" s="485"/>
      <c r="AQ245" s="485"/>
      <c r="AR245" s="485"/>
      <c r="AS245" s="485"/>
      <c r="AT245" s="485"/>
      <c r="AU245" s="485"/>
      <c r="AV245" s="485"/>
      <c r="AW245" s="485"/>
      <c r="AX245" s="485"/>
      <c r="AY245" s="485"/>
      <c r="AZ245" s="485"/>
      <c r="BA245" s="485"/>
      <c r="BB245" s="485"/>
      <c r="BC245" s="485"/>
      <c r="BD245" s="485"/>
      <c r="BE245" s="485"/>
      <c r="BF245" s="485"/>
      <c r="BG245" s="485"/>
      <c r="BH245" s="485"/>
      <c r="BI245" s="485"/>
      <c r="BJ245" s="485"/>
      <c r="BK245" s="485"/>
      <c r="BL245" s="485"/>
      <c r="BM245" s="485"/>
      <c r="BN245" s="485"/>
      <c r="BO245" s="485"/>
      <c r="BP245" s="485"/>
      <c r="BQ245" s="485"/>
      <c r="BR245" s="485"/>
      <c r="BS245" s="485"/>
      <c r="BT245" s="485"/>
      <c r="BU245" s="485"/>
      <c r="BV245" s="485"/>
      <c r="BW245" s="485"/>
      <c r="BX245" s="485"/>
      <c r="BY245" s="485"/>
      <c r="BZ245" s="485"/>
      <c r="CA245" s="485"/>
      <c r="CB245" s="485"/>
      <c r="CC245" s="485"/>
      <c r="CD245" s="485"/>
      <c r="CE245" s="485"/>
      <c r="CF245" s="485"/>
      <c r="CG245" s="485"/>
      <c r="CH245" s="485"/>
      <c r="CI245" s="485"/>
      <c r="CJ245" s="485"/>
      <c r="CK245" s="485"/>
      <c r="CL245" s="485"/>
      <c r="CM245" s="485"/>
      <c r="CN245" s="485"/>
      <c r="CO245" s="485"/>
      <c r="CP245" s="485"/>
      <c r="CQ245" s="485"/>
      <c r="CR245" s="485"/>
      <c r="CS245" s="485"/>
      <c r="CT245" s="485"/>
      <c r="CU245" s="485"/>
      <c r="CV245" s="485"/>
      <c r="CW245" s="485"/>
      <c r="CX245" s="485"/>
      <c r="CY245" s="485"/>
      <c r="CZ245" s="485"/>
      <c r="DA245" s="485"/>
      <c r="DB245" s="485"/>
      <c r="DC245" s="485"/>
      <c r="DD245" s="485"/>
      <c r="DE245" s="485"/>
      <c r="DF245" s="485"/>
      <c r="DG245" s="485"/>
      <c r="DH245" s="485"/>
      <c r="DI245" s="485"/>
      <c r="DJ245" s="485"/>
      <c r="DK245" s="485"/>
      <c r="DL245" s="485"/>
      <c r="DM245" s="485"/>
      <c r="DN245" s="485"/>
      <c r="DO245" s="485"/>
      <c r="DP245" s="485"/>
      <c r="DQ245" s="485"/>
      <c r="DR245" s="485"/>
      <c r="DS245" s="485"/>
      <c r="DT245" s="485"/>
    </row>
    <row r="246" spans="1:124" ht="23.5" customHeight="1" x14ac:dyDescent="0.25">
      <c r="A246" s="484"/>
      <c r="B246" s="495" t="s">
        <v>543</v>
      </c>
      <c r="C246" s="499">
        <v>432096</v>
      </c>
      <c r="D246" s="496"/>
      <c r="E246" s="481" t="s">
        <v>40</v>
      </c>
      <c r="F246" s="369" t="s">
        <v>820</v>
      </c>
      <c r="G246" s="370" t="s">
        <v>424</v>
      </c>
      <c r="H246" s="371">
        <v>1976</v>
      </c>
      <c r="I246" s="372" t="s">
        <v>418</v>
      </c>
      <c r="J246" s="373" t="s">
        <v>44</v>
      </c>
      <c r="K246" s="374">
        <v>83.9</v>
      </c>
      <c r="L246" s="448">
        <v>-63</v>
      </c>
      <c r="M246" s="301">
        <v>65</v>
      </c>
      <c r="N246" s="301">
        <v>70</v>
      </c>
      <c r="O246" s="490">
        <f t="shared" si="68"/>
        <v>70</v>
      </c>
      <c r="P246" s="300">
        <v>80</v>
      </c>
      <c r="Q246" s="449">
        <v>-85</v>
      </c>
      <c r="R246" s="301">
        <v>85</v>
      </c>
      <c r="S246" s="490">
        <f t="shared" si="70"/>
        <v>85</v>
      </c>
      <c r="T246" s="489">
        <f t="shared" si="76"/>
        <v>155</v>
      </c>
      <c r="U246" s="48" t="str">
        <f t="shared" si="71"/>
        <v>DEB 5</v>
      </c>
      <c r="V246" s="48" t="str">
        <f>IF(E246=0," ",IF(E246="H",IF(H246&lt;1999,VLOOKUP(K246,[10]Minimas!$A$15:$F$29,6),IF(AND(H246&gt;1998,H246&lt;2002),VLOOKUP(K246,[10]Minimas!$A$15:$F$29,5),IF(AND(H246&gt;2001,H246&lt;2004),VLOOKUP(K246,[10]Minimas!$A$15:$F$29,4),IF(AND(H246&gt;2003,H246&lt;2006),VLOOKUP(K246,[10]Minimas!$A$15:$F$29,3),VLOOKUP(K246,[10]Minimas!$A$15:$F$29,2))))),IF(H246&lt;1999,VLOOKUP(K246,[10]Minimas!$G$15:$L$29,6),IF(AND(H246&gt;1998,H246&lt;2002),VLOOKUP(K246,[10]Minimas!$G$15:$L$29,5),IF(AND(H246&gt;2001,H246&lt;2004),VLOOKUP(K246,[10]Minimas!$G$15:$L$29,4),IF(AND(H246&gt;2003,H246&lt;2006),VLOOKUP(K246,[10]Minimas!$G$15:$L$29,3),VLOOKUP(K246,[10]Minimas!$G$15:$L$29,2)))))))</f>
        <v>SE M89</v>
      </c>
      <c r="W246" s="49">
        <f t="shared" si="72"/>
        <v>185.17763339817128</v>
      </c>
      <c r="X246" s="257">
        <v>43555</v>
      </c>
      <c r="Y246" s="261" t="s">
        <v>805</v>
      </c>
      <c r="Z246" s="261" t="s">
        <v>661</v>
      </c>
      <c r="AA246" s="232"/>
      <c r="AB246" s="230">
        <f>T246-HLOOKUP(V246,[10]Minimas!$C$3:$CD$12,2,FALSE)</f>
        <v>5</v>
      </c>
      <c r="AC246" s="230">
        <f>T246-HLOOKUP(V246,[10]Minimas!$C$3:$CD$12,3,FALSE)</f>
        <v>-20</v>
      </c>
      <c r="AD246" s="230">
        <f>T246-HLOOKUP(V246,[10]Minimas!$C$3:$CD$12,4,FALSE)</f>
        <v>-45</v>
      </c>
      <c r="AE246" s="230">
        <f>T246-HLOOKUP(V246,[10]Minimas!$C$3:$CD$12,5,FALSE)</f>
        <v>-75</v>
      </c>
      <c r="AF246" s="230">
        <f>T246-HLOOKUP(V246,[10]Minimas!$C$3:$CD$12,6,FALSE)</f>
        <v>-105</v>
      </c>
      <c r="AG246" s="230">
        <f>T246-HLOOKUP(V246,[10]Minimas!$C$3:$CD$12,7,FALSE)</f>
        <v>-132</v>
      </c>
      <c r="AH246" s="230">
        <f>T246-HLOOKUP(V246,[10]Minimas!$C$3:$CD$12,8,FALSE)</f>
        <v>-155</v>
      </c>
      <c r="AI246" s="230">
        <f>T246-HLOOKUP(V246,[10]Minimas!$C$3:$CD$12,9,FALSE)</f>
        <v>-175</v>
      </c>
      <c r="AJ246" s="230">
        <f>T246-HLOOKUP(V246,[10]Minimas!$C$3:$CD$12,10,FALSE)</f>
        <v>-205</v>
      </c>
      <c r="AK246" s="231" t="str">
        <f t="shared" si="73"/>
        <v>DEB</v>
      </c>
      <c r="AL246" s="232"/>
      <c r="AM246" s="232" t="str">
        <f t="shared" si="74"/>
        <v>DEB</v>
      </c>
      <c r="AN246" s="232">
        <f t="shared" si="75"/>
        <v>5</v>
      </c>
      <c r="AO246" s="232"/>
      <c r="AP246" s="485"/>
      <c r="AQ246" s="485"/>
      <c r="AR246" s="485"/>
      <c r="AS246" s="485"/>
      <c r="AT246" s="485"/>
      <c r="AU246" s="485"/>
      <c r="AV246" s="485"/>
      <c r="AW246" s="485"/>
      <c r="AX246" s="485"/>
      <c r="AY246" s="485"/>
      <c r="AZ246" s="485"/>
      <c r="BA246" s="485"/>
      <c r="BB246" s="485"/>
      <c r="BC246" s="485"/>
      <c r="BD246" s="485"/>
      <c r="BE246" s="485"/>
      <c r="BF246" s="485"/>
      <c r="BG246" s="485"/>
      <c r="BH246" s="485"/>
      <c r="BI246" s="485"/>
      <c r="BJ246" s="485"/>
      <c r="BK246" s="485"/>
      <c r="BL246" s="485"/>
      <c r="BM246" s="485"/>
      <c r="BN246" s="485"/>
      <c r="BO246" s="485"/>
      <c r="BP246" s="485"/>
      <c r="BQ246" s="485"/>
      <c r="BR246" s="485"/>
      <c r="BS246" s="485"/>
      <c r="BT246" s="485"/>
      <c r="BU246" s="485"/>
      <c r="BV246" s="485"/>
      <c r="BW246" s="485"/>
      <c r="BX246" s="485"/>
      <c r="BY246" s="485"/>
      <c r="BZ246" s="485"/>
      <c r="CA246" s="485"/>
      <c r="CB246" s="485"/>
      <c r="CC246" s="485"/>
      <c r="CD246" s="485"/>
      <c r="CE246" s="485"/>
      <c r="CF246" s="485"/>
      <c r="CG246" s="485"/>
      <c r="CH246" s="485"/>
      <c r="CI246" s="485"/>
      <c r="CJ246" s="485"/>
      <c r="CK246" s="485"/>
      <c r="CL246" s="485"/>
      <c r="CM246" s="485"/>
      <c r="CN246" s="485"/>
      <c r="CO246" s="485"/>
      <c r="CP246" s="485"/>
      <c r="CQ246" s="485"/>
      <c r="CR246" s="485"/>
      <c r="CS246" s="485"/>
      <c r="CT246" s="485"/>
      <c r="CU246" s="485"/>
      <c r="CV246" s="485"/>
      <c r="CW246" s="485"/>
      <c r="CX246" s="485"/>
      <c r="CY246" s="485"/>
      <c r="CZ246" s="485"/>
      <c r="DA246" s="485"/>
      <c r="DB246" s="485"/>
      <c r="DC246" s="485"/>
      <c r="DD246" s="485"/>
      <c r="DE246" s="485"/>
      <c r="DF246" s="485"/>
      <c r="DG246" s="485"/>
      <c r="DH246" s="485"/>
      <c r="DI246" s="485"/>
      <c r="DJ246" s="485"/>
      <c r="DK246" s="485"/>
      <c r="DL246" s="485"/>
      <c r="DM246" s="485"/>
      <c r="DN246" s="485"/>
      <c r="DO246" s="485"/>
      <c r="DP246" s="485"/>
      <c r="DQ246" s="485"/>
      <c r="DR246" s="485"/>
      <c r="DS246" s="485"/>
      <c r="DT246" s="485"/>
    </row>
    <row r="247" spans="1:124" ht="23.5" customHeight="1" x14ac:dyDescent="0.25">
      <c r="A247" s="484"/>
      <c r="B247" s="515" t="s">
        <v>543</v>
      </c>
      <c r="C247" s="525">
        <v>444752</v>
      </c>
      <c r="D247" s="539"/>
      <c r="E247" s="406" t="s">
        <v>40</v>
      </c>
      <c r="F247" s="423" t="s">
        <v>623</v>
      </c>
      <c r="G247" s="415" t="s">
        <v>624</v>
      </c>
      <c r="H247" s="380">
        <v>1982</v>
      </c>
      <c r="I247" s="425" t="s">
        <v>440</v>
      </c>
      <c r="J247" s="381" t="s">
        <v>41</v>
      </c>
      <c r="K247" s="585">
        <v>84.1</v>
      </c>
      <c r="L247" s="456">
        <v>58</v>
      </c>
      <c r="M247" s="457">
        <v>62</v>
      </c>
      <c r="N247" s="457">
        <v>65</v>
      </c>
      <c r="O247" s="490">
        <f t="shared" si="68"/>
        <v>65</v>
      </c>
      <c r="P247" s="456">
        <v>83</v>
      </c>
      <c r="Q247" s="457">
        <v>87</v>
      </c>
      <c r="R247" s="457">
        <v>90</v>
      </c>
      <c r="S247" s="490">
        <f t="shared" si="70"/>
        <v>90</v>
      </c>
      <c r="T247" s="489">
        <f t="shared" si="76"/>
        <v>155</v>
      </c>
      <c r="U247" s="48" t="str">
        <f t="shared" si="71"/>
        <v>DEB 5</v>
      </c>
      <c r="V247" s="48" t="str">
        <f>IF(E247=0," ",IF(E247="H",IF(H247&lt;1999,VLOOKUP(K247,Minimas!$A$15:$F$29,6),IF(AND(H247&gt;1998,H247&lt;2002),VLOOKUP(K247,Minimas!$A$15:$F$29,5),IF(AND(H247&gt;2001,H247&lt;2004),VLOOKUP(K247,Minimas!$A$15:$F$29,4),IF(AND(H247&gt;2003,H247&lt;2006),VLOOKUP(K247,Minimas!$A$15:$F$29,3),VLOOKUP(K247,Minimas!$A$15:$F$29,2))))),IF(H247&lt;1999,VLOOKUP(K247,Minimas!$G$15:$L$29,6),IF(AND(H247&gt;1998,H247&lt;2002),VLOOKUP(K247,Minimas!$G$15:$L$29,5),IF(AND(H247&gt;2001,H247&lt;2004),VLOOKUP(K247,Minimas!$G$15:$L$29,4),IF(AND(H247&gt;2003,H247&lt;2006),VLOOKUP(K247,Minimas!$G$15:$L$29,3),VLOOKUP(K247,Minimas!$G$15:$L$29,2)))))))</f>
        <v>SE M89</v>
      </c>
      <c r="W247" s="49">
        <f t="shared" si="72"/>
        <v>184.96556251025586</v>
      </c>
      <c r="X247" s="257">
        <v>43484</v>
      </c>
      <c r="Y247" s="261" t="s">
        <v>630</v>
      </c>
      <c r="Z247" s="261" t="s">
        <v>581</v>
      </c>
      <c r="AA247" s="232"/>
      <c r="AB247" s="230">
        <f>T247-HLOOKUP(V247,Minimas!$C$3:$CD$12,2,FALSE)</f>
        <v>5</v>
      </c>
      <c r="AC247" s="230">
        <f>T247-HLOOKUP(V247,Minimas!$C$3:$CD$12,3,FALSE)</f>
        <v>-20</v>
      </c>
      <c r="AD247" s="230">
        <f>T247-HLOOKUP(V247,Minimas!$C$3:$CD$12,4,FALSE)</f>
        <v>-45</v>
      </c>
      <c r="AE247" s="230">
        <f>T247-HLOOKUP(V247,Minimas!$C$3:$CD$12,5,FALSE)</f>
        <v>-75</v>
      </c>
      <c r="AF247" s="230">
        <f>T247-HLOOKUP(V247,Minimas!$C$3:$CD$12,6,FALSE)</f>
        <v>-105</v>
      </c>
      <c r="AG247" s="230">
        <f>T247-HLOOKUP(V247,Minimas!$C$3:$CD$12,7,FALSE)</f>
        <v>-132</v>
      </c>
      <c r="AH247" s="230">
        <f>T247-HLOOKUP(V247,Minimas!$C$3:$CD$12,8,FALSE)</f>
        <v>-155</v>
      </c>
      <c r="AI247" s="230">
        <f>T247-HLOOKUP(V247,Minimas!$C$3:$CD$12,9,FALSE)</f>
        <v>-175</v>
      </c>
      <c r="AJ247" s="230">
        <f>T247-HLOOKUP(V247,Minimas!$C$3:$CD$12,10,FALSE)</f>
        <v>-205</v>
      </c>
      <c r="AK247" s="231" t="str">
        <f t="shared" si="73"/>
        <v>DEB</v>
      </c>
      <c r="AL247" s="232"/>
      <c r="AM247" s="232" t="str">
        <f t="shared" si="74"/>
        <v>DEB</v>
      </c>
      <c r="AN247" s="232">
        <f t="shared" si="75"/>
        <v>5</v>
      </c>
      <c r="AO247" s="232"/>
      <c r="AP247" s="485"/>
      <c r="AQ247" s="485"/>
      <c r="AR247" s="485"/>
      <c r="AS247" s="485"/>
      <c r="AT247" s="485"/>
      <c r="AU247" s="485"/>
      <c r="AV247" s="485"/>
      <c r="AW247" s="485"/>
      <c r="AX247" s="485"/>
      <c r="AY247" s="485"/>
      <c r="AZ247" s="485"/>
      <c r="BA247" s="485"/>
      <c r="BB247" s="485"/>
      <c r="BC247" s="485"/>
      <c r="BD247" s="485"/>
      <c r="BE247" s="485"/>
      <c r="BF247" s="485"/>
      <c r="BG247" s="485"/>
      <c r="BH247" s="485"/>
      <c r="BI247" s="485"/>
      <c r="BJ247" s="485"/>
      <c r="BK247" s="485"/>
      <c r="BL247" s="485"/>
      <c r="BM247" s="485"/>
      <c r="BN247" s="485"/>
      <c r="BO247" s="485"/>
      <c r="BP247" s="485"/>
      <c r="BQ247" s="485"/>
      <c r="BR247" s="485"/>
      <c r="BS247" s="485"/>
      <c r="BT247" s="485"/>
      <c r="BU247" s="485"/>
      <c r="BV247" s="485"/>
      <c r="BW247" s="485"/>
      <c r="BX247" s="485"/>
      <c r="BY247" s="485"/>
      <c r="BZ247" s="485"/>
      <c r="CA247" s="485"/>
      <c r="CB247" s="485"/>
      <c r="CC247" s="485"/>
      <c r="CD247" s="485"/>
      <c r="CE247" s="485"/>
      <c r="CF247" s="485"/>
      <c r="CG247" s="485"/>
      <c r="CH247" s="485"/>
      <c r="CI247" s="485"/>
      <c r="CJ247" s="485"/>
      <c r="CK247" s="485"/>
      <c r="CL247" s="485"/>
      <c r="CM247" s="485"/>
      <c r="CN247" s="485"/>
      <c r="CO247" s="485"/>
      <c r="CP247" s="485"/>
      <c r="CQ247" s="485"/>
      <c r="CR247" s="485"/>
      <c r="CS247" s="485"/>
      <c r="CT247" s="485"/>
      <c r="CU247" s="485"/>
      <c r="CV247" s="485"/>
      <c r="CW247" s="485"/>
      <c r="CX247" s="485"/>
      <c r="CY247" s="485"/>
      <c r="CZ247" s="485"/>
      <c r="DA247" s="485"/>
      <c r="DB247" s="485"/>
      <c r="DC247" s="485"/>
      <c r="DD247" s="485"/>
      <c r="DE247" s="485"/>
      <c r="DF247" s="485"/>
      <c r="DG247" s="485"/>
      <c r="DH247" s="485"/>
      <c r="DI247" s="485"/>
      <c r="DJ247" s="485"/>
      <c r="DK247" s="485"/>
      <c r="DL247" s="485"/>
      <c r="DM247" s="485"/>
      <c r="DN247" s="485"/>
      <c r="DO247" s="485"/>
      <c r="DP247" s="485"/>
      <c r="DQ247" s="485"/>
      <c r="DR247" s="485"/>
      <c r="DS247" s="485"/>
      <c r="DT247" s="485"/>
    </row>
    <row r="248" spans="1:124" s="5" customFormat="1" ht="30" customHeight="1" x14ac:dyDescent="0.25">
      <c r="A248" s="484"/>
      <c r="B248" s="515" t="s">
        <v>543</v>
      </c>
      <c r="C248" s="499">
        <v>446162</v>
      </c>
      <c r="D248" s="496"/>
      <c r="E248" s="323" t="s">
        <v>40</v>
      </c>
      <c r="F248" s="328" t="s">
        <v>635</v>
      </c>
      <c r="G248" s="487" t="s">
        <v>636</v>
      </c>
      <c r="H248" s="329">
        <v>1994</v>
      </c>
      <c r="I248" s="330" t="s">
        <v>637</v>
      </c>
      <c r="J248" s="331" t="s">
        <v>44</v>
      </c>
      <c r="K248" s="297">
        <v>85.52</v>
      </c>
      <c r="L248" s="300">
        <v>60</v>
      </c>
      <c r="M248" s="301">
        <v>65</v>
      </c>
      <c r="N248" s="301">
        <v>68</v>
      </c>
      <c r="O248" s="490">
        <f t="shared" si="68"/>
        <v>68</v>
      </c>
      <c r="P248" s="300">
        <v>75</v>
      </c>
      <c r="Q248" s="301">
        <v>80</v>
      </c>
      <c r="R248" s="301">
        <v>85</v>
      </c>
      <c r="S248" s="490">
        <f t="shared" si="70"/>
        <v>85</v>
      </c>
      <c r="T248" s="489">
        <f t="shared" si="76"/>
        <v>153</v>
      </c>
      <c r="U248" s="48" t="str">
        <f t="shared" si="71"/>
        <v>DEB 3</v>
      </c>
      <c r="V248" s="48" t="str">
        <f>IF(E248=0," ",IF(E248="H",IF(H248&lt;1999,VLOOKUP(K248,Minimas!$A$15:$F$29,6),IF(AND(H248&gt;1998,H248&lt;2002),VLOOKUP(K248,Minimas!$A$15:$F$29,5),IF(AND(H248&gt;2001,H248&lt;2004),VLOOKUP(K248,Minimas!$A$15:$F$29,4),IF(AND(H248&gt;2003,H248&lt;2006),VLOOKUP(K248,Minimas!$A$15:$F$29,3),VLOOKUP(K248,Minimas!$A$15:$F$29,2))))),IF(H248&lt;1999,VLOOKUP(K248,Minimas!$G$15:$L$29,6),IF(AND(H248&gt;1998,H248&lt;2002),VLOOKUP(K248,Minimas!$G$15:$L$29,5),IF(AND(H248&gt;2001,H248&lt;2004),VLOOKUP(K248,Minimas!$G$15:$L$29,4),IF(AND(H248&gt;2003,H248&lt;2006),VLOOKUP(K248,Minimas!$G$15:$L$29,3),VLOOKUP(K248,Minimas!$G$15:$L$29,2)))))))</f>
        <v>SE M89</v>
      </c>
      <c r="W248" s="49">
        <f t="shared" si="72"/>
        <v>181.13249230341569</v>
      </c>
      <c r="X248" s="257">
        <v>43485</v>
      </c>
      <c r="Y248" s="261" t="s">
        <v>640</v>
      </c>
      <c r="Z248" s="261" t="s">
        <v>514</v>
      </c>
      <c r="AA248" s="232"/>
      <c r="AB248" s="230">
        <f>T248-HLOOKUP(V248,Minimas!$C$3:$CD$12,2,FALSE)</f>
        <v>3</v>
      </c>
      <c r="AC248" s="230">
        <f>T248-HLOOKUP(V248,Minimas!$C$3:$CD$12,3,FALSE)</f>
        <v>-22</v>
      </c>
      <c r="AD248" s="230">
        <f>T248-HLOOKUP(V248,Minimas!$C$3:$CD$12,4,FALSE)</f>
        <v>-47</v>
      </c>
      <c r="AE248" s="230">
        <f>T248-HLOOKUP(V248,Minimas!$C$3:$CD$12,5,FALSE)</f>
        <v>-77</v>
      </c>
      <c r="AF248" s="230">
        <f>T248-HLOOKUP(V248,Minimas!$C$3:$CD$12,6,FALSE)</f>
        <v>-107</v>
      </c>
      <c r="AG248" s="230">
        <f>T248-HLOOKUP(V248,Minimas!$C$3:$CD$12,7,FALSE)</f>
        <v>-134</v>
      </c>
      <c r="AH248" s="230">
        <f>T248-HLOOKUP(V248,Minimas!$C$3:$CD$12,8,FALSE)</f>
        <v>-157</v>
      </c>
      <c r="AI248" s="230">
        <f>T248-HLOOKUP(V248,Minimas!$C$3:$CD$12,9,FALSE)</f>
        <v>-177</v>
      </c>
      <c r="AJ248" s="230">
        <f>T248-HLOOKUP(V248,Minimas!$C$3:$CD$12,10,FALSE)</f>
        <v>-207</v>
      </c>
      <c r="AK248" s="231" t="str">
        <f t="shared" si="73"/>
        <v>DEB</v>
      </c>
      <c r="AL248" s="232"/>
      <c r="AM248" s="232" t="str">
        <f t="shared" si="74"/>
        <v>DEB</v>
      </c>
      <c r="AN248" s="232">
        <f t="shared" si="75"/>
        <v>3</v>
      </c>
      <c r="AO248" s="232"/>
      <c r="AP248" s="485"/>
      <c r="AQ248" s="485"/>
      <c r="AR248" s="485"/>
      <c r="AS248" s="485"/>
      <c r="AT248" s="485"/>
      <c r="AU248" s="485"/>
      <c r="AV248" s="485"/>
      <c r="AW248" s="485"/>
      <c r="AX248" s="485"/>
      <c r="AY248" s="485"/>
      <c r="AZ248" s="485"/>
      <c r="BA248" s="485"/>
      <c r="BB248" s="485"/>
      <c r="BC248" s="485"/>
      <c r="BD248" s="485"/>
      <c r="BE248" s="485"/>
      <c r="BF248" s="485"/>
      <c r="BG248" s="485"/>
      <c r="BH248" s="485"/>
      <c r="BI248" s="485"/>
      <c r="BJ248" s="485"/>
      <c r="BK248" s="485"/>
      <c r="BL248" s="485"/>
      <c r="BM248" s="485"/>
      <c r="BN248" s="485"/>
      <c r="BO248" s="485"/>
      <c r="BP248" s="485"/>
      <c r="BQ248" s="485"/>
      <c r="BR248" s="485"/>
      <c r="BS248" s="485"/>
      <c r="BT248" s="485"/>
      <c r="BU248" s="485"/>
      <c r="BV248" s="485"/>
      <c r="BW248" s="485"/>
      <c r="BX248" s="485"/>
      <c r="BY248" s="485"/>
      <c r="BZ248" s="485"/>
      <c r="CA248" s="485"/>
      <c r="CB248" s="485"/>
      <c r="CC248" s="485"/>
      <c r="CD248" s="485"/>
      <c r="CE248" s="485"/>
      <c r="CF248" s="485"/>
      <c r="CG248" s="485"/>
      <c r="CH248" s="485"/>
      <c r="CI248" s="485"/>
      <c r="CJ248" s="485"/>
      <c r="CK248" s="485"/>
      <c r="CL248" s="485"/>
      <c r="CM248" s="485"/>
      <c r="CN248" s="485"/>
      <c r="CO248" s="485"/>
      <c r="CP248" s="485"/>
      <c r="CQ248" s="485"/>
      <c r="CR248" s="485"/>
      <c r="CS248" s="485"/>
      <c r="CT248" s="485"/>
      <c r="CU248" s="485"/>
      <c r="CV248" s="485"/>
      <c r="CW248" s="485"/>
      <c r="CX248" s="485"/>
      <c r="CY248" s="485"/>
      <c r="CZ248" s="485"/>
      <c r="DA248" s="485"/>
      <c r="DB248" s="485"/>
      <c r="DC248" s="485"/>
      <c r="DD248" s="485"/>
      <c r="DE248" s="485"/>
      <c r="DF248" s="485"/>
      <c r="DG248" s="485"/>
      <c r="DH248" s="485"/>
      <c r="DI248" s="485"/>
      <c r="DJ248" s="485"/>
      <c r="DK248" s="485"/>
      <c r="DL248" s="485"/>
      <c r="DM248" s="485"/>
      <c r="DN248" s="485"/>
      <c r="DO248" s="485"/>
      <c r="DP248" s="485"/>
      <c r="DQ248" s="485"/>
      <c r="DR248" s="485"/>
      <c r="DS248" s="485"/>
      <c r="DT248" s="485"/>
    </row>
    <row r="249" spans="1:124" s="5" customFormat="1" ht="30" customHeight="1" x14ac:dyDescent="0.25">
      <c r="A249" s="1"/>
      <c r="B249" s="515" t="s">
        <v>543</v>
      </c>
      <c r="C249" s="499">
        <v>445971</v>
      </c>
      <c r="D249" s="496"/>
      <c r="E249" s="323" t="s">
        <v>40</v>
      </c>
      <c r="F249" s="486" t="s">
        <v>752</v>
      </c>
      <c r="G249" s="487" t="s">
        <v>416</v>
      </c>
      <c r="H249" s="492">
        <v>1993</v>
      </c>
      <c r="I249" s="528" t="s">
        <v>129</v>
      </c>
      <c r="J249" s="493" t="s">
        <v>44</v>
      </c>
      <c r="K249" s="488">
        <v>82.8</v>
      </c>
      <c r="L249" s="300">
        <v>60</v>
      </c>
      <c r="M249" s="449">
        <v>-70</v>
      </c>
      <c r="N249" s="449">
        <v>-70</v>
      </c>
      <c r="O249" s="490">
        <f t="shared" si="68"/>
        <v>60</v>
      </c>
      <c r="P249" s="300">
        <v>80</v>
      </c>
      <c r="Q249" s="301">
        <v>92</v>
      </c>
      <c r="R249" s="449">
        <v>-100</v>
      </c>
      <c r="S249" s="490">
        <f t="shared" si="70"/>
        <v>92</v>
      </c>
      <c r="T249" s="489">
        <f>IF(E249="","",O249+S249)</f>
        <v>152</v>
      </c>
      <c r="U249" s="48" t="str">
        <f t="shared" si="71"/>
        <v>DEB 2</v>
      </c>
      <c r="V249" s="48" t="str">
        <f>IF(E249=0," ",IF(E249="H",IF(H249&lt;1999,VLOOKUP(K249,[13]Minimas!$A$15:$F$29,6),IF(AND(H249&gt;1998,H249&lt;2002),VLOOKUP(K249,[13]Minimas!$A$15:$F$29,5),IF(AND(H249&gt;2001,H249&lt;2004),VLOOKUP(K249,[13]Minimas!$A$15:$F$29,4),IF(AND(H249&gt;2003,H249&lt;2006),VLOOKUP(K249,[13]Minimas!$A$15:$F$29,3),VLOOKUP(K249,[13]Minimas!$A$15:$F$29,2))))),IF(H249&lt;1999,VLOOKUP(K249,[13]Minimas!$G$15:$L$29,6),IF(AND(H249&gt;1998,H249&lt;2002),VLOOKUP(K249,[13]Minimas!$G$15:$L$29,5),IF(AND(H249&gt;2001,H249&lt;2004),VLOOKUP(K249,[13]Minimas!$G$15:$L$29,4),IF(AND(H249&gt;2003,H249&lt;2006),VLOOKUP(K249,[13]Minimas!$G$15:$L$29,3),VLOOKUP(K249,[13]Minimas!$G$15:$L$29,2)))))))</f>
        <v>SE M89</v>
      </c>
      <c r="W249" s="49">
        <f t="shared" si="72"/>
        <v>182.7629028090843</v>
      </c>
      <c r="X249" s="257">
        <v>43540</v>
      </c>
      <c r="Y249" s="261" t="s">
        <v>714</v>
      </c>
      <c r="Z249" s="261" t="s">
        <v>704</v>
      </c>
      <c r="AA249" s="463"/>
      <c r="AB249" s="230">
        <f>T249-HLOOKUP(V249,Minimas!$C$3:$CD$12,2,FALSE)</f>
        <v>2</v>
      </c>
      <c r="AC249" s="230">
        <f>T249-HLOOKUP(V249,Minimas!$C$3:$CD$12,3,FALSE)</f>
        <v>-23</v>
      </c>
      <c r="AD249" s="230">
        <f>T249-HLOOKUP(V249,Minimas!$C$3:$CD$12,4,FALSE)</f>
        <v>-48</v>
      </c>
      <c r="AE249" s="230">
        <f>T249-HLOOKUP(V249,Minimas!$C$3:$CD$12,5,FALSE)</f>
        <v>-78</v>
      </c>
      <c r="AF249" s="230">
        <f>T249-HLOOKUP(V249,Minimas!$C$3:$CD$12,6,FALSE)</f>
        <v>-108</v>
      </c>
      <c r="AG249" s="230">
        <f>T249-HLOOKUP(V249,Minimas!$C$3:$CD$12,7,FALSE)</f>
        <v>-135</v>
      </c>
      <c r="AH249" s="230">
        <f>T249-HLOOKUP(V249,Minimas!$C$3:$CD$12,8,FALSE)</f>
        <v>-158</v>
      </c>
      <c r="AI249" s="230">
        <f>T249-HLOOKUP(V249,Minimas!$C$3:$CD$12,9,FALSE)</f>
        <v>-178</v>
      </c>
      <c r="AJ249" s="230">
        <f>T249-HLOOKUP(V249,Minimas!$C$3:$CD$12,10,FALSE)</f>
        <v>-208</v>
      </c>
      <c r="AK249" s="231" t="str">
        <f t="shared" si="73"/>
        <v>DEB</v>
      </c>
      <c r="AL249" s="232"/>
      <c r="AM249" s="232" t="str">
        <f t="shared" si="74"/>
        <v>DEB</v>
      </c>
      <c r="AN249" s="232">
        <f t="shared" si="75"/>
        <v>2</v>
      </c>
      <c r="AO249" s="463"/>
      <c r="AP249" s="34"/>
      <c r="AQ249" s="34"/>
      <c r="AR249" s="34"/>
      <c r="AS249" s="34"/>
      <c r="AT249" s="34"/>
      <c r="AU249" s="34"/>
      <c r="AV249" s="34"/>
      <c r="AW249" s="34"/>
      <c r="AX249" s="34"/>
      <c r="AY249" s="34"/>
      <c r="AZ249" s="34"/>
      <c r="BA249" s="34"/>
      <c r="BB249" s="34"/>
      <c r="BC249" s="34"/>
      <c r="BD249" s="34"/>
      <c r="BE249" s="34"/>
      <c r="BF249" s="34"/>
      <c r="BG249" s="34"/>
      <c r="BH249" s="34"/>
      <c r="BI249" s="34"/>
      <c r="BJ249" s="34"/>
      <c r="BK249" s="34"/>
      <c r="BL249" s="34"/>
      <c r="BM249" s="34"/>
      <c r="BN249" s="34"/>
      <c r="BO249" s="34"/>
      <c r="BP249" s="34"/>
      <c r="BQ249" s="34"/>
      <c r="BR249" s="34"/>
      <c r="BS249" s="34"/>
      <c r="BT249" s="34"/>
      <c r="BU249" s="34"/>
      <c r="BV249" s="34"/>
      <c r="BW249" s="34"/>
      <c r="BX249" s="34"/>
      <c r="BY249" s="34"/>
      <c r="BZ249" s="34"/>
      <c r="CA249" s="34"/>
      <c r="CB249" s="34"/>
      <c r="CC249" s="34"/>
      <c r="CD249" s="34"/>
      <c r="CE249" s="34"/>
      <c r="CF249" s="34"/>
      <c r="CG249" s="34"/>
      <c r="CH249" s="34"/>
      <c r="CI249" s="34"/>
      <c r="CJ249" s="34"/>
      <c r="CK249" s="34"/>
      <c r="CL249" s="34"/>
      <c r="CM249" s="34"/>
      <c r="CN249" s="34"/>
      <c r="CO249" s="34"/>
      <c r="CP249" s="34"/>
      <c r="CQ249" s="34"/>
      <c r="CR249" s="34"/>
      <c r="CS249" s="34"/>
      <c r="CT249" s="34"/>
      <c r="CU249" s="34"/>
      <c r="CV249" s="34"/>
      <c r="CW249" s="34"/>
      <c r="CX249" s="34"/>
      <c r="CY249" s="34"/>
      <c r="CZ249" s="34"/>
      <c r="DA249" s="34"/>
      <c r="DB249" s="34"/>
      <c r="DC249" s="34"/>
      <c r="DD249" s="34"/>
      <c r="DE249" s="34"/>
      <c r="DF249" s="34"/>
      <c r="DG249" s="34"/>
      <c r="DH249" s="34"/>
      <c r="DI249" s="34"/>
      <c r="DJ249" s="34"/>
      <c r="DK249" s="34"/>
      <c r="DL249" s="34"/>
      <c r="DM249" s="34"/>
      <c r="DN249" s="34"/>
      <c r="DO249" s="34"/>
      <c r="DP249" s="34"/>
      <c r="DQ249" s="34"/>
      <c r="DR249" s="34"/>
      <c r="DS249" s="34"/>
      <c r="DT249" s="34"/>
    </row>
    <row r="250" spans="1:124" s="5" customFormat="1" ht="30" customHeight="1" x14ac:dyDescent="0.25">
      <c r="B250" s="495" t="s">
        <v>543</v>
      </c>
      <c r="C250" s="499">
        <v>446162</v>
      </c>
      <c r="D250" s="496"/>
      <c r="E250" s="323" t="s">
        <v>40</v>
      </c>
      <c r="F250" s="328" t="s">
        <v>635</v>
      </c>
      <c r="G250" s="487" t="s">
        <v>636</v>
      </c>
      <c r="H250" s="329">
        <v>1994</v>
      </c>
      <c r="I250" s="330" t="s">
        <v>394</v>
      </c>
      <c r="J250" s="331" t="s">
        <v>44</v>
      </c>
      <c r="K250" s="297">
        <v>84.8</v>
      </c>
      <c r="L250" s="300">
        <v>62</v>
      </c>
      <c r="M250" s="301">
        <v>-67</v>
      </c>
      <c r="N250" s="301">
        <v>-67</v>
      </c>
      <c r="O250" s="490">
        <f t="shared" si="68"/>
        <v>62</v>
      </c>
      <c r="P250" s="300">
        <v>-80</v>
      </c>
      <c r="Q250" s="301">
        <v>80</v>
      </c>
      <c r="R250" s="301">
        <v>85</v>
      </c>
      <c r="S250" s="490">
        <f t="shared" si="70"/>
        <v>85</v>
      </c>
      <c r="T250" s="489">
        <f>IF(E250="","",IF(OR(O250=0,S250=0),0,O250+S250))</f>
        <v>147</v>
      </c>
      <c r="U250" s="48" t="str">
        <f t="shared" si="71"/>
        <v>DEB -3</v>
      </c>
      <c r="V250" s="48" t="str">
        <f>IF(E250=0," ",IF(E250="H",IF(H250&lt;1999,VLOOKUP(K250,[25]Minimas!$A$15:$F$29,6),IF(AND(H250&gt;1998,H250&lt;2002),VLOOKUP(K250,[25]Minimas!$A$15:$F$29,5),IF(AND(H250&gt;2001,H250&lt;2004),VLOOKUP(K250,[25]Minimas!$A$15:$F$29,4),IF(AND(H250&gt;2003,H250&lt;2006),VLOOKUP(K250,[25]Minimas!$A$15:$F$29,3),VLOOKUP(K250,[25]Minimas!$A$15:$F$29,2))))),IF(H250&lt;1999,VLOOKUP(K250,[25]Minimas!$G$15:$L$29,6),IF(AND(H250&gt;1998,H250&lt;2002),VLOOKUP(K250,[25]Minimas!$G$15:$L$29,5),IF(AND(H250&gt;2001,H250&lt;2004),VLOOKUP(K250,[25]Minimas!$G$15:$L$29,4),IF(AND(H250&gt;2003,H250&lt;2006),VLOOKUP(K250,[25]Minimas!$G$15:$L$29,3),VLOOKUP(K250,[25]Minimas!$G$15:$L$29,2)))))))</f>
        <v>SE M89</v>
      </c>
      <c r="W250" s="49">
        <f t="shared" si="72"/>
        <v>174.72560310495379</v>
      </c>
      <c r="X250" s="257">
        <v>43492</v>
      </c>
      <c r="Y250" s="261" t="s">
        <v>525</v>
      </c>
      <c r="Z250" s="261" t="s">
        <v>695</v>
      </c>
      <c r="AA250" s="232"/>
      <c r="AB250" s="230">
        <f>T250-HLOOKUP(V250,Minimas!$C$3:$CD$12,2,FALSE)</f>
        <v>-3</v>
      </c>
      <c r="AC250" s="230">
        <f>T250-HLOOKUP(V250,Minimas!$C$3:$CD$12,3,FALSE)</f>
        <v>-28</v>
      </c>
      <c r="AD250" s="230">
        <f>T250-HLOOKUP(V250,Minimas!$C$3:$CD$12,4,FALSE)</f>
        <v>-53</v>
      </c>
      <c r="AE250" s="230">
        <f>T250-HLOOKUP(V250,Minimas!$C$3:$CD$12,5,FALSE)</f>
        <v>-83</v>
      </c>
      <c r="AF250" s="230">
        <f>T250-HLOOKUP(V250,Minimas!$C$3:$CD$12,6,FALSE)</f>
        <v>-113</v>
      </c>
      <c r="AG250" s="230">
        <f>T250-HLOOKUP(V250,Minimas!$C$3:$CD$12,7,FALSE)</f>
        <v>-140</v>
      </c>
      <c r="AH250" s="230">
        <f>T250-HLOOKUP(V250,Minimas!$C$3:$CD$12,8,FALSE)</f>
        <v>-163</v>
      </c>
      <c r="AI250" s="230">
        <f>T250-HLOOKUP(V250,Minimas!$C$3:$CD$12,9,FALSE)</f>
        <v>-183</v>
      </c>
      <c r="AJ250" s="230">
        <f>T250-HLOOKUP(V250,Minimas!$C$3:$CD$12,10,FALSE)</f>
        <v>-213</v>
      </c>
      <c r="AK250" s="231" t="str">
        <f t="shared" si="73"/>
        <v>DEB</v>
      </c>
      <c r="AL250" s="232"/>
      <c r="AM250" s="232" t="str">
        <f t="shared" si="74"/>
        <v>DEB</v>
      </c>
      <c r="AN250" s="232">
        <f t="shared" si="75"/>
        <v>-3</v>
      </c>
      <c r="AO250" s="232"/>
      <c r="AP250" s="38"/>
      <c r="AQ250" s="38"/>
      <c r="AR250" s="38"/>
      <c r="AS250" s="38"/>
      <c r="AT250" s="38"/>
      <c r="AU250" s="38"/>
      <c r="AV250" s="38"/>
      <c r="AW250" s="38"/>
      <c r="AX250" s="38"/>
      <c r="AY250" s="38"/>
      <c r="AZ250" s="38"/>
      <c r="BA250" s="38"/>
      <c r="BB250" s="38"/>
      <c r="BC250" s="38"/>
      <c r="BD250" s="38"/>
      <c r="BE250" s="38"/>
      <c r="BF250" s="38"/>
      <c r="BG250" s="38"/>
      <c r="BH250" s="38"/>
      <c r="BI250" s="38"/>
      <c r="BJ250" s="38"/>
      <c r="BK250" s="38"/>
      <c r="BL250" s="38"/>
      <c r="BM250" s="38"/>
      <c r="BN250" s="38"/>
      <c r="BO250" s="38"/>
      <c r="BP250" s="38"/>
      <c r="BQ250" s="38"/>
      <c r="BR250" s="38"/>
      <c r="BS250" s="38"/>
      <c r="BT250" s="38"/>
      <c r="BU250" s="38"/>
      <c r="BV250" s="38"/>
      <c r="BW250" s="38"/>
      <c r="BX250" s="38"/>
      <c r="BY250" s="38"/>
      <c r="BZ250" s="38"/>
      <c r="CA250" s="38"/>
      <c r="CB250" s="38"/>
      <c r="CC250" s="38"/>
      <c r="CD250" s="38"/>
      <c r="CE250" s="38"/>
      <c r="CF250" s="38"/>
      <c r="CG250" s="38"/>
      <c r="CH250" s="38"/>
      <c r="CI250" s="38"/>
      <c r="CJ250" s="38"/>
      <c r="CK250" s="38"/>
      <c r="CL250" s="38"/>
      <c r="CM250" s="38"/>
      <c r="CN250" s="38"/>
      <c r="CO250" s="38"/>
      <c r="CP250" s="38"/>
      <c r="CQ250" s="38"/>
      <c r="CR250" s="38"/>
      <c r="CS250" s="38"/>
      <c r="CT250" s="38"/>
      <c r="CU250" s="38"/>
      <c r="CV250" s="38"/>
      <c r="CW250" s="38"/>
      <c r="CX250" s="38"/>
      <c r="CY250" s="38"/>
      <c r="CZ250" s="38"/>
      <c r="DA250" s="38"/>
      <c r="DB250" s="38"/>
      <c r="DC250" s="38"/>
      <c r="DD250" s="38"/>
      <c r="DE250" s="38"/>
      <c r="DF250" s="38"/>
      <c r="DG250" s="38"/>
      <c r="DH250" s="38"/>
      <c r="DI250" s="38"/>
      <c r="DJ250" s="38"/>
      <c r="DK250" s="38"/>
      <c r="DL250" s="38"/>
      <c r="DM250" s="38"/>
      <c r="DN250" s="38"/>
      <c r="DO250" s="38"/>
      <c r="DP250" s="38"/>
      <c r="DQ250" s="38"/>
      <c r="DR250" s="38"/>
      <c r="DS250" s="38"/>
      <c r="DT250" s="38"/>
    </row>
    <row r="251" spans="1:124" s="5" customFormat="1" ht="30" customHeight="1" x14ac:dyDescent="0.3">
      <c r="B251" s="515" t="s">
        <v>543</v>
      </c>
      <c r="C251" s="701">
        <v>428917</v>
      </c>
      <c r="D251" s="714"/>
      <c r="E251" s="406" t="s">
        <v>40</v>
      </c>
      <c r="F251" s="407" t="s">
        <v>486</v>
      </c>
      <c r="G251" s="408" t="s">
        <v>487</v>
      </c>
      <c r="H251" s="409">
        <v>1993</v>
      </c>
      <c r="I251" s="410" t="s">
        <v>214</v>
      </c>
      <c r="J251" s="379" t="s">
        <v>44</v>
      </c>
      <c r="K251" s="774">
        <v>84.7</v>
      </c>
      <c r="L251" s="452">
        <v>50</v>
      </c>
      <c r="M251" s="453">
        <v>55</v>
      </c>
      <c r="N251" s="796">
        <v>-60</v>
      </c>
      <c r="O251" s="52">
        <f t="shared" si="68"/>
        <v>55</v>
      </c>
      <c r="P251" s="452">
        <v>75</v>
      </c>
      <c r="Q251" s="453">
        <v>80</v>
      </c>
      <c r="R251" s="453">
        <v>85</v>
      </c>
      <c r="S251" s="52">
        <f t="shared" si="70"/>
        <v>85</v>
      </c>
      <c r="T251" s="489">
        <f>IF(E251="","",IF(OR(O251=0,S251=0),0,O251+S251))</f>
        <v>140</v>
      </c>
      <c r="U251" s="48" t="str">
        <f t="shared" si="71"/>
        <v>DEB -10</v>
      </c>
      <c r="V251" s="48" t="str">
        <f>IF(E251=0," ",IF(E251="H",IF(H251&lt;1999,VLOOKUP(K251,Minimas!$A$15:$F$29,6),IF(AND(H251&gt;1998,H251&lt;2002),VLOOKUP(K251,Minimas!$A$15:$F$29,5),IF(AND(H251&gt;2001,H251&lt;2004),VLOOKUP(K251,Minimas!$A$15:$F$29,4),IF(AND(H251&gt;2003,H251&lt;2006),VLOOKUP(K251,Minimas!$A$15:$F$29,3),VLOOKUP(K251,Minimas!$A$15:$F$29,2))))),IF(H251&lt;1999,VLOOKUP(K251,Minimas!$G$15:$L$29,6),IF(AND(H251&gt;1998,H251&lt;2002),VLOOKUP(K251,Minimas!$G$15:$L$29,5),IF(AND(H251&gt;2001,H251&lt;2004),VLOOKUP(K251,Minimas!$G$15:$L$29,4),IF(AND(H251&gt;2003,H251&lt;2006),VLOOKUP(K251,Minimas!$G$15:$L$29,3),VLOOKUP(K251,Minimas!$G$15:$L$29,2)))))))</f>
        <v>SE M89</v>
      </c>
      <c r="W251" s="49">
        <f t="shared" si="72"/>
        <v>166.49871948059669</v>
      </c>
      <c r="X251" s="184">
        <v>43435</v>
      </c>
      <c r="Y251" s="284" t="s">
        <v>509</v>
      </c>
      <c r="Z251" s="284" t="s">
        <v>511</v>
      </c>
      <c r="AA251" s="232"/>
      <c r="AB251" s="230">
        <f>T251-HLOOKUP(V251,Minimas!$C$3:$CD$12,2,FALSE)</f>
        <v>-10</v>
      </c>
      <c r="AC251" s="230">
        <f>T251-HLOOKUP(V251,Minimas!$C$3:$CD$12,3,FALSE)</f>
        <v>-35</v>
      </c>
      <c r="AD251" s="230">
        <f>T251-HLOOKUP(V251,Minimas!$C$3:$CD$12,4,FALSE)</f>
        <v>-60</v>
      </c>
      <c r="AE251" s="230">
        <f>T251-HLOOKUP(V251,Minimas!$C$3:$CD$12,5,FALSE)</f>
        <v>-90</v>
      </c>
      <c r="AF251" s="230">
        <f>T251-HLOOKUP(V251,Minimas!$C$3:$CD$12,6,FALSE)</f>
        <v>-120</v>
      </c>
      <c r="AG251" s="230">
        <f>T251-HLOOKUP(V251,Minimas!$C$3:$CD$12,7,FALSE)</f>
        <v>-147</v>
      </c>
      <c r="AH251" s="230">
        <f>T251-HLOOKUP(V251,Minimas!$C$3:$CD$12,8,FALSE)</f>
        <v>-170</v>
      </c>
      <c r="AI251" s="230">
        <f>T251-HLOOKUP(V251,Minimas!$C$3:$CD$12,9,FALSE)</f>
        <v>-190</v>
      </c>
      <c r="AJ251" s="230">
        <f>T251-HLOOKUP(V251,Minimas!$C$3:$CD$12,10,FALSE)</f>
        <v>-220</v>
      </c>
      <c r="AK251" s="231" t="str">
        <f t="shared" si="73"/>
        <v>DEB</v>
      </c>
      <c r="AL251" s="232"/>
      <c r="AM251" s="232" t="str">
        <f t="shared" si="74"/>
        <v>DEB</v>
      </c>
      <c r="AN251" s="232">
        <f t="shared" si="75"/>
        <v>-10</v>
      </c>
      <c r="AO251" s="232"/>
      <c r="AP251" s="38"/>
      <c r="AQ251" s="38"/>
      <c r="AR251" s="38"/>
      <c r="AS251" s="38"/>
      <c r="AT251" s="38"/>
      <c r="AU251" s="38"/>
      <c r="AV251" s="38"/>
      <c r="AW251" s="38"/>
      <c r="AX251" s="38"/>
      <c r="AY251" s="38"/>
      <c r="AZ251" s="38"/>
      <c r="BA251" s="38"/>
      <c r="BB251" s="38"/>
      <c r="BC251" s="38"/>
      <c r="BD251" s="38"/>
      <c r="BE251" s="38"/>
      <c r="BF251" s="38"/>
      <c r="BG251" s="38"/>
      <c r="BH251" s="38"/>
      <c r="BI251" s="38"/>
      <c r="BJ251" s="38"/>
      <c r="BK251" s="38"/>
      <c r="BL251" s="38"/>
      <c r="BM251" s="38"/>
      <c r="BN251" s="38"/>
      <c r="BO251" s="38"/>
      <c r="BP251" s="38"/>
      <c r="BQ251" s="38"/>
      <c r="BR251" s="38"/>
      <c r="BS251" s="38"/>
      <c r="BT251" s="38"/>
      <c r="BU251" s="38"/>
      <c r="BV251" s="38"/>
      <c r="BW251" s="38"/>
      <c r="BX251" s="38"/>
      <c r="BY251" s="38"/>
      <c r="BZ251" s="38"/>
      <c r="CA251" s="38"/>
      <c r="CB251" s="38"/>
      <c r="CC251" s="38"/>
      <c r="CD251" s="38"/>
      <c r="CE251" s="38"/>
      <c r="CF251" s="38"/>
      <c r="CG251" s="38"/>
      <c r="CH251" s="38"/>
      <c r="CI251" s="38"/>
      <c r="CJ251" s="38"/>
      <c r="CK251" s="38"/>
      <c r="CL251" s="38"/>
      <c r="CM251" s="38"/>
      <c r="CN251" s="38"/>
      <c r="CO251" s="38"/>
      <c r="CP251" s="38"/>
      <c r="CQ251" s="38"/>
      <c r="CR251" s="38"/>
      <c r="CS251" s="38"/>
      <c r="CT251" s="38"/>
      <c r="CU251" s="38"/>
      <c r="CV251" s="38"/>
      <c r="CW251" s="38"/>
      <c r="CX251" s="38"/>
      <c r="CY251" s="38"/>
      <c r="CZ251" s="38"/>
      <c r="DA251" s="38"/>
      <c r="DB251" s="38"/>
      <c r="DC251" s="38"/>
      <c r="DD251" s="38"/>
      <c r="DE251" s="38"/>
      <c r="DF251" s="38"/>
      <c r="DG251" s="38"/>
      <c r="DH251" s="38"/>
      <c r="DI251" s="38"/>
      <c r="DJ251" s="38"/>
      <c r="DK251" s="38"/>
      <c r="DL251" s="38"/>
      <c r="DM251" s="38"/>
      <c r="DN251" s="38"/>
      <c r="DO251" s="38"/>
      <c r="DP251" s="38"/>
      <c r="DQ251" s="38"/>
      <c r="DR251" s="38"/>
      <c r="DS251" s="38"/>
      <c r="DT251" s="38"/>
    </row>
    <row r="252" spans="1:124" s="5" customFormat="1" ht="30" customHeight="1" x14ac:dyDescent="0.25">
      <c r="B252" s="433" t="s">
        <v>543</v>
      </c>
      <c r="C252" s="429">
        <v>447651</v>
      </c>
      <c r="D252" s="507"/>
      <c r="E252" s="323" t="s">
        <v>40</v>
      </c>
      <c r="F252" s="319" t="s">
        <v>907</v>
      </c>
      <c r="G252" s="320" t="s">
        <v>908</v>
      </c>
      <c r="H252" s="305">
        <v>1986</v>
      </c>
      <c r="I252" s="324" t="s">
        <v>214</v>
      </c>
      <c r="J252" s="325"/>
      <c r="K252" s="326">
        <v>84.9</v>
      </c>
      <c r="L252" s="300">
        <v>57</v>
      </c>
      <c r="M252" s="301">
        <v>62</v>
      </c>
      <c r="N252" s="301">
        <v>-65</v>
      </c>
      <c r="O252" s="358">
        <f t="shared" ref="O252:O278" si="77">IF(E252="","",IF(MAXA(L252:N252)&lt;=0,0,MAXA(L252:N252)))</f>
        <v>62</v>
      </c>
      <c r="P252" s="300">
        <v>65</v>
      </c>
      <c r="Q252" s="301">
        <v>70</v>
      </c>
      <c r="R252" s="301">
        <v>77</v>
      </c>
      <c r="S252" s="358">
        <f t="shared" si="70"/>
        <v>77</v>
      </c>
      <c r="T252" s="359">
        <f>IF(E252="","",IF(OR(O252=0,S252=0),0,O252+S252))</f>
        <v>139</v>
      </c>
      <c r="U252" s="360" t="str">
        <f t="shared" si="71"/>
        <v>DEB -11</v>
      </c>
      <c r="V252" s="360" t="str">
        <f>IF(E252=0," ",IF(E252="H",IF(H252&lt;1999,VLOOKUP(K252,[3]Minimas!$A$15:$F$29,6),IF(AND(H252&gt;1998,H252&lt;2002),VLOOKUP(K252,[3]Minimas!$A$15:$F$29,5),IF(AND(H252&gt;2001,H252&lt;2004),VLOOKUP(K252,[3]Minimas!$A$15:$F$29,4),IF(AND(H252&gt;2003,H252&lt;2006),VLOOKUP(K252,[3]Minimas!$A$15:$F$29,3),VLOOKUP(K252,[3]Minimas!$A$15:$F$29,2))))),IF(H252&lt;1999,VLOOKUP(K252,[3]Minimas!$G$15:$L$29,6),IF(AND(H252&gt;1998,H252&lt;2002),VLOOKUP(K252,[3]Minimas!$G$15:$L$29,5),IF(AND(H252&gt;2001,H252&lt;2004),VLOOKUP(K252,[3]Minimas!$G$15:$L$29,4),IF(AND(H252&gt;2003,H252&lt;2006),VLOOKUP(K252,[3]Minimas!$G$15:$L$29,3),VLOOKUP(K252,[3]Minimas!$G$15:$L$29,2)))))))</f>
        <v>SE M89</v>
      </c>
      <c r="W252" s="361">
        <f t="shared" si="72"/>
        <v>165.12432164507399</v>
      </c>
      <c r="X252" s="257">
        <v>43610</v>
      </c>
      <c r="Y252" s="261" t="s">
        <v>892</v>
      </c>
      <c r="Z252" s="261" t="s">
        <v>829</v>
      </c>
      <c r="AA252" s="232"/>
      <c r="AB252" s="230">
        <f>T252-HLOOKUP(V252,[3]Minimas!$C$3:$CD$12,2,FALSE)</f>
        <v>-11</v>
      </c>
      <c r="AC252" s="230">
        <f>T252-HLOOKUP(V252,[3]Minimas!$C$3:$CD$12,3,FALSE)</f>
        <v>-36</v>
      </c>
      <c r="AD252" s="230">
        <f>T252-HLOOKUP(V252,[3]Minimas!$C$3:$CD$12,4,FALSE)</f>
        <v>-61</v>
      </c>
      <c r="AE252" s="230">
        <f>T252-HLOOKUP(V252,[3]Minimas!$C$3:$CD$12,5,FALSE)</f>
        <v>-91</v>
      </c>
      <c r="AF252" s="230">
        <f>T252-HLOOKUP(V252,[3]Minimas!$C$3:$CD$12,6,FALSE)</f>
        <v>-121</v>
      </c>
      <c r="AG252" s="230">
        <f>T252-HLOOKUP(V252,[3]Minimas!$C$3:$CD$12,7,FALSE)</f>
        <v>-148</v>
      </c>
      <c r="AH252" s="230">
        <f>T252-HLOOKUP(V252,[3]Minimas!$C$3:$CD$12,8,FALSE)</f>
        <v>-171</v>
      </c>
      <c r="AI252" s="230">
        <f>T252-HLOOKUP(V252,[3]Minimas!$C$3:$CD$12,9,FALSE)</f>
        <v>-191</v>
      </c>
      <c r="AJ252" s="230">
        <f>T252-HLOOKUP(V252,[3]Minimas!$C$3:$CD$12,10,FALSE)</f>
        <v>-221</v>
      </c>
      <c r="AK252" s="231" t="str">
        <f t="shared" si="73"/>
        <v>DEB</v>
      </c>
      <c r="AL252" s="232"/>
      <c r="AM252" s="232" t="str">
        <f t="shared" si="74"/>
        <v>DEB</v>
      </c>
      <c r="AN252" s="232">
        <f t="shared" si="75"/>
        <v>-11</v>
      </c>
      <c r="AO252" s="232"/>
      <c r="AP252" s="38"/>
      <c r="AQ252" s="38"/>
      <c r="AR252" s="38"/>
      <c r="AS252" s="38"/>
      <c r="AT252" s="38"/>
      <c r="AU252" s="38"/>
      <c r="AV252" s="38"/>
      <c r="AW252" s="38"/>
      <c r="AX252" s="38"/>
      <c r="AY252" s="38"/>
      <c r="AZ252" s="38"/>
      <c r="BA252" s="38"/>
      <c r="BB252" s="38"/>
      <c r="BC252" s="38"/>
      <c r="BD252" s="38"/>
      <c r="BE252" s="38"/>
      <c r="BF252" s="38"/>
      <c r="BG252" s="38"/>
      <c r="BH252" s="38"/>
      <c r="BI252" s="38"/>
      <c r="BJ252" s="38"/>
      <c r="BK252" s="38"/>
      <c r="BL252" s="38"/>
      <c r="BM252" s="38"/>
      <c r="BN252" s="38"/>
      <c r="BO252" s="38"/>
      <c r="BP252" s="38"/>
      <c r="BQ252" s="38"/>
      <c r="BR252" s="38"/>
      <c r="BS252" s="38"/>
      <c r="BT252" s="38"/>
      <c r="BU252" s="38"/>
      <c r="BV252" s="38"/>
      <c r="BW252" s="38"/>
      <c r="BX252" s="38"/>
      <c r="BY252" s="38"/>
      <c r="BZ252" s="38"/>
      <c r="CA252" s="38"/>
      <c r="CB252" s="38"/>
      <c r="CC252" s="38"/>
      <c r="CD252" s="38"/>
      <c r="CE252" s="38"/>
      <c r="CF252" s="38"/>
      <c r="CG252" s="38"/>
      <c r="CH252" s="38"/>
      <c r="CI252" s="38"/>
      <c r="CJ252" s="38"/>
      <c r="CK252" s="38"/>
      <c r="CL252" s="38"/>
      <c r="CM252" s="38"/>
      <c r="CN252" s="38"/>
      <c r="CO252" s="38"/>
      <c r="CP252" s="38"/>
      <c r="CQ252" s="38"/>
      <c r="CR252" s="38"/>
      <c r="CS252" s="38"/>
      <c r="CT252" s="38"/>
      <c r="CU252" s="38"/>
      <c r="CV252" s="38"/>
      <c r="CW252" s="38"/>
      <c r="CX252" s="38"/>
      <c r="CY252" s="38"/>
      <c r="CZ252" s="38"/>
      <c r="DA252" s="38"/>
      <c r="DB252" s="38"/>
      <c r="DC252" s="38"/>
      <c r="DD252" s="38"/>
      <c r="DE252" s="38"/>
      <c r="DF252" s="38"/>
      <c r="DG252" s="38"/>
      <c r="DH252" s="38"/>
      <c r="DI252" s="38"/>
      <c r="DJ252" s="38"/>
      <c r="DK252" s="38"/>
      <c r="DL252" s="38"/>
      <c r="DM252" s="38"/>
      <c r="DN252" s="38"/>
      <c r="DO252" s="38"/>
      <c r="DP252" s="38"/>
      <c r="DQ252" s="38"/>
      <c r="DR252" s="38"/>
      <c r="DS252" s="38"/>
      <c r="DT252" s="38"/>
    </row>
    <row r="253" spans="1:124" s="5" customFormat="1" ht="30" customHeight="1" x14ac:dyDescent="0.25">
      <c r="B253" s="495" t="s">
        <v>543</v>
      </c>
      <c r="C253" s="499">
        <v>442646</v>
      </c>
      <c r="D253" s="496"/>
      <c r="E253" s="323" t="s">
        <v>40</v>
      </c>
      <c r="F253" s="328" t="s">
        <v>686</v>
      </c>
      <c r="G253" s="487" t="s">
        <v>422</v>
      </c>
      <c r="H253" s="329">
        <v>1991</v>
      </c>
      <c r="I253" s="330" t="s">
        <v>139</v>
      </c>
      <c r="J253" s="331" t="s">
        <v>44</v>
      </c>
      <c r="K253" s="297">
        <v>84.5</v>
      </c>
      <c r="L253" s="300">
        <v>55</v>
      </c>
      <c r="M253" s="301">
        <v>60</v>
      </c>
      <c r="N253" s="301">
        <v>63</v>
      </c>
      <c r="O253" s="490">
        <f t="shared" si="77"/>
        <v>63</v>
      </c>
      <c r="P253" s="300">
        <v>67</v>
      </c>
      <c r="Q253" s="301">
        <v>71</v>
      </c>
      <c r="R253" s="301">
        <v>75</v>
      </c>
      <c r="S253" s="490">
        <f t="shared" si="70"/>
        <v>75</v>
      </c>
      <c r="T253" s="489">
        <f>IF(E253="","",IF(OR(O253=0,S253=0),0,O253+S253))</f>
        <v>138</v>
      </c>
      <c r="U253" s="48" t="str">
        <f t="shared" si="71"/>
        <v>DEB -12</v>
      </c>
      <c r="V253" s="48" t="str">
        <f>IF(E253=0," ",IF(E253="H",IF(H253&lt;1999,VLOOKUP(K253,[25]Minimas!$A$15:$F$29,6),IF(AND(H253&gt;1998,H253&lt;2002),VLOOKUP(K253,[25]Minimas!$A$15:$F$29,5),IF(AND(H253&gt;2001,H253&lt;2004),VLOOKUP(K253,[25]Minimas!$A$15:$F$29,4),IF(AND(H253&gt;2003,H253&lt;2006),VLOOKUP(K253,[25]Minimas!$A$15:$F$29,3),VLOOKUP(K253,[25]Minimas!$A$15:$F$29,2))))),IF(H253&lt;1999,VLOOKUP(K253,[25]Minimas!$G$15:$L$29,6),IF(AND(H253&gt;1998,H253&lt;2002),VLOOKUP(K253,[25]Minimas!$G$15:$L$29,5),IF(AND(H253&gt;2001,H253&lt;2004),VLOOKUP(K253,[25]Minimas!$G$15:$L$29,4),IF(AND(H253&gt;2003,H253&lt;2006),VLOOKUP(K253,[25]Minimas!$G$15:$L$29,3),VLOOKUP(K253,[25]Minimas!$G$15:$L$29,2)))))))</f>
        <v>SE M89</v>
      </c>
      <c r="W253" s="49">
        <f t="shared" si="72"/>
        <v>164.3051961175436</v>
      </c>
      <c r="X253" s="257">
        <v>43492</v>
      </c>
      <c r="Y253" s="261" t="s">
        <v>525</v>
      </c>
      <c r="Z253" s="261" t="s">
        <v>695</v>
      </c>
      <c r="AA253" s="232"/>
      <c r="AB253" s="230">
        <f>T253-HLOOKUP(V253,Minimas!$C$3:$CD$12,2,FALSE)</f>
        <v>-12</v>
      </c>
      <c r="AC253" s="230">
        <f>T253-HLOOKUP(V253,Minimas!$C$3:$CD$12,3,FALSE)</f>
        <v>-37</v>
      </c>
      <c r="AD253" s="230">
        <f>T253-HLOOKUP(V253,Minimas!$C$3:$CD$12,4,FALSE)</f>
        <v>-62</v>
      </c>
      <c r="AE253" s="230">
        <f>T253-HLOOKUP(V253,Minimas!$C$3:$CD$12,5,FALSE)</f>
        <v>-92</v>
      </c>
      <c r="AF253" s="230">
        <f>T253-HLOOKUP(V253,Minimas!$C$3:$CD$12,6,FALSE)</f>
        <v>-122</v>
      </c>
      <c r="AG253" s="230">
        <f>T253-HLOOKUP(V253,Minimas!$C$3:$CD$12,7,FALSE)</f>
        <v>-149</v>
      </c>
      <c r="AH253" s="230">
        <f>T253-HLOOKUP(V253,Minimas!$C$3:$CD$12,8,FALSE)</f>
        <v>-172</v>
      </c>
      <c r="AI253" s="230">
        <f>T253-HLOOKUP(V253,Minimas!$C$3:$CD$12,9,FALSE)</f>
        <v>-192</v>
      </c>
      <c r="AJ253" s="230">
        <f>T253-HLOOKUP(V253,Minimas!$C$3:$CD$12,10,FALSE)</f>
        <v>-222</v>
      </c>
      <c r="AK253" s="231" t="str">
        <f t="shared" si="73"/>
        <v>DEB</v>
      </c>
      <c r="AL253" s="232"/>
      <c r="AM253" s="232" t="str">
        <f t="shared" si="74"/>
        <v>DEB</v>
      </c>
      <c r="AN253" s="232">
        <f t="shared" si="75"/>
        <v>-12</v>
      </c>
      <c r="AO253" s="232"/>
      <c r="AP253" s="38"/>
      <c r="AQ253" s="38"/>
      <c r="AR253" s="38"/>
      <c r="AS253" s="38"/>
      <c r="AT253" s="38"/>
      <c r="AU253" s="38"/>
      <c r="AV253" s="38"/>
      <c r="AW253" s="38"/>
      <c r="AX253" s="38"/>
      <c r="AY253" s="38"/>
      <c r="AZ253" s="38"/>
      <c r="BA253" s="38"/>
      <c r="BB253" s="38"/>
      <c r="BC253" s="38"/>
      <c r="BD253" s="38"/>
      <c r="BE253" s="38"/>
      <c r="BF253" s="38"/>
      <c r="BG253" s="38"/>
      <c r="BH253" s="38"/>
      <c r="BI253" s="38"/>
      <c r="BJ253" s="38"/>
      <c r="BK253" s="38"/>
      <c r="BL253" s="38"/>
      <c r="BM253" s="38"/>
      <c r="BN253" s="38"/>
      <c r="BO253" s="38"/>
      <c r="BP253" s="38"/>
      <c r="BQ253" s="38"/>
      <c r="BR253" s="38"/>
      <c r="BS253" s="38"/>
      <c r="BT253" s="38"/>
      <c r="BU253" s="38"/>
      <c r="BV253" s="38"/>
      <c r="BW253" s="38"/>
      <c r="BX253" s="38"/>
      <c r="BY253" s="38"/>
      <c r="BZ253" s="38"/>
      <c r="CA253" s="38"/>
      <c r="CB253" s="38"/>
      <c r="CC253" s="38"/>
      <c r="CD253" s="38"/>
      <c r="CE253" s="38"/>
      <c r="CF253" s="38"/>
      <c r="CG253" s="38"/>
      <c r="CH253" s="38"/>
      <c r="CI253" s="38"/>
      <c r="CJ253" s="38"/>
      <c r="CK253" s="38"/>
      <c r="CL253" s="38"/>
      <c r="CM253" s="38"/>
      <c r="CN253" s="38"/>
      <c r="CO253" s="38"/>
      <c r="CP253" s="38"/>
      <c r="CQ253" s="38"/>
      <c r="CR253" s="38"/>
      <c r="CS253" s="38"/>
      <c r="CT253" s="38"/>
      <c r="CU253" s="38"/>
      <c r="CV253" s="38"/>
      <c r="CW253" s="38"/>
      <c r="CX253" s="38"/>
      <c r="CY253" s="38"/>
      <c r="CZ253" s="38"/>
      <c r="DA253" s="38"/>
      <c r="DB253" s="38"/>
      <c r="DC253" s="38"/>
      <c r="DD253" s="38"/>
      <c r="DE253" s="38"/>
      <c r="DF253" s="38"/>
      <c r="DG253" s="38"/>
      <c r="DH253" s="38"/>
      <c r="DI253" s="38"/>
      <c r="DJ253" s="38"/>
      <c r="DK253" s="38"/>
      <c r="DL253" s="38"/>
      <c r="DM253" s="38"/>
      <c r="DN253" s="38"/>
      <c r="DO253" s="38"/>
      <c r="DP253" s="38"/>
      <c r="DQ253" s="38"/>
      <c r="DR253" s="38"/>
      <c r="DS253" s="38"/>
      <c r="DT253" s="38"/>
    </row>
    <row r="254" spans="1:124" s="5" customFormat="1" ht="30" customHeight="1" x14ac:dyDescent="0.25">
      <c r="A254" s="1"/>
      <c r="B254" s="515" t="s">
        <v>543</v>
      </c>
      <c r="C254" s="499">
        <v>446965</v>
      </c>
      <c r="D254" s="496"/>
      <c r="E254" s="315" t="s">
        <v>40</v>
      </c>
      <c r="F254" s="486" t="s">
        <v>760</v>
      </c>
      <c r="G254" s="487" t="s">
        <v>605</v>
      </c>
      <c r="H254" s="492">
        <v>1990</v>
      </c>
      <c r="I254" s="528" t="s">
        <v>129</v>
      </c>
      <c r="J254" s="494" t="s">
        <v>44</v>
      </c>
      <c r="K254" s="488">
        <v>85.7</v>
      </c>
      <c r="L254" s="300">
        <v>55</v>
      </c>
      <c r="M254" s="301">
        <v>64</v>
      </c>
      <c r="N254" s="449">
        <v>-70</v>
      </c>
      <c r="O254" s="52">
        <f t="shared" si="77"/>
        <v>64</v>
      </c>
      <c r="P254" s="300">
        <v>68</v>
      </c>
      <c r="Q254" s="301">
        <v>0</v>
      </c>
      <c r="R254" s="301">
        <v>0</v>
      </c>
      <c r="S254" s="52">
        <f t="shared" si="70"/>
        <v>68</v>
      </c>
      <c r="T254" s="489">
        <f>IF(E254="","",O254+S254)</f>
        <v>132</v>
      </c>
      <c r="U254" s="48" t="str">
        <f t="shared" si="71"/>
        <v>DEB -18</v>
      </c>
      <c r="V254" s="48" t="str">
        <f>IF(E254=0," ",IF(E254="H",IF(H254&lt;1999,VLOOKUP(K254,[7]Minimas!$A$15:$F$29,6),IF(AND(H254&gt;1998,H254&lt;2002),VLOOKUP(K254,[7]Minimas!$A$15:$F$29,5),IF(AND(H254&gt;2001,H254&lt;2004),VLOOKUP(K254,[7]Minimas!$A$15:$F$29,4),IF(AND(H254&gt;2003,H254&lt;2006),VLOOKUP(K254,[7]Minimas!$A$15:$F$29,3),VLOOKUP(K254,[7]Minimas!$A$15:$F$29,2))))),IF(H254&lt;1999,VLOOKUP(K254,[7]Minimas!$G$15:$L$29,6),IF(AND(H254&gt;1998,H254&lt;2002),VLOOKUP(K254,[7]Minimas!$G$15:$L$29,5),IF(AND(H254&gt;2001,H254&lt;2004),VLOOKUP(K254,[7]Minimas!$G$15:$L$29,4),IF(AND(H254&gt;2003,H254&lt;2006),VLOOKUP(K254,[7]Minimas!$G$15:$L$29,3),VLOOKUP(K254,[7]Minimas!$G$15:$L$29,2)))))))</f>
        <v>SE M89</v>
      </c>
      <c r="W254" s="49">
        <f t="shared" si="72"/>
        <v>156.1171888445102</v>
      </c>
      <c r="X254" s="257">
        <v>43540</v>
      </c>
      <c r="Y254" s="261" t="s">
        <v>714</v>
      </c>
      <c r="Z254" s="261" t="s">
        <v>704</v>
      </c>
      <c r="AA254" s="463"/>
      <c r="AB254" s="230">
        <f>T254-HLOOKUP(V254,Minimas!$C$3:$CD$12,2,FALSE)</f>
        <v>-18</v>
      </c>
      <c r="AC254" s="230">
        <f>T254-HLOOKUP(V254,Minimas!$C$3:$CD$12,3,FALSE)</f>
        <v>-43</v>
      </c>
      <c r="AD254" s="230">
        <f>T254-HLOOKUP(V254,Minimas!$C$3:$CD$12,4,FALSE)</f>
        <v>-68</v>
      </c>
      <c r="AE254" s="230">
        <f>T254-HLOOKUP(V254,Minimas!$C$3:$CD$12,5,FALSE)</f>
        <v>-98</v>
      </c>
      <c r="AF254" s="230">
        <f>T254-HLOOKUP(V254,Minimas!$C$3:$CD$12,6,FALSE)</f>
        <v>-128</v>
      </c>
      <c r="AG254" s="230">
        <f>T254-HLOOKUP(V254,Minimas!$C$3:$CD$12,7,FALSE)</f>
        <v>-155</v>
      </c>
      <c r="AH254" s="230">
        <f>T254-HLOOKUP(V254,Minimas!$C$3:$CD$12,8,FALSE)</f>
        <v>-178</v>
      </c>
      <c r="AI254" s="230">
        <f>T254-HLOOKUP(V254,Minimas!$C$3:$CD$12,9,FALSE)</f>
        <v>-198</v>
      </c>
      <c r="AJ254" s="230">
        <f>T254-HLOOKUP(V254,Minimas!$C$3:$CD$12,10,FALSE)</f>
        <v>-228</v>
      </c>
      <c r="AK254" s="231" t="str">
        <f t="shared" si="73"/>
        <v>DEB</v>
      </c>
      <c r="AL254" s="232"/>
      <c r="AM254" s="232" t="str">
        <f t="shared" si="74"/>
        <v>DEB</v>
      </c>
      <c r="AN254" s="232">
        <f t="shared" si="75"/>
        <v>-18</v>
      </c>
      <c r="AO254" s="463"/>
      <c r="AP254" s="34"/>
      <c r="AQ254" s="34"/>
      <c r="AR254" s="34"/>
      <c r="AS254" s="34"/>
      <c r="AT254" s="34"/>
      <c r="AU254" s="34"/>
      <c r="AV254" s="34"/>
      <c r="AW254" s="34"/>
      <c r="AX254" s="34"/>
      <c r="AY254" s="34"/>
      <c r="AZ254" s="34"/>
      <c r="BA254" s="34"/>
      <c r="BB254" s="34"/>
      <c r="BC254" s="34"/>
      <c r="BD254" s="34"/>
      <c r="BE254" s="34"/>
      <c r="BF254" s="34"/>
      <c r="BG254" s="34"/>
      <c r="BH254" s="34"/>
      <c r="BI254" s="34"/>
      <c r="BJ254" s="34"/>
      <c r="BK254" s="34"/>
      <c r="BL254" s="34"/>
      <c r="BM254" s="34"/>
      <c r="BN254" s="34"/>
      <c r="BO254" s="34"/>
      <c r="BP254" s="34"/>
      <c r="BQ254" s="34"/>
      <c r="BR254" s="34"/>
      <c r="BS254" s="34"/>
      <c r="BT254" s="34"/>
      <c r="BU254" s="34"/>
      <c r="BV254" s="34"/>
      <c r="BW254" s="34"/>
      <c r="BX254" s="34"/>
      <c r="BY254" s="34"/>
      <c r="BZ254" s="34"/>
      <c r="CA254" s="34"/>
      <c r="CB254" s="34"/>
      <c r="CC254" s="34"/>
      <c r="CD254" s="34"/>
      <c r="CE254" s="34"/>
      <c r="CF254" s="34"/>
      <c r="CG254" s="34"/>
      <c r="CH254" s="34"/>
      <c r="CI254" s="34"/>
      <c r="CJ254" s="34"/>
      <c r="CK254" s="34"/>
      <c r="CL254" s="34"/>
      <c r="CM254" s="34"/>
      <c r="CN254" s="34"/>
      <c r="CO254" s="34"/>
      <c r="CP254" s="34"/>
      <c r="CQ254" s="34"/>
      <c r="CR254" s="34"/>
      <c r="CS254" s="34"/>
      <c r="CT254" s="34"/>
      <c r="CU254" s="34"/>
      <c r="CV254" s="34"/>
      <c r="CW254" s="34"/>
      <c r="CX254" s="34"/>
      <c r="CY254" s="34"/>
      <c r="CZ254" s="34"/>
      <c r="DA254" s="34"/>
      <c r="DB254" s="34"/>
      <c r="DC254" s="34"/>
      <c r="DD254" s="34"/>
      <c r="DE254" s="34"/>
      <c r="DF254" s="34"/>
      <c r="DG254" s="34"/>
      <c r="DH254" s="34"/>
      <c r="DI254" s="34"/>
      <c r="DJ254" s="34"/>
      <c r="DK254" s="34"/>
      <c r="DL254" s="34"/>
      <c r="DM254" s="34"/>
      <c r="DN254" s="34"/>
      <c r="DO254" s="34"/>
      <c r="DP254" s="34"/>
      <c r="DQ254" s="34"/>
      <c r="DR254" s="34"/>
      <c r="DS254" s="34"/>
      <c r="DT254" s="34"/>
    </row>
    <row r="255" spans="1:124" s="5" customFormat="1" ht="30" customHeight="1" x14ac:dyDescent="0.25">
      <c r="B255" s="515" t="s">
        <v>543</v>
      </c>
      <c r="C255" s="697">
        <v>627</v>
      </c>
      <c r="D255" s="535"/>
      <c r="E255" s="719" t="s">
        <v>40</v>
      </c>
      <c r="F255" s="727" t="s">
        <v>844</v>
      </c>
      <c r="G255" s="734" t="s">
        <v>866</v>
      </c>
      <c r="H255" s="738">
        <v>1944</v>
      </c>
      <c r="I255" s="719" t="s">
        <v>214</v>
      </c>
      <c r="J255" s="762" t="s">
        <v>44</v>
      </c>
      <c r="K255" s="770">
        <v>87.4</v>
      </c>
      <c r="L255" s="781">
        <v>58</v>
      </c>
      <c r="M255" s="792">
        <v>61</v>
      </c>
      <c r="N255" s="800">
        <v>-64</v>
      </c>
      <c r="O255" s="490">
        <f t="shared" si="77"/>
        <v>61</v>
      </c>
      <c r="P255" s="806">
        <v>68</v>
      </c>
      <c r="Q255" s="800">
        <v>-75</v>
      </c>
      <c r="R255" s="800">
        <v>-75</v>
      </c>
      <c r="S255" s="490">
        <f t="shared" si="70"/>
        <v>68</v>
      </c>
      <c r="T255" s="489">
        <f>IF(E255="","",IF(OR(O255=0,S255=0),0,O255+S255))</f>
        <v>129</v>
      </c>
      <c r="U255" s="48" t="str">
        <f t="shared" si="71"/>
        <v>DEB -21</v>
      </c>
      <c r="V255" s="48" t="str">
        <f>IF(E255=0," ",IF(E255="H",IF(H255&lt;1999,VLOOKUP(K255,Minimas!$A$15:$F$29,6),IF(AND(H255&gt;1998,H255&lt;2002),VLOOKUP(K255,Minimas!$A$15:$F$29,5),IF(AND(H255&gt;2001,H255&lt;2004),VLOOKUP(K255,Minimas!$A$15:$F$29,4),IF(AND(H255&gt;2003,H255&lt;2006),VLOOKUP(K255,Minimas!$A$15:$F$29,3),VLOOKUP(K255,Minimas!$A$15:$F$29,2))))),IF(H255&lt;1999,VLOOKUP(K255,Minimas!$G$15:$L$29,6),IF(AND(H255&gt;1998,H255&lt;2002),VLOOKUP(K255,Minimas!$G$15:$L$29,5),IF(AND(H255&gt;2001,H255&lt;2004),VLOOKUP(K255,Minimas!$G$15:$L$29,4),IF(AND(H255&gt;2003,H255&lt;2006),VLOOKUP(K255,Minimas!$G$15:$L$29,3),VLOOKUP(K255,Minimas!$G$15:$L$29,2)))))))</f>
        <v>SE M89</v>
      </c>
      <c r="W255" s="49">
        <f t="shared" si="72"/>
        <v>151.19147921512342</v>
      </c>
      <c r="X255" s="257">
        <v>43576</v>
      </c>
      <c r="Y255" s="261" t="s">
        <v>860</v>
      </c>
      <c r="Z255" s="261" t="s">
        <v>861</v>
      </c>
      <c r="AA255" s="232"/>
      <c r="AB255" s="230">
        <f>T255-HLOOKUP(V255,Minimas!$C$3:$CD$12,2,FALSE)</f>
        <v>-21</v>
      </c>
      <c r="AC255" s="230">
        <f>T255-HLOOKUP(V255,Minimas!$C$3:$CD$12,3,FALSE)</f>
        <v>-46</v>
      </c>
      <c r="AD255" s="230">
        <f>T255-HLOOKUP(V255,Minimas!$C$3:$CD$12,4,FALSE)</f>
        <v>-71</v>
      </c>
      <c r="AE255" s="230">
        <f>T255-HLOOKUP(V255,Minimas!$C$3:$CD$12,5,FALSE)</f>
        <v>-101</v>
      </c>
      <c r="AF255" s="230">
        <f>T255-HLOOKUP(V255,Minimas!$C$3:$CD$12,6,FALSE)</f>
        <v>-131</v>
      </c>
      <c r="AG255" s="230">
        <f>T255-HLOOKUP(V255,Minimas!$C$3:$CD$12,7,FALSE)</f>
        <v>-158</v>
      </c>
      <c r="AH255" s="230">
        <f>T255-HLOOKUP(V255,Minimas!$C$3:$CD$12,8,FALSE)</f>
        <v>-181</v>
      </c>
      <c r="AI255" s="230">
        <f>T255-HLOOKUP(V255,Minimas!$C$3:$CD$12,9,FALSE)</f>
        <v>-201</v>
      </c>
      <c r="AJ255" s="230">
        <f>T255-HLOOKUP(V255,Minimas!$C$3:$CD$12,10,FALSE)</f>
        <v>-231</v>
      </c>
      <c r="AK255" s="231" t="str">
        <f t="shared" si="73"/>
        <v>DEB</v>
      </c>
      <c r="AL255" s="232"/>
      <c r="AM255" s="232" t="str">
        <f t="shared" si="74"/>
        <v>DEB</v>
      </c>
      <c r="AN255" s="232">
        <f t="shared" si="75"/>
        <v>-21</v>
      </c>
      <c r="AO255" s="232"/>
      <c r="AP255" s="38"/>
      <c r="AQ255" s="38"/>
      <c r="AR255" s="38"/>
      <c r="AS255" s="38"/>
      <c r="AT255" s="38"/>
      <c r="AU255" s="38"/>
      <c r="AV255" s="38"/>
      <c r="AW255" s="38"/>
      <c r="AX255" s="38"/>
      <c r="AY255" s="38"/>
      <c r="AZ255" s="38"/>
      <c r="BA255" s="38"/>
      <c r="BB255" s="38"/>
      <c r="BC255" s="38"/>
      <c r="BD255" s="38"/>
      <c r="BE255" s="38"/>
      <c r="BF255" s="38"/>
      <c r="BG255" s="38"/>
      <c r="BH255" s="38"/>
      <c r="BI255" s="38"/>
      <c r="BJ255" s="38"/>
      <c r="BK255" s="38"/>
      <c r="BL255" s="38"/>
      <c r="BM255" s="38"/>
      <c r="BN255" s="38"/>
      <c r="BO255" s="38"/>
      <c r="BP255" s="38"/>
      <c r="BQ255" s="38"/>
      <c r="BR255" s="38"/>
      <c r="BS255" s="38"/>
      <c r="BT255" s="38"/>
      <c r="BU255" s="38"/>
      <c r="BV255" s="38"/>
      <c r="BW255" s="38"/>
      <c r="BX255" s="38"/>
      <c r="BY255" s="38"/>
      <c r="BZ255" s="38"/>
      <c r="CA255" s="38"/>
      <c r="CB255" s="38"/>
      <c r="CC255" s="38"/>
      <c r="CD255" s="38"/>
      <c r="CE255" s="38"/>
      <c r="CF255" s="38"/>
      <c r="CG255" s="38"/>
      <c r="CH255" s="38"/>
      <c r="CI255" s="38"/>
      <c r="CJ255" s="38"/>
      <c r="CK255" s="38"/>
      <c r="CL255" s="38"/>
      <c r="CM255" s="38"/>
      <c r="CN255" s="38"/>
      <c r="CO255" s="38"/>
      <c r="CP255" s="38"/>
      <c r="CQ255" s="38"/>
      <c r="CR255" s="38"/>
      <c r="CS255" s="38"/>
      <c r="CT255" s="38"/>
      <c r="CU255" s="38"/>
      <c r="CV255" s="38"/>
      <c r="CW255" s="38"/>
      <c r="CX255" s="38"/>
      <c r="CY255" s="38"/>
      <c r="CZ255" s="38"/>
      <c r="DA255" s="38"/>
      <c r="DB255" s="38"/>
      <c r="DC255" s="38"/>
      <c r="DD255" s="38"/>
      <c r="DE255" s="38"/>
      <c r="DF255" s="38"/>
      <c r="DG255" s="38"/>
      <c r="DH255" s="38"/>
      <c r="DI255" s="38"/>
      <c r="DJ255" s="38"/>
      <c r="DK255" s="38"/>
      <c r="DL255" s="38"/>
      <c r="DM255" s="38"/>
      <c r="DN255" s="38"/>
      <c r="DO255" s="38"/>
      <c r="DP255" s="38"/>
      <c r="DQ255" s="38"/>
      <c r="DR255" s="38"/>
      <c r="DS255" s="38"/>
      <c r="DT255" s="38"/>
    </row>
    <row r="256" spans="1:124" s="5" customFormat="1" ht="30" customHeight="1" x14ac:dyDescent="0.25">
      <c r="A256" s="1"/>
      <c r="B256" s="515" t="s">
        <v>543</v>
      </c>
      <c r="C256" s="499">
        <v>445963</v>
      </c>
      <c r="D256" s="496"/>
      <c r="E256" s="323" t="s">
        <v>40</v>
      </c>
      <c r="F256" s="486" t="s">
        <v>770</v>
      </c>
      <c r="G256" s="487" t="s">
        <v>771</v>
      </c>
      <c r="H256" s="492">
        <v>1988</v>
      </c>
      <c r="I256" s="528" t="s">
        <v>129</v>
      </c>
      <c r="J256" s="493" t="s">
        <v>44</v>
      </c>
      <c r="K256" s="488">
        <v>87.2</v>
      </c>
      <c r="L256" s="300">
        <v>50</v>
      </c>
      <c r="M256" s="301">
        <v>55</v>
      </c>
      <c r="N256" s="449">
        <v>-60</v>
      </c>
      <c r="O256" s="490">
        <f t="shared" si="77"/>
        <v>55</v>
      </c>
      <c r="P256" s="300">
        <v>63</v>
      </c>
      <c r="Q256" s="301">
        <v>68</v>
      </c>
      <c r="R256" s="301">
        <v>72</v>
      </c>
      <c r="S256" s="52">
        <f t="shared" si="70"/>
        <v>72</v>
      </c>
      <c r="T256" s="51">
        <f>IF(E256="","",O256+S256)</f>
        <v>127</v>
      </c>
      <c r="U256" s="48" t="str">
        <f t="shared" si="71"/>
        <v>DEB -23</v>
      </c>
      <c r="V256" s="48" t="str">
        <f>IF(E256=0," ",IF(E256="H",IF(H256&lt;1999,VLOOKUP(K256,[7]Minimas!$A$15:$F$29,6),IF(AND(H256&gt;1998,H256&lt;2002),VLOOKUP(K256,[7]Minimas!$A$15:$F$29,5),IF(AND(H256&gt;2001,H256&lt;2004),VLOOKUP(K256,[7]Minimas!$A$15:$F$29,4),IF(AND(H256&gt;2003,H256&lt;2006),VLOOKUP(K256,[7]Minimas!$A$15:$F$29,3),VLOOKUP(K256,[7]Minimas!$A$15:$F$29,2))))),IF(H256&lt;1999,VLOOKUP(K256,[7]Minimas!$G$15:$L$29,6),IF(AND(H256&gt;1998,H256&lt;2002),VLOOKUP(K256,[7]Minimas!$G$15:$L$29,5),IF(AND(H256&gt;2001,H256&lt;2004),VLOOKUP(K256,[7]Minimas!$G$15:$L$29,4),IF(AND(H256&gt;2003,H256&lt;2006),VLOOKUP(K256,[7]Minimas!$G$15:$L$29,3),VLOOKUP(K256,[7]Minimas!$G$15:$L$29,2)))))))</f>
        <v>SE M89</v>
      </c>
      <c r="W256" s="49">
        <f t="shared" si="72"/>
        <v>149.00303913722968</v>
      </c>
      <c r="X256" s="257">
        <v>43540</v>
      </c>
      <c r="Y256" s="261" t="s">
        <v>714</v>
      </c>
      <c r="Z256" s="261" t="s">
        <v>704</v>
      </c>
      <c r="AA256" s="463"/>
      <c r="AB256" s="230">
        <f>T256-HLOOKUP(V256,Minimas!$C$3:$CD$12,2,FALSE)</f>
        <v>-23</v>
      </c>
      <c r="AC256" s="230">
        <f>T256-HLOOKUP(V256,Minimas!$C$3:$CD$12,3,FALSE)</f>
        <v>-48</v>
      </c>
      <c r="AD256" s="230">
        <f>T256-HLOOKUP(V256,Minimas!$C$3:$CD$12,4,FALSE)</f>
        <v>-73</v>
      </c>
      <c r="AE256" s="230">
        <f>T256-HLOOKUP(V256,Minimas!$C$3:$CD$12,5,FALSE)</f>
        <v>-103</v>
      </c>
      <c r="AF256" s="230">
        <f>T256-HLOOKUP(V256,Minimas!$C$3:$CD$12,6,FALSE)</f>
        <v>-133</v>
      </c>
      <c r="AG256" s="230">
        <f>T256-HLOOKUP(V256,Minimas!$C$3:$CD$12,7,FALSE)</f>
        <v>-160</v>
      </c>
      <c r="AH256" s="230">
        <f>T256-HLOOKUP(V256,Minimas!$C$3:$CD$12,8,FALSE)</f>
        <v>-183</v>
      </c>
      <c r="AI256" s="230">
        <f>T256-HLOOKUP(V256,Minimas!$C$3:$CD$12,9,FALSE)</f>
        <v>-203</v>
      </c>
      <c r="AJ256" s="230">
        <f>T256-HLOOKUP(V256,Minimas!$C$3:$CD$12,10,FALSE)</f>
        <v>-233</v>
      </c>
      <c r="AK256" s="231" t="str">
        <f t="shared" si="73"/>
        <v>DEB</v>
      </c>
      <c r="AL256" s="232"/>
      <c r="AM256" s="232" t="str">
        <f t="shared" si="74"/>
        <v>DEB</v>
      </c>
      <c r="AN256" s="232">
        <f t="shared" si="75"/>
        <v>-23</v>
      </c>
      <c r="AO256" s="463"/>
      <c r="AP256" s="34"/>
      <c r="AQ256" s="34"/>
      <c r="AR256" s="34"/>
      <c r="AS256" s="34"/>
      <c r="AT256" s="34"/>
      <c r="AU256" s="34"/>
      <c r="AV256" s="34"/>
      <c r="AW256" s="34"/>
      <c r="AX256" s="34"/>
      <c r="AY256" s="34"/>
      <c r="AZ256" s="34"/>
      <c r="BA256" s="34"/>
      <c r="BB256" s="34"/>
      <c r="BC256" s="34"/>
      <c r="BD256" s="34"/>
      <c r="BE256" s="34"/>
      <c r="BF256" s="34"/>
      <c r="BG256" s="34"/>
      <c r="BH256" s="34"/>
      <c r="BI256" s="34"/>
      <c r="BJ256" s="34"/>
      <c r="BK256" s="34"/>
      <c r="BL256" s="34"/>
      <c r="BM256" s="34"/>
      <c r="BN256" s="34"/>
      <c r="BO256" s="34"/>
      <c r="BP256" s="34"/>
      <c r="BQ256" s="34"/>
      <c r="BR256" s="34"/>
      <c r="BS256" s="34"/>
      <c r="BT256" s="34"/>
      <c r="BU256" s="34"/>
      <c r="BV256" s="34"/>
      <c r="BW256" s="34"/>
      <c r="BX256" s="34"/>
      <c r="BY256" s="34"/>
      <c r="BZ256" s="34"/>
      <c r="CA256" s="34"/>
      <c r="CB256" s="34"/>
      <c r="CC256" s="34"/>
      <c r="CD256" s="34"/>
      <c r="CE256" s="34"/>
      <c r="CF256" s="34"/>
      <c r="CG256" s="34"/>
      <c r="CH256" s="34"/>
      <c r="CI256" s="34"/>
      <c r="CJ256" s="34"/>
      <c r="CK256" s="34"/>
      <c r="CL256" s="34"/>
      <c r="CM256" s="34"/>
      <c r="CN256" s="34"/>
      <c r="CO256" s="34"/>
      <c r="CP256" s="34"/>
      <c r="CQ256" s="34"/>
      <c r="CR256" s="34"/>
      <c r="CS256" s="34"/>
      <c r="CT256" s="34"/>
      <c r="CU256" s="34"/>
      <c r="CV256" s="34"/>
      <c r="CW256" s="34"/>
      <c r="CX256" s="34"/>
      <c r="CY256" s="34"/>
      <c r="CZ256" s="34"/>
      <c r="DA256" s="34"/>
      <c r="DB256" s="34"/>
      <c r="DC256" s="34"/>
      <c r="DD256" s="34"/>
      <c r="DE256" s="34"/>
      <c r="DF256" s="34"/>
      <c r="DG256" s="34"/>
      <c r="DH256" s="34"/>
      <c r="DI256" s="34"/>
      <c r="DJ256" s="34"/>
      <c r="DK256" s="34"/>
      <c r="DL256" s="34"/>
      <c r="DM256" s="34"/>
      <c r="DN256" s="34"/>
      <c r="DO256" s="34"/>
      <c r="DP256" s="34"/>
      <c r="DQ256" s="34"/>
      <c r="DR256" s="34"/>
      <c r="DS256" s="34"/>
      <c r="DT256" s="34"/>
    </row>
    <row r="257" spans="1:124" s="5" customFormat="1" ht="30" customHeight="1" thickBot="1" x14ac:dyDescent="0.3">
      <c r="A257" s="1"/>
      <c r="B257" s="515" t="s">
        <v>543</v>
      </c>
      <c r="C257" s="499">
        <v>445961</v>
      </c>
      <c r="D257" s="496"/>
      <c r="E257" s="315" t="s">
        <v>40</v>
      </c>
      <c r="F257" s="486" t="s">
        <v>768</v>
      </c>
      <c r="G257" s="487" t="s">
        <v>769</v>
      </c>
      <c r="H257" s="492">
        <v>1989</v>
      </c>
      <c r="I257" s="528" t="s">
        <v>129</v>
      </c>
      <c r="J257" s="493" t="s">
        <v>44</v>
      </c>
      <c r="K257" s="488">
        <v>84.5</v>
      </c>
      <c r="L257" s="300">
        <v>55</v>
      </c>
      <c r="M257" s="449">
        <v>-58</v>
      </c>
      <c r="N257" s="449">
        <v>-58</v>
      </c>
      <c r="O257" s="52">
        <f t="shared" si="77"/>
        <v>55</v>
      </c>
      <c r="P257" s="300">
        <v>68</v>
      </c>
      <c r="Q257" s="301">
        <v>70</v>
      </c>
      <c r="R257" s="301">
        <v>71</v>
      </c>
      <c r="S257" s="52">
        <f t="shared" si="70"/>
        <v>71</v>
      </c>
      <c r="T257" s="489">
        <f>IF(E257="","",O257+S257)</f>
        <v>126</v>
      </c>
      <c r="U257" s="48" t="str">
        <f t="shared" si="71"/>
        <v>DEB -24</v>
      </c>
      <c r="V257" s="48" t="str">
        <f>IF(E257=0," ",IF(E257="H",IF(H257&lt;1999,VLOOKUP(K257,[7]Minimas!$A$15:$F$29,6),IF(AND(H257&gt;1998,H257&lt;2002),VLOOKUP(K257,[7]Minimas!$A$15:$F$29,5),IF(AND(H257&gt;2001,H257&lt;2004),VLOOKUP(K257,[7]Minimas!$A$15:$F$29,4),IF(AND(H257&gt;2003,H257&lt;2006),VLOOKUP(K257,[7]Minimas!$A$15:$F$29,3),VLOOKUP(K257,[7]Minimas!$A$15:$F$29,2))))),IF(H257&lt;1999,VLOOKUP(K257,[7]Minimas!$G$15:$L$29,6),IF(AND(H257&gt;1998,H257&lt;2002),VLOOKUP(K257,[7]Minimas!$G$15:$L$29,5),IF(AND(H257&gt;2001,H257&lt;2004),VLOOKUP(K257,[7]Minimas!$G$15:$L$29,4),IF(AND(H257&gt;2003,H257&lt;2006),VLOOKUP(K257,[7]Minimas!$G$15:$L$29,3),VLOOKUP(K257,[7]Minimas!$G$15:$L$29,2)))))))</f>
        <v>SE M89</v>
      </c>
      <c r="W257" s="49">
        <f t="shared" si="72"/>
        <v>150.01778775949634</v>
      </c>
      <c r="X257" s="257">
        <v>43540</v>
      </c>
      <c r="Y257" s="261" t="s">
        <v>714</v>
      </c>
      <c r="Z257" s="261" t="s">
        <v>704</v>
      </c>
      <c r="AA257" s="463"/>
      <c r="AB257" s="230">
        <f>T257-HLOOKUP(V257,Minimas!$C$3:$CD$12,2,FALSE)</f>
        <v>-24</v>
      </c>
      <c r="AC257" s="230">
        <f>T257-HLOOKUP(V257,Minimas!$C$3:$CD$12,3,FALSE)</f>
        <v>-49</v>
      </c>
      <c r="AD257" s="230">
        <f>T257-HLOOKUP(V257,Minimas!$C$3:$CD$12,4,FALSE)</f>
        <v>-74</v>
      </c>
      <c r="AE257" s="230">
        <f>T257-HLOOKUP(V257,Minimas!$C$3:$CD$12,5,FALSE)</f>
        <v>-104</v>
      </c>
      <c r="AF257" s="230">
        <f>T257-HLOOKUP(V257,Minimas!$C$3:$CD$12,6,FALSE)</f>
        <v>-134</v>
      </c>
      <c r="AG257" s="230">
        <f>T257-HLOOKUP(V257,Minimas!$C$3:$CD$12,7,FALSE)</f>
        <v>-161</v>
      </c>
      <c r="AH257" s="230">
        <f>T257-HLOOKUP(V257,Minimas!$C$3:$CD$12,8,FALSE)</f>
        <v>-184</v>
      </c>
      <c r="AI257" s="230">
        <f>T257-HLOOKUP(V257,Minimas!$C$3:$CD$12,9,FALSE)</f>
        <v>-204</v>
      </c>
      <c r="AJ257" s="230">
        <f>T257-HLOOKUP(V257,Minimas!$C$3:$CD$12,10,FALSE)</f>
        <v>-234</v>
      </c>
      <c r="AK257" s="231" t="str">
        <f t="shared" si="73"/>
        <v>DEB</v>
      </c>
      <c r="AL257" s="232"/>
      <c r="AM257" s="232" t="str">
        <f t="shared" si="74"/>
        <v>DEB</v>
      </c>
      <c r="AN257" s="232">
        <f t="shared" si="75"/>
        <v>-24</v>
      </c>
      <c r="AO257" s="463"/>
      <c r="AP257" s="34"/>
      <c r="AQ257" s="34"/>
      <c r="AR257" s="34"/>
      <c r="AS257" s="34"/>
      <c r="AT257" s="34"/>
      <c r="AU257" s="34"/>
      <c r="AV257" s="34"/>
      <c r="AW257" s="34"/>
      <c r="AX257" s="34"/>
      <c r="AY257" s="34"/>
      <c r="AZ257" s="34"/>
      <c r="BA257" s="34"/>
      <c r="BB257" s="34"/>
      <c r="BC257" s="34"/>
      <c r="BD257" s="34"/>
      <c r="BE257" s="34"/>
      <c r="BF257" s="34"/>
      <c r="BG257" s="34"/>
      <c r="BH257" s="34"/>
      <c r="BI257" s="34"/>
      <c r="BJ257" s="34"/>
      <c r="BK257" s="34"/>
      <c r="BL257" s="34"/>
      <c r="BM257" s="34"/>
      <c r="BN257" s="34"/>
      <c r="BO257" s="34"/>
      <c r="BP257" s="34"/>
      <c r="BQ257" s="34"/>
      <c r="BR257" s="34"/>
      <c r="BS257" s="34"/>
      <c r="BT257" s="34"/>
      <c r="BU257" s="34"/>
      <c r="BV257" s="34"/>
      <c r="BW257" s="34"/>
      <c r="BX257" s="34"/>
      <c r="BY257" s="34"/>
      <c r="BZ257" s="34"/>
      <c r="CA257" s="34"/>
      <c r="CB257" s="34"/>
      <c r="CC257" s="34"/>
      <c r="CD257" s="34"/>
      <c r="CE257" s="34"/>
      <c r="CF257" s="34"/>
      <c r="CG257" s="34"/>
      <c r="CH257" s="34"/>
      <c r="CI257" s="34"/>
      <c r="CJ257" s="34"/>
      <c r="CK257" s="34"/>
      <c r="CL257" s="34"/>
      <c r="CM257" s="34"/>
      <c r="CN257" s="34"/>
      <c r="CO257" s="34"/>
      <c r="CP257" s="34"/>
      <c r="CQ257" s="34"/>
      <c r="CR257" s="34"/>
      <c r="CS257" s="34"/>
      <c r="CT257" s="34"/>
      <c r="CU257" s="34"/>
      <c r="CV257" s="34"/>
      <c r="CW257" s="34"/>
      <c r="CX257" s="34"/>
      <c r="CY257" s="34"/>
      <c r="CZ257" s="34"/>
      <c r="DA257" s="34"/>
      <c r="DB257" s="34"/>
      <c r="DC257" s="34"/>
      <c r="DD257" s="34"/>
      <c r="DE257" s="34"/>
      <c r="DF257" s="34"/>
      <c r="DG257" s="34"/>
      <c r="DH257" s="34"/>
      <c r="DI257" s="34"/>
      <c r="DJ257" s="34"/>
      <c r="DK257" s="34"/>
      <c r="DL257" s="34"/>
      <c r="DM257" s="34"/>
      <c r="DN257" s="34"/>
      <c r="DO257" s="34"/>
      <c r="DP257" s="34"/>
      <c r="DQ257" s="34"/>
      <c r="DR257" s="34"/>
      <c r="DS257" s="34"/>
      <c r="DT257" s="34"/>
    </row>
    <row r="258" spans="1:124" s="5" customFormat="1" ht="30" customHeight="1" x14ac:dyDescent="0.25">
      <c r="A258" s="1"/>
      <c r="B258" s="688" t="s">
        <v>543</v>
      </c>
      <c r="C258" s="362">
        <v>445970</v>
      </c>
      <c r="D258" s="367"/>
      <c r="E258" s="315" t="s">
        <v>40</v>
      </c>
      <c r="F258" s="288" t="s">
        <v>767</v>
      </c>
      <c r="G258" s="491" t="s">
        <v>344</v>
      </c>
      <c r="H258" s="739">
        <v>1998</v>
      </c>
      <c r="I258" s="749" t="s">
        <v>129</v>
      </c>
      <c r="J258" s="428" t="s">
        <v>44</v>
      </c>
      <c r="K258" s="503">
        <v>82</v>
      </c>
      <c r="L258" s="295">
        <v>55</v>
      </c>
      <c r="M258" s="451">
        <v>-60</v>
      </c>
      <c r="N258" s="451">
        <v>-70</v>
      </c>
      <c r="O258" s="501">
        <f t="shared" si="77"/>
        <v>55</v>
      </c>
      <c r="P258" s="295">
        <v>70</v>
      </c>
      <c r="Q258" s="451">
        <v>-80</v>
      </c>
      <c r="R258" s="451">
        <v>-85</v>
      </c>
      <c r="S258" s="501">
        <f t="shared" ref="S258:S278" si="78">IF(E258="","",IF(MAXA(P258:R258)&lt;=0,0,MAXA(P258:R258)))</f>
        <v>70</v>
      </c>
      <c r="T258" s="502">
        <f>IF(E258="","",O258+S258)</f>
        <v>125</v>
      </c>
      <c r="U258" s="48" t="str">
        <f t="shared" ref="U258:U278" si="79">+CONCATENATE(AM258," ",AN258)</f>
        <v>DEB -25</v>
      </c>
      <c r="V258" s="48" t="str">
        <f>IF(E258=0," ",IF(E258="H",IF(H258&lt;1999,VLOOKUP(K258,[7]Minimas!$A$15:$F$29,6),IF(AND(H258&gt;1998,H258&lt;2002),VLOOKUP(K258,[7]Minimas!$A$15:$F$29,5),IF(AND(H258&gt;2001,H258&lt;2004),VLOOKUP(K258,[7]Minimas!$A$15:$F$29,4),IF(AND(H258&gt;2003,H258&lt;2006),VLOOKUP(K258,[7]Minimas!$A$15:$F$29,3),VLOOKUP(K258,[7]Minimas!$A$15:$F$29,2))))),IF(H258&lt;1999,VLOOKUP(K258,[7]Minimas!$G$15:$L$29,6),IF(AND(H258&gt;1998,H258&lt;2002),VLOOKUP(K258,[7]Minimas!$G$15:$L$29,5),IF(AND(H258&gt;2001,H258&lt;2004),VLOOKUP(K258,[7]Minimas!$G$15:$L$29,4),IF(AND(H258&gt;2003,H258&lt;2006),VLOOKUP(K258,[7]Minimas!$G$15:$L$29,3),VLOOKUP(K258,[7]Minimas!$G$15:$L$29,2)))))))</f>
        <v>SE M89</v>
      </c>
      <c r="W258" s="60">
        <f t="shared" ref="W258:W278" si="80">IF(E258=" "," ",IF(E258="H",10^(0.75194503*LOG(K258/175.508)^2)*T258,IF(E258="F",10^(0.783497476* LOG(K258/153.655)^2)*T258,"")))</f>
        <v>151.02079059450196</v>
      </c>
      <c r="X258" s="257">
        <v>43540</v>
      </c>
      <c r="Y258" s="261" t="s">
        <v>714</v>
      </c>
      <c r="Z258" s="261" t="s">
        <v>704</v>
      </c>
      <c r="AA258" s="463"/>
      <c r="AB258" s="230">
        <f>T258-HLOOKUP(V258,Minimas!$C$3:$CD$12,2,FALSE)</f>
        <v>-25</v>
      </c>
      <c r="AC258" s="230">
        <f>T258-HLOOKUP(V258,Minimas!$C$3:$CD$12,3,FALSE)</f>
        <v>-50</v>
      </c>
      <c r="AD258" s="230">
        <f>T258-HLOOKUP(V258,Minimas!$C$3:$CD$12,4,FALSE)</f>
        <v>-75</v>
      </c>
      <c r="AE258" s="230">
        <f>T258-HLOOKUP(V258,Minimas!$C$3:$CD$12,5,FALSE)</f>
        <v>-105</v>
      </c>
      <c r="AF258" s="230">
        <f>T258-HLOOKUP(V258,Minimas!$C$3:$CD$12,6,FALSE)</f>
        <v>-135</v>
      </c>
      <c r="AG258" s="230">
        <f>T258-HLOOKUP(V258,Minimas!$C$3:$CD$12,7,FALSE)</f>
        <v>-162</v>
      </c>
      <c r="AH258" s="230">
        <f>T258-HLOOKUP(V258,Minimas!$C$3:$CD$12,8,FALSE)</f>
        <v>-185</v>
      </c>
      <c r="AI258" s="230">
        <f>T258-HLOOKUP(V258,Minimas!$C$3:$CD$12,9,FALSE)</f>
        <v>-205</v>
      </c>
      <c r="AJ258" s="230">
        <f>T258-HLOOKUP(V258,Minimas!$C$3:$CD$12,10,FALSE)</f>
        <v>-235</v>
      </c>
      <c r="AK258" s="231" t="str">
        <f t="shared" ref="AK258:AK278" si="81">IF(E258=0," ",IF(AJ258&gt;=0,$AJ$5,IF(AI258&gt;=0,$AI$5,IF(AH258&gt;=0,$AH$5,IF(AG258&gt;=0,$AG$5,IF(AF258&gt;=0,$AF$5,IF(AE258&gt;=0,$AE$5,IF(AD258&gt;=0,$AD$5,IF(AC258&gt;=0,$AC$5,$AB$5)))))))))</f>
        <v>DEB</v>
      </c>
      <c r="AL258" s="232"/>
      <c r="AM258" s="232" t="str">
        <f t="shared" ref="AM258:AM278" si="82">IF(AK258="","",AK258)</f>
        <v>DEB</v>
      </c>
      <c r="AN258" s="232">
        <f t="shared" ref="AN258:AN278" si="83">IF(E258=0," ",IF(AJ258&gt;=0,AJ258,IF(AI258&gt;=0,AI258,IF(AH258&gt;=0,AH258,IF(AG258&gt;=0,AG258,IF(AF258&gt;=0,AF258,IF(AE258&gt;=0,AE258,IF(AD258&gt;=0,AD258,IF(AC258&gt;=0,AC258,AB258)))))))))</f>
        <v>-25</v>
      </c>
      <c r="AO258" s="463"/>
      <c r="AP258" s="34"/>
      <c r="AQ258" s="34"/>
      <c r="AR258" s="34"/>
      <c r="AS258" s="34"/>
      <c r="AT258" s="34"/>
      <c r="AU258" s="34"/>
      <c r="AV258" s="34"/>
      <c r="AW258" s="34"/>
      <c r="AX258" s="34"/>
      <c r="AY258" s="34"/>
      <c r="AZ258" s="34"/>
      <c r="BA258" s="34"/>
      <c r="BB258" s="34"/>
      <c r="BC258" s="34"/>
      <c r="BD258" s="34"/>
      <c r="BE258" s="34"/>
      <c r="BF258" s="34"/>
      <c r="BG258" s="34"/>
      <c r="BH258" s="34"/>
      <c r="BI258" s="34"/>
      <c r="BJ258" s="34"/>
      <c r="BK258" s="34"/>
      <c r="BL258" s="34"/>
      <c r="BM258" s="34"/>
      <c r="BN258" s="34"/>
      <c r="BO258" s="34"/>
      <c r="BP258" s="34"/>
      <c r="BQ258" s="34"/>
      <c r="BR258" s="34"/>
      <c r="BS258" s="34"/>
      <c r="BT258" s="34"/>
      <c r="BU258" s="34"/>
      <c r="BV258" s="34"/>
      <c r="BW258" s="34"/>
      <c r="BX258" s="34"/>
      <c r="BY258" s="34"/>
      <c r="BZ258" s="34"/>
      <c r="CA258" s="34"/>
      <c r="CB258" s="34"/>
      <c r="CC258" s="34"/>
      <c r="CD258" s="34"/>
      <c r="CE258" s="34"/>
      <c r="CF258" s="34"/>
      <c r="CG258" s="34"/>
      <c r="CH258" s="34"/>
      <c r="CI258" s="34"/>
      <c r="CJ258" s="34"/>
      <c r="CK258" s="34"/>
      <c r="CL258" s="34"/>
      <c r="CM258" s="34"/>
      <c r="CN258" s="34"/>
      <c r="CO258" s="34"/>
      <c r="CP258" s="34"/>
      <c r="CQ258" s="34"/>
      <c r="CR258" s="34"/>
      <c r="CS258" s="34"/>
      <c r="CT258" s="34"/>
      <c r="CU258" s="34"/>
      <c r="CV258" s="34"/>
      <c r="CW258" s="34"/>
      <c r="CX258" s="34"/>
      <c r="CY258" s="34"/>
      <c r="CZ258" s="34"/>
      <c r="DA258" s="34"/>
      <c r="DB258" s="34"/>
      <c r="DC258" s="34"/>
      <c r="DD258" s="34"/>
      <c r="DE258" s="34"/>
      <c r="DF258" s="34"/>
      <c r="DG258" s="34"/>
      <c r="DH258" s="34"/>
      <c r="DI258" s="34"/>
      <c r="DJ258" s="34"/>
      <c r="DK258" s="34"/>
      <c r="DL258" s="34"/>
      <c r="DM258" s="34"/>
      <c r="DN258" s="34"/>
      <c r="DO258" s="34"/>
      <c r="DP258" s="34"/>
      <c r="DQ258" s="34"/>
      <c r="DR258" s="34"/>
      <c r="DS258" s="34"/>
      <c r="DT258" s="34"/>
    </row>
    <row r="259" spans="1:124" s="5" customFormat="1" ht="30" customHeight="1" x14ac:dyDescent="0.25">
      <c r="A259" s="1"/>
      <c r="B259" s="515" t="s">
        <v>543</v>
      </c>
      <c r="C259" s="499">
        <v>445972</v>
      </c>
      <c r="D259" s="496"/>
      <c r="E259" s="323" t="s">
        <v>40</v>
      </c>
      <c r="F259" s="486" t="s">
        <v>777</v>
      </c>
      <c r="G259" s="487" t="s">
        <v>778</v>
      </c>
      <c r="H259" s="492">
        <v>1989</v>
      </c>
      <c r="I259" s="528" t="s">
        <v>129</v>
      </c>
      <c r="J259" s="493" t="s">
        <v>44</v>
      </c>
      <c r="K259" s="488">
        <v>81.5</v>
      </c>
      <c r="L259" s="300">
        <v>45</v>
      </c>
      <c r="M259" s="301">
        <v>50</v>
      </c>
      <c r="N259" s="301">
        <v>52</v>
      </c>
      <c r="O259" s="490">
        <f t="shared" si="77"/>
        <v>52</v>
      </c>
      <c r="P259" s="300">
        <v>58</v>
      </c>
      <c r="Q259" s="449">
        <v>-63</v>
      </c>
      <c r="R259" s="301">
        <v>63</v>
      </c>
      <c r="S259" s="490">
        <f t="shared" si="78"/>
        <v>63</v>
      </c>
      <c r="T259" s="489">
        <f>IF(E259="","",O259+S259)</f>
        <v>115</v>
      </c>
      <c r="U259" s="48" t="str">
        <f t="shared" si="79"/>
        <v>DEB -35</v>
      </c>
      <c r="V259" s="48" t="str">
        <f>IF(E259=0," ",IF(E259="H",IF(H259&lt;1999,VLOOKUP(K259,[7]Minimas!$A$15:$F$29,6),IF(AND(H259&gt;1998,H259&lt;2002),VLOOKUP(K259,[7]Minimas!$A$15:$F$29,5),IF(AND(H259&gt;2001,H259&lt;2004),VLOOKUP(K259,[7]Minimas!$A$15:$F$29,4),IF(AND(H259&gt;2003,H259&lt;2006),VLOOKUP(K259,[7]Minimas!$A$15:$F$29,3),VLOOKUP(K259,[7]Minimas!$A$15:$F$29,2))))),IF(H259&lt;1999,VLOOKUP(K259,[7]Minimas!$G$15:$L$29,6),IF(AND(H259&gt;1998,H259&lt;2002),VLOOKUP(K259,[7]Minimas!$G$15:$L$29,5),IF(AND(H259&gt;2001,H259&lt;2004),VLOOKUP(K259,[7]Minimas!$G$15:$L$29,4),IF(AND(H259&gt;2003,H259&lt;2006),VLOOKUP(K259,[7]Minimas!$G$15:$L$29,3),VLOOKUP(K259,[7]Minimas!$G$15:$L$29,2)))))))</f>
        <v>SE M89</v>
      </c>
      <c r="W259" s="49">
        <f t="shared" si="80"/>
        <v>139.36382336360455</v>
      </c>
      <c r="X259" s="257">
        <v>43540</v>
      </c>
      <c r="Y259" s="261" t="s">
        <v>714</v>
      </c>
      <c r="Z259" s="261" t="s">
        <v>704</v>
      </c>
      <c r="AA259" s="463"/>
      <c r="AB259" s="230">
        <f>T259-HLOOKUP(V259,Minimas!$C$3:$CD$12,2,FALSE)</f>
        <v>-35</v>
      </c>
      <c r="AC259" s="230">
        <f>T259-HLOOKUP(V259,Minimas!$C$3:$CD$12,3,FALSE)</f>
        <v>-60</v>
      </c>
      <c r="AD259" s="230">
        <f>T259-HLOOKUP(V259,Minimas!$C$3:$CD$12,4,FALSE)</f>
        <v>-85</v>
      </c>
      <c r="AE259" s="230">
        <f>T259-HLOOKUP(V259,Minimas!$C$3:$CD$12,5,FALSE)</f>
        <v>-115</v>
      </c>
      <c r="AF259" s="230">
        <f>T259-HLOOKUP(V259,Minimas!$C$3:$CD$12,6,FALSE)</f>
        <v>-145</v>
      </c>
      <c r="AG259" s="230">
        <f>T259-HLOOKUP(V259,Minimas!$C$3:$CD$12,7,FALSE)</f>
        <v>-172</v>
      </c>
      <c r="AH259" s="230">
        <f>T259-HLOOKUP(V259,Minimas!$C$3:$CD$12,8,FALSE)</f>
        <v>-195</v>
      </c>
      <c r="AI259" s="230">
        <f>T259-HLOOKUP(V259,Minimas!$C$3:$CD$12,9,FALSE)</f>
        <v>-215</v>
      </c>
      <c r="AJ259" s="230">
        <f>T259-HLOOKUP(V259,Minimas!$C$3:$CD$12,10,FALSE)</f>
        <v>-245</v>
      </c>
      <c r="AK259" s="231" t="str">
        <f t="shared" si="81"/>
        <v>DEB</v>
      </c>
      <c r="AL259" s="232"/>
      <c r="AM259" s="232" t="str">
        <f t="shared" si="82"/>
        <v>DEB</v>
      </c>
      <c r="AN259" s="232">
        <f t="shared" si="83"/>
        <v>-35</v>
      </c>
      <c r="AO259" s="463"/>
      <c r="AP259" s="34"/>
      <c r="AQ259" s="34"/>
      <c r="AR259" s="34"/>
      <c r="AS259" s="34"/>
      <c r="AT259" s="34"/>
      <c r="AU259" s="34"/>
      <c r="AV259" s="34"/>
      <c r="AW259" s="34"/>
      <c r="AX259" s="34"/>
      <c r="AY259" s="34"/>
      <c r="AZ259" s="34"/>
      <c r="BA259" s="34"/>
      <c r="BB259" s="34"/>
      <c r="BC259" s="34"/>
      <c r="BD259" s="34"/>
      <c r="BE259" s="34"/>
      <c r="BF259" s="34"/>
      <c r="BG259" s="34"/>
      <c r="BH259" s="34"/>
      <c r="BI259" s="34"/>
      <c r="BJ259" s="34"/>
      <c r="BK259" s="34"/>
      <c r="BL259" s="34"/>
      <c r="BM259" s="34"/>
      <c r="BN259" s="34"/>
      <c r="BO259" s="34"/>
      <c r="BP259" s="34"/>
      <c r="BQ259" s="34"/>
      <c r="BR259" s="34"/>
      <c r="BS259" s="34"/>
      <c r="BT259" s="34"/>
      <c r="BU259" s="34"/>
      <c r="BV259" s="34"/>
      <c r="BW259" s="34"/>
      <c r="BX259" s="34"/>
      <c r="BY259" s="34"/>
      <c r="BZ259" s="34"/>
      <c r="CA259" s="34"/>
      <c r="CB259" s="34"/>
      <c r="CC259" s="34"/>
      <c r="CD259" s="34"/>
      <c r="CE259" s="34"/>
      <c r="CF259" s="34"/>
      <c r="CG259" s="34"/>
      <c r="CH259" s="34"/>
      <c r="CI259" s="34"/>
      <c r="CJ259" s="34"/>
      <c r="CK259" s="34"/>
      <c r="CL259" s="34"/>
      <c r="CM259" s="34"/>
      <c r="CN259" s="34"/>
      <c r="CO259" s="34"/>
      <c r="CP259" s="34"/>
      <c r="CQ259" s="34"/>
      <c r="CR259" s="34"/>
      <c r="CS259" s="34"/>
      <c r="CT259" s="34"/>
      <c r="CU259" s="34"/>
      <c r="CV259" s="34"/>
      <c r="CW259" s="34"/>
      <c r="CX259" s="34"/>
      <c r="CY259" s="34"/>
      <c r="CZ259" s="34"/>
      <c r="DA259" s="34"/>
      <c r="DB259" s="34"/>
      <c r="DC259" s="34"/>
      <c r="DD259" s="34"/>
      <c r="DE259" s="34"/>
      <c r="DF259" s="34"/>
      <c r="DG259" s="34"/>
      <c r="DH259" s="34"/>
      <c r="DI259" s="34"/>
      <c r="DJ259" s="34"/>
      <c r="DK259" s="34"/>
      <c r="DL259" s="34"/>
      <c r="DM259" s="34"/>
      <c r="DN259" s="34"/>
      <c r="DO259" s="34"/>
      <c r="DP259" s="34"/>
      <c r="DQ259" s="34"/>
      <c r="DR259" s="34"/>
      <c r="DS259" s="34"/>
      <c r="DT259" s="34"/>
    </row>
    <row r="260" spans="1:124" s="5" customFormat="1" ht="30" customHeight="1" x14ac:dyDescent="0.3">
      <c r="B260" s="515" t="s">
        <v>543</v>
      </c>
      <c r="C260" s="525">
        <v>24685</v>
      </c>
      <c r="D260" s="532"/>
      <c r="E260" s="406" t="s">
        <v>40</v>
      </c>
      <c r="F260" s="414" t="s">
        <v>405</v>
      </c>
      <c r="G260" s="415" t="s">
        <v>378</v>
      </c>
      <c r="H260" s="417">
        <v>1944</v>
      </c>
      <c r="I260" s="425" t="s">
        <v>314</v>
      </c>
      <c r="J260" s="379" t="s">
        <v>41</v>
      </c>
      <c r="K260" s="581">
        <v>88.9</v>
      </c>
      <c r="L260" s="456">
        <v>47</v>
      </c>
      <c r="M260" s="597">
        <v>-51</v>
      </c>
      <c r="N260" s="597">
        <v>-51</v>
      </c>
      <c r="O260" s="52">
        <f t="shared" si="77"/>
        <v>47</v>
      </c>
      <c r="P260" s="452">
        <v>60</v>
      </c>
      <c r="Q260" s="597">
        <v>-65</v>
      </c>
      <c r="R260" s="597">
        <v>-69</v>
      </c>
      <c r="S260" s="52">
        <f t="shared" si="78"/>
        <v>60</v>
      </c>
      <c r="T260" s="51">
        <f t="shared" ref="T260:T265" si="84">IF(E260="","",IF(OR(O260=0,S260=0),0,O260+S260))</f>
        <v>107</v>
      </c>
      <c r="U260" s="48" t="str">
        <f t="shared" si="79"/>
        <v>DEB -43</v>
      </c>
      <c r="V260" s="48" t="str">
        <f>IF(E260=0," ",IF(E260="H",IF(H260&lt;1999,VLOOKUP(K260,Minimas!$A$15:$F$29,6),IF(AND(H260&gt;1998,H260&lt;2002),VLOOKUP(K260,Minimas!$A$15:$F$29,5),IF(AND(H260&gt;2001,H260&lt;2004),VLOOKUP(K260,Minimas!$A$15:$F$29,4),IF(AND(H260&gt;2003,H260&lt;2006),VLOOKUP(K260,Minimas!$A$15:$F$29,3),VLOOKUP(K260,Minimas!$A$15:$F$29,2))))),IF(H260&lt;1999,VLOOKUP(K260,Minimas!$G$15:$L$29,6),IF(AND(H260&gt;1998,H260&lt;2002),VLOOKUP(K260,Minimas!$G$15:$L$29,5),IF(AND(H260&gt;2001,H260&lt;2004),VLOOKUP(K260,Minimas!$G$15:$L$29,4),IF(AND(H260&gt;2003,H260&lt;2006),VLOOKUP(K260,Minimas!$G$15:$L$29,3),VLOOKUP(K260,Minimas!$G$15:$L$29,2)))))))</f>
        <v>SE M89</v>
      </c>
      <c r="W260" s="49">
        <f t="shared" si="80"/>
        <v>124.45066496060505</v>
      </c>
      <c r="X260" s="184">
        <v>43401</v>
      </c>
      <c r="Y260" s="284" t="s">
        <v>507</v>
      </c>
      <c r="Z260" s="284" t="s">
        <v>506</v>
      </c>
      <c r="AA260" s="232"/>
      <c r="AB260" s="230">
        <f>T260-HLOOKUP(V260,Minimas!$C$3:$CD$12,2,FALSE)</f>
        <v>-43</v>
      </c>
      <c r="AC260" s="230">
        <f>T260-HLOOKUP(V260,Minimas!$C$3:$CD$12,3,FALSE)</f>
        <v>-68</v>
      </c>
      <c r="AD260" s="230">
        <f>T260-HLOOKUP(V260,Minimas!$C$3:$CD$12,4,FALSE)</f>
        <v>-93</v>
      </c>
      <c r="AE260" s="230">
        <f>T260-HLOOKUP(V260,Minimas!$C$3:$CD$12,5,FALSE)</f>
        <v>-123</v>
      </c>
      <c r="AF260" s="230">
        <f>T260-HLOOKUP(V260,Minimas!$C$3:$CD$12,6,FALSE)</f>
        <v>-153</v>
      </c>
      <c r="AG260" s="230">
        <f>T260-HLOOKUP(V260,Minimas!$C$3:$CD$12,7,FALSE)</f>
        <v>-180</v>
      </c>
      <c r="AH260" s="230">
        <f>T260-HLOOKUP(V260,Minimas!$C$3:$CD$12,8,FALSE)</f>
        <v>-203</v>
      </c>
      <c r="AI260" s="230">
        <f>T260-HLOOKUP(V260,Minimas!$C$3:$CD$12,9,FALSE)</f>
        <v>-223</v>
      </c>
      <c r="AJ260" s="230">
        <f>T260-HLOOKUP(V260,Minimas!$C$3:$CD$12,10,FALSE)</f>
        <v>-253</v>
      </c>
      <c r="AK260" s="231" t="str">
        <f t="shared" si="81"/>
        <v>DEB</v>
      </c>
      <c r="AL260" s="232"/>
      <c r="AM260" s="232" t="str">
        <f t="shared" si="82"/>
        <v>DEB</v>
      </c>
      <c r="AN260" s="232">
        <f t="shared" si="83"/>
        <v>-43</v>
      </c>
      <c r="AO260" s="232"/>
      <c r="AP260" s="38"/>
      <c r="AQ260" s="38"/>
      <c r="AR260" s="38"/>
      <c r="AS260" s="38"/>
      <c r="AT260" s="38"/>
      <c r="AU260" s="38"/>
      <c r="AV260" s="38"/>
      <c r="AW260" s="38"/>
      <c r="AX260" s="38"/>
      <c r="AY260" s="38"/>
      <c r="AZ260" s="38"/>
      <c r="BA260" s="38"/>
      <c r="BB260" s="38"/>
      <c r="BC260" s="38"/>
      <c r="BD260" s="38"/>
      <c r="BE260" s="38"/>
      <c r="BF260" s="38"/>
      <c r="BG260" s="38"/>
      <c r="BH260" s="38"/>
      <c r="BI260" s="38"/>
      <c r="BJ260" s="38"/>
      <c r="BK260" s="38"/>
      <c r="BL260" s="38"/>
      <c r="BM260" s="38"/>
      <c r="BN260" s="38"/>
      <c r="BO260" s="38"/>
      <c r="BP260" s="38"/>
      <c r="BQ260" s="38"/>
      <c r="BR260" s="38"/>
      <c r="BS260" s="38"/>
      <c r="BT260" s="38"/>
      <c r="BU260" s="38"/>
      <c r="BV260" s="38"/>
      <c r="BW260" s="38"/>
      <c r="BX260" s="38"/>
      <c r="BY260" s="38"/>
      <c r="BZ260" s="38"/>
      <c r="CA260" s="38"/>
      <c r="CB260" s="38"/>
      <c r="CC260" s="38"/>
      <c r="CD260" s="38"/>
      <c r="CE260" s="38"/>
      <c r="CF260" s="38"/>
      <c r="CG260" s="38"/>
      <c r="CH260" s="38"/>
      <c r="CI260" s="38"/>
      <c r="CJ260" s="38"/>
      <c r="CK260" s="38"/>
      <c r="CL260" s="38"/>
      <c r="CM260" s="38"/>
      <c r="CN260" s="38"/>
      <c r="CO260" s="38"/>
      <c r="CP260" s="38"/>
      <c r="CQ260" s="38"/>
      <c r="CR260" s="38"/>
      <c r="CS260" s="38"/>
      <c r="CT260" s="38"/>
      <c r="CU260" s="38"/>
      <c r="CV260" s="38"/>
      <c r="CW260" s="38"/>
      <c r="CX260" s="38"/>
      <c r="CY260" s="38"/>
      <c r="CZ260" s="38"/>
      <c r="DA260" s="38"/>
      <c r="DB260" s="38"/>
      <c r="DC260" s="38"/>
      <c r="DD260" s="38"/>
      <c r="DE260" s="38"/>
      <c r="DF260" s="38"/>
      <c r="DG260" s="38"/>
      <c r="DH260" s="38"/>
      <c r="DI260" s="38"/>
      <c r="DJ260" s="38"/>
      <c r="DK260" s="38"/>
      <c r="DL260" s="38"/>
      <c r="DM260" s="38"/>
      <c r="DN260" s="38"/>
      <c r="DO260" s="38"/>
      <c r="DP260" s="38"/>
      <c r="DQ260" s="38"/>
      <c r="DR260" s="38"/>
      <c r="DS260" s="38"/>
      <c r="DT260" s="38"/>
    </row>
    <row r="261" spans="1:124" s="5" customFormat="1" ht="30" customHeight="1" x14ac:dyDescent="0.3">
      <c r="B261" s="515" t="s">
        <v>543</v>
      </c>
      <c r="C261" s="525">
        <v>407353</v>
      </c>
      <c r="D261" s="532"/>
      <c r="E261" s="406" t="s">
        <v>40</v>
      </c>
      <c r="F261" s="414" t="s">
        <v>406</v>
      </c>
      <c r="G261" s="415" t="s">
        <v>407</v>
      </c>
      <c r="H261" s="417">
        <v>1995</v>
      </c>
      <c r="I261" s="425" t="s">
        <v>376</v>
      </c>
      <c r="J261" s="379" t="s">
        <v>44</v>
      </c>
      <c r="K261" s="581">
        <v>93.19</v>
      </c>
      <c r="L261" s="456">
        <v>115</v>
      </c>
      <c r="M261" s="597">
        <v>-122</v>
      </c>
      <c r="N261" s="457">
        <v>125</v>
      </c>
      <c r="O261" s="52">
        <f t="shared" si="77"/>
        <v>125</v>
      </c>
      <c r="P261" s="452">
        <v>145</v>
      </c>
      <c r="Q261" s="597">
        <v>-151</v>
      </c>
      <c r="R261" s="597">
        <v>-151</v>
      </c>
      <c r="S261" s="52">
        <f t="shared" si="78"/>
        <v>145</v>
      </c>
      <c r="T261" s="51">
        <f t="shared" si="84"/>
        <v>270</v>
      </c>
      <c r="U261" s="48" t="str">
        <f t="shared" si="79"/>
        <v>FED + 5</v>
      </c>
      <c r="V261" s="48" t="str">
        <f>IF(E261=0," ",IF(E261="H",IF(H261&lt;1999,VLOOKUP(K261,Minimas!$A$15:$F$29,6),IF(AND(H261&gt;1998,H261&lt;2002),VLOOKUP(K261,Minimas!$A$15:$F$29,5),IF(AND(H261&gt;2001,H261&lt;2004),VLOOKUP(K261,Minimas!$A$15:$F$29,4),IF(AND(H261&gt;2003,H261&lt;2006),VLOOKUP(K261,Minimas!$A$15:$F$29,3),VLOOKUP(K261,Minimas!$A$15:$F$29,2))))),IF(H261&lt;1999,VLOOKUP(K261,Minimas!$G$15:$L$29,6),IF(AND(H261&gt;1998,H261&lt;2002),VLOOKUP(K261,Minimas!$G$15:$L$29,5),IF(AND(H261&gt;2001,H261&lt;2004),VLOOKUP(K261,Minimas!$G$15:$L$29,4),IF(AND(H261&gt;2003,H261&lt;2006),VLOOKUP(K261,Minimas!$G$15:$L$29,3),VLOOKUP(K261,Minimas!$G$15:$L$29,2)))))))</f>
        <v>SE M96</v>
      </c>
      <c r="W261" s="49">
        <f t="shared" si="80"/>
        <v>307.75114032898529</v>
      </c>
      <c r="X261" s="184">
        <v>43401</v>
      </c>
      <c r="Y261" s="284" t="s">
        <v>507</v>
      </c>
      <c r="Z261" s="284" t="s">
        <v>506</v>
      </c>
      <c r="AA261" s="232"/>
      <c r="AB261" s="230">
        <f>T261-HLOOKUP(V261,Minimas!$C$3:$CD$12,2,FALSE)</f>
        <v>115</v>
      </c>
      <c r="AC261" s="230">
        <f>T261-HLOOKUP(V261,Minimas!$C$3:$CD$12,3,FALSE)</f>
        <v>90</v>
      </c>
      <c r="AD261" s="230">
        <f>T261-HLOOKUP(V261,Minimas!$C$3:$CD$12,4,FALSE)</f>
        <v>65</v>
      </c>
      <c r="AE261" s="230">
        <f>T261-HLOOKUP(V261,Minimas!$C$3:$CD$12,5,FALSE)</f>
        <v>35</v>
      </c>
      <c r="AF261" s="230">
        <f>T261-HLOOKUP(V261,Minimas!$C$3:$CD$12,6,FALSE)</f>
        <v>5</v>
      </c>
      <c r="AG261" s="230">
        <f>T261-HLOOKUP(V261,Minimas!$C$3:$CD$12,7,FALSE)</f>
        <v>-25</v>
      </c>
      <c r="AH261" s="230">
        <f>T261-HLOOKUP(V261,Minimas!$C$3:$CD$12,8,FALSE)</f>
        <v>-50</v>
      </c>
      <c r="AI261" s="230">
        <f>T261-HLOOKUP(V261,Minimas!$C$3:$CD$12,9,FALSE)</f>
        <v>-70</v>
      </c>
      <c r="AJ261" s="230">
        <f>T261-HLOOKUP(V261,Minimas!$C$3:$CD$12,10,FALSE)</f>
        <v>-90</v>
      </c>
      <c r="AK261" s="231" t="str">
        <f t="shared" si="81"/>
        <v>FED +</v>
      </c>
      <c r="AL261" s="232"/>
      <c r="AM261" s="232" t="str">
        <f t="shared" si="82"/>
        <v>FED +</v>
      </c>
      <c r="AN261" s="232">
        <f t="shared" si="83"/>
        <v>5</v>
      </c>
      <c r="AO261" s="232"/>
      <c r="AP261" s="38"/>
      <c r="AQ261" s="38"/>
      <c r="AR261" s="38"/>
      <c r="AS261" s="38"/>
      <c r="AT261" s="38"/>
      <c r="AU261" s="38"/>
      <c r="AV261" s="38"/>
      <c r="AW261" s="38"/>
      <c r="AX261" s="38"/>
      <c r="AY261" s="38"/>
      <c r="AZ261" s="38"/>
      <c r="BA261" s="38"/>
      <c r="BB261" s="38"/>
      <c r="BC261" s="38"/>
      <c r="BD261" s="38"/>
      <c r="BE261" s="38"/>
      <c r="BF261" s="38"/>
      <c r="BG261" s="38"/>
      <c r="BH261" s="38"/>
      <c r="BI261" s="38"/>
      <c r="BJ261" s="38"/>
      <c r="BK261" s="38"/>
      <c r="BL261" s="38"/>
      <c r="BM261" s="38"/>
      <c r="BN261" s="38"/>
      <c r="BO261" s="38"/>
      <c r="BP261" s="38"/>
      <c r="BQ261" s="38"/>
      <c r="BR261" s="38"/>
      <c r="BS261" s="38"/>
      <c r="BT261" s="38"/>
      <c r="BU261" s="38"/>
      <c r="BV261" s="38"/>
      <c r="BW261" s="38"/>
      <c r="BX261" s="38"/>
      <c r="BY261" s="38"/>
      <c r="BZ261" s="38"/>
      <c r="CA261" s="38"/>
      <c r="CB261" s="38"/>
      <c r="CC261" s="38"/>
      <c r="CD261" s="38"/>
      <c r="CE261" s="38"/>
      <c r="CF261" s="38"/>
      <c r="CG261" s="38"/>
      <c r="CH261" s="38"/>
      <c r="CI261" s="38"/>
      <c r="CJ261" s="38"/>
      <c r="CK261" s="38"/>
      <c r="CL261" s="38"/>
      <c r="CM261" s="38"/>
      <c r="CN261" s="38"/>
      <c r="CO261" s="38"/>
      <c r="CP261" s="38"/>
      <c r="CQ261" s="38"/>
      <c r="CR261" s="38"/>
      <c r="CS261" s="38"/>
      <c r="CT261" s="38"/>
      <c r="CU261" s="38"/>
      <c r="CV261" s="38"/>
      <c r="CW261" s="38"/>
      <c r="CX261" s="38"/>
      <c r="CY261" s="38"/>
      <c r="CZ261" s="38"/>
      <c r="DA261" s="38"/>
      <c r="DB261" s="38"/>
      <c r="DC261" s="38"/>
      <c r="DD261" s="38"/>
      <c r="DE261" s="38"/>
      <c r="DF261" s="38"/>
      <c r="DG261" s="38"/>
      <c r="DH261" s="38"/>
      <c r="DI261" s="38"/>
      <c r="DJ261" s="38"/>
      <c r="DK261" s="38"/>
      <c r="DL261" s="38"/>
      <c r="DM261" s="38"/>
      <c r="DN261" s="38"/>
      <c r="DO261" s="38"/>
      <c r="DP261" s="38"/>
      <c r="DQ261" s="38"/>
      <c r="DR261" s="38"/>
      <c r="DS261" s="38"/>
      <c r="DT261" s="38"/>
    </row>
    <row r="262" spans="1:124" s="5" customFormat="1" ht="30" customHeight="1" x14ac:dyDescent="0.25">
      <c r="B262" s="515" t="s">
        <v>543</v>
      </c>
      <c r="C262" s="499">
        <v>429849</v>
      </c>
      <c r="D262" s="313"/>
      <c r="E262" s="315" t="s">
        <v>40</v>
      </c>
      <c r="F262" s="328" t="s">
        <v>435</v>
      </c>
      <c r="G262" s="487" t="s">
        <v>657</v>
      </c>
      <c r="H262" s="329">
        <v>1992</v>
      </c>
      <c r="I262" s="528" t="s">
        <v>214</v>
      </c>
      <c r="J262" s="331" t="s">
        <v>44</v>
      </c>
      <c r="K262" s="297">
        <v>93.6</v>
      </c>
      <c r="L262" s="300">
        <v>103</v>
      </c>
      <c r="M262" s="301">
        <v>108</v>
      </c>
      <c r="N262" s="301">
        <v>111</v>
      </c>
      <c r="O262" s="490">
        <f t="shared" si="77"/>
        <v>111</v>
      </c>
      <c r="P262" s="300">
        <v>132</v>
      </c>
      <c r="Q262" s="301">
        <v>137</v>
      </c>
      <c r="R262" s="301">
        <v>142</v>
      </c>
      <c r="S262" s="52">
        <f t="shared" si="78"/>
        <v>142</v>
      </c>
      <c r="T262" s="51">
        <f t="shared" si="84"/>
        <v>253</v>
      </c>
      <c r="U262" s="48" t="str">
        <f t="shared" si="79"/>
        <v>IRG + 18</v>
      </c>
      <c r="V262" s="48" t="str">
        <f>IF(E262=0," ",IF(E262="H",IF(H262&lt;1999,VLOOKUP(K262,Minimas!$A$15:$F$29,6),IF(AND(H262&gt;1998,H262&lt;2002),VLOOKUP(K262,Minimas!$A$15:$F$29,5),IF(AND(H262&gt;2001,H262&lt;2004),VLOOKUP(K262,Minimas!$A$15:$F$29,4),IF(AND(H262&gt;2003,H262&lt;2006),VLOOKUP(K262,Minimas!$A$15:$F$29,3),VLOOKUP(K262,Minimas!$A$15:$F$29,2))))),IF(H262&lt;1999,VLOOKUP(K262,Minimas!$G$15:$L$29,6),IF(AND(H262&gt;1998,H262&lt;2002),VLOOKUP(K262,Minimas!$G$15:$L$29,5),IF(AND(H262&gt;2001,H262&lt;2004),VLOOKUP(K262,Minimas!$G$15:$L$29,4),IF(AND(H262&gt;2003,H262&lt;2006),VLOOKUP(K262,Minimas!$G$15:$L$29,3),VLOOKUP(K262,Minimas!$G$15:$L$29,2)))))))</f>
        <v>SE M96</v>
      </c>
      <c r="W262" s="49">
        <f t="shared" si="80"/>
        <v>287.85308123004103</v>
      </c>
      <c r="X262" s="257">
        <v>43498</v>
      </c>
      <c r="Y262" s="261" t="s">
        <v>655</v>
      </c>
      <c r="Z262" s="261" t="s">
        <v>511</v>
      </c>
      <c r="AA262" s="232"/>
      <c r="AB262" s="230">
        <f>T262-HLOOKUP(V262,Minimas!$C$3:$CD$12,2,FALSE)</f>
        <v>98</v>
      </c>
      <c r="AC262" s="230">
        <f>T262-HLOOKUP(V262,Minimas!$C$3:$CD$12,3,FALSE)</f>
        <v>73</v>
      </c>
      <c r="AD262" s="230">
        <f>T262-HLOOKUP(V262,Minimas!$C$3:$CD$12,4,FALSE)</f>
        <v>48</v>
      </c>
      <c r="AE262" s="230">
        <f>T262-HLOOKUP(V262,Minimas!$C$3:$CD$12,5,FALSE)</f>
        <v>18</v>
      </c>
      <c r="AF262" s="230">
        <f>T262-HLOOKUP(V262,Minimas!$C$3:$CD$12,6,FALSE)</f>
        <v>-12</v>
      </c>
      <c r="AG262" s="230">
        <f>T262-HLOOKUP(V262,Minimas!$C$3:$CD$12,7,FALSE)</f>
        <v>-42</v>
      </c>
      <c r="AH262" s="230">
        <f>T262-HLOOKUP(V262,Minimas!$C$3:$CD$12,8,FALSE)</f>
        <v>-67</v>
      </c>
      <c r="AI262" s="230">
        <f>T262-HLOOKUP(V262,Minimas!$C$3:$CD$12,9,FALSE)</f>
        <v>-87</v>
      </c>
      <c r="AJ262" s="230">
        <f>T262-HLOOKUP(V262,Minimas!$C$3:$CD$12,10,FALSE)</f>
        <v>-107</v>
      </c>
      <c r="AK262" s="231" t="str">
        <f t="shared" si="81"/>
        <v>IRG +</v>
      </c>
      <c r="AL262" s="232"/>
      <c r="AM262" s="232" t="str">
        <f t="shared" si="82"/>
        <v>IRG +</v>
      </c>
      <c r="AN262" s="232">
        <f t="shared" si="83"/>
        <v>18</v>
      </c>
      <c r="AO262" s="232"/>
      <c r="AP262" s="38"/>
      <c r="AQ262" s="38"/>
      <c r="AR262" s="38"/>
      <c r="AS262" s="38"/>
      <c r="AT262" s="38"/>
      <c r="AU262" s="38"/>
      <c r="AV262" s="38"/>
      <c r="AW262" s="38"/>
      <c r="AX262" s="38"/>
      <c r="AY262" s="38"/>
      <c r="AZ262" s="38"/>
      <c r="BA262" s="38"/>
      <c r="BB262" s="38"/>
      <c r="BC262" s="38"/>
      <c r="BD262" s="38"/>
      <c r="BE262" s="38"/>
      <c r="BF262" s="38"/>
      <c r="BG262" s="38"/>
      <c r="BH262" s="38"/>
      <c r="BI262" s="38"/>
      <c r="BJ262" s="38"/>
      <c r="BK262" s="38"/>
      <c r="BL262" s="38"/>
      <c r="BM262" s="38"/>
      <c r="BN262" s="38"/>
      <c r="BO262" s="38"/>
      <c r="BP262" s="38"/>
      <c r="BQ262" s="38"/>
      <c r="BR262" s="38"/>
      <c r="BS262" s="38"/>
      <c r="BT262" s="38"/>
      <c r="BU262" s="38"/>
      <c r="BV262" s="38"/>
      <c r="BW262" s="38"/>
      <c r="BX262" s="38"/>
      <c r="BY262" s="38"/>
      <c r="BZ262" s="38"/>
      <c r="CA262" s="38"/>
      <c r="CB262" s="38"/>
      <c r="CC262" s="38"/>
      <c r="CD262" s="38"/>
      <c r="CE262" s="38"/>
      <c r="CF262" s="38"/>
      <c r="CG262" s="38"/>
      <c r="CH262" s="38"/>
      <c r="CI262" s="38"/>
      <c r="CJ262" s="38"/>
      <c r="CK262" s="38"/>
      <c r="CL262" s="38"/>
      <c r="CM262" s="38"/>
      <c r="CN262" s="38"/>
      <c r="CO262" s="38"/>
      <c r="CP262" s="38"/>
      <c r="CQ262" s="38"/>
      <c r="CR262" s="38"/>
      <c r="CS262" s="38"/>
      <c r="CT262" s="38"/>
      <c r="CU262" s="38"/>
      <c r="CV262" s="38"/>
      <c r="CW262" s="38"/>
      <c r="CX262" s="38"/>
      <c r="CY262" s="38"/>
      <c r="CZ262" s="38"/>
      <c r="DA262" s="38"/>
      <c r="DB262" s="38"/>
      <c r="DC262" s="38"/>
      <c r="DD262" s="38"/>
      <c r="DE262" s="38"/>
      <c r="DF262" s="38"/>
      <c r="DG262" s="38"/>
      <c r="DH262" s="38"/>
      <c r="DI262" s="38"/>
      <c r="DJ262" s="38"/>
      <c r="DK262" s="38"/>
      <c r="DL262" s="38"/>
      <c r="DM262" s="38"/>
      <c r="DN262" s="38"/>
      <c r="DO262" s="38"/>
      <c r="DP262" s="38"/>
      <c r="DQ262" s="38"/>
      <c r="DR262" s="38"/>
      <c r="DS262" s="38"/>
      <c r="DT262" s="38"/>
    </row>
    <row r="263" spans="1:124" s="5" customFormat="1" ht="30" customHeight="1" x14ac:dyDescent="0.3">
      <c r="B263" s="515" t="s">
        <v>543</v>
      </c>
      <c r="C263" s="701">
        <v>121326</v>
      </c>
      <c r="D263" s="714"/>
      <c r="E263" s="406" t="s">
        <v>40</v>
      </c>
      <c r="F263" s="407" t="s">
        <v>490</v>
      </c>
      <c r="G263" s="408" t="s">
        <v>491</v>
      </c>
      <c r="H263" s="409">
        <v>1987</v>
      </c>
      <c r="I263" s="410" t="s">
        <v>477</v>
      </c>
      <c r="J263" s="379" t="s">
        <v>44</v>
      </c>
      <c r="K263" s="774">
        <v>92.7</v>
      </c>
      <c r="L263" s="452">
        <v>95</v>
      </c>
      <c r="M263" s="453">
        <v>100</v>
      </c>
      <c r="N263" s="453">
        <v>105</v>
      </c>
      <c r="O263" s="52">
        <f t="shared" si="77"/>
        <v>105</v>
      </c>
      <c r="P263" s="452">
        <v>120</v>
      </c>
      <c r="Q263" s="453">
        <v>130</v>
      </c>
      <c r="R263" s="453">
        <v>135</v>
      </c>
      <c r="S263" s="52">
        <f t="shared" si="78"/>
        <v>135</v>
      </c>
      <c r="T263" s="51">
        <f t="shared" si="84"/>
        <v>240</v>
      </c>
      <c r="U263" s="48" t="str">
        <f t="shared" si="79"/>
        <v>IRG + 5</v>
      </c>
      <c r="V263" s="48" t="str">
        <f>IF(E263=0," ",IF(E263="H",IF(H263&lt;1999,VLOOKUP(K263,Minimas!$A$15:$F$29,6),IF(AND(H263&gt;1998,H263&lt;2002),VLOOKUP(K263,Minimas!$A$15:$F$29,5),IF(AND(H263&gt;2001,H263&lt;2004),VLOOKUP(K263,Minimas!$A$15:$F$29,4),IF(AND(H263&gt;2003,H263&lt;2006),VLOOKUP(K263,Minimas!$A$15:$F$29,3),VLOOKUP(K263,Minimas!$A$15:$F$29,2))))),IF(H263&lt;1999,VLOOKUP(K263,Minimas!$G$15:$L$29,6),IF(AND(H263&gt;1998,H263&lt;2002),VLOOKUP(K263,Minimas!$G$15:$L$29,5),IF(AND(H263&gt;2001,H263&lt;2004),VLOOKUP(K263,Minimas!$G$15:$L$29,4),IF(AND(H263&gt;2003,H263&lt;2006),VLOOKUP(K263,Minimas!$G$15:$L$29,3),VLOOKUP(K263,Minimas!$G$15:$L$29,2)))))))</f>
        <v>SE M96</v>
      </c>
      <c r="W263" s="49">
        <f t="shared" si="80"/>
        <v>274.15599115068591</v>
      </c>
      <c r="X263" s="184">
        <v>43435</v>
      </c>
      <c r="Y263" s="284" t="s">
        <v>509</v>
      </c>
      <c r="Z263" s="284" t="s">
        <v>511</v>
      </c>
      <c r="AA263" s="232"/>
      <c r="AB263" s="230">
        <f>T263-HLOOKUP(V263,Minimas!$C$3:$CD$12,2,FALSE)</f>
        <v>85</v>
      </c>
      <c r="AC263" s="230">
        <f>T263-HLOOKUP(V263,Minimas!$C$3:$CD$12,3,FALSE)</f>
        <v>60</v>
      </c>
      <c r="AD263" s="230">
        <f>T263-HLOOKUP(V263,Minimas!$C$3:$CD$12,4,FALSE)</f>
        <v>35</v>
      </c>
      <c r="AE263" s="230">
        <f>T263-HLOOKUP(V263,Minimas!$C$3:$CD$12,5,FALSE)</f>
        <v>5</v>
      </c>
      <c r="AF263" s="230">
        <f>T263-HLOOKUP(V263,Minimas!$C$3:$CD$12,6,FALSE)</f>
        <v>-25</v>
      </c>
      <c r="AG263" s="230">
        <f>T263-HLOOKUP(V263,Minimas!$C$3:$CD$12,7,FALSE)</f>
        <v>-55</v>
      </c>
      <c r="AH263" s="230">
        <f>T263-HLOOKUP(V263,Minimas!$C$3:$CD$12,8,FALSE)</f>
        <v>-80</v>
      </c>
      <c r="AI263" s="230">
        <f>T263-HLOOKUP(V263,Minimas!$C$3:$CD$12,9,FALSE)</f>
        <v>-100</v>
      </c>
      <c r="AJ263" s="230">
        <f>T263-HLOOKUP(V263,Minimas!$C$3:$CD$12,10,FALSE)</f>
        <v>-120</v>
      </c>
      <c r="AK263" s="231" t="str">
        <f t="shared" si="81"/>
        <v>IRG +</v>
      </c>
      <c r="AL263" s="232"/>
      <c r="AM263" s="232" t="str">
        <f t="shared" si="82"/>
        <v>IRG +</v>
      </c>
      <c r="AN263" s="232">
        <f t="shared" si="83"/>
        <v>5</v>
      </c>
      <c r="AO263" s="232"/>
      <c r="AP263" s="38"/>
      <c r="AQ263" s="38"/>
      <c r="AR263" s="38"/>
      <c r="AS263" s="38"/>
      <c r="AT263" s="38"/>
      <c r="AU263" s="38"/>
      <c r="AV263" s="38"/>
      <c r="AW263" s="38"/>
      <c r="AX263" s="38"/>
      <c r="AY263" s="38"/>
      <c r="AZ263" s="38"/>
      <c r="BA263" s="38"/>
      <c r="BB263" s="38"/>
      <c r="BC263" s="38"/>
      <c r="BD263" s="38"/>
      <c r="BE263" s="38"/>
      <c r="BF263" s="38"/>
      <c r="BG263" s="38"/>
      <c r="BH263" s="38"/>
      <c r="BI263" s="38"/>
      <c r="BJ263" s="38"/>
      <c r="BK263" s="38"/>
      <c r="BL263" s="38"/>
      <c r="BM263" s="38"/>
      <c r="BN263" s="38"/>
      <c r="BO263" s="38"/>
      <c r="BP263" s="38"/>
      <c r="BQ263" s="38"/>
      <c r="BR263" s="38"/>
      <c r="BS263" s="38"/>
      <c r="BT263" s="38"/>
      <c r="BU263" s="38"/>
      <c r="BV263" s="38"/>
      <c r="BW263" s="38"/>
      <c r="BX263" s="38"/>
      <c r="BY263" s="38"/>
      <c r="BZ263" s="38"/>
      <c r="CA263" s="38"/>
      <c r="CB263" s="38"/>
      <c r="CC263" s="38"/>
      <c r="CD263" s="38"/>
      <c r="CE263" s="38"/>
      <c r="CF263" s="38"/>
      <c r="CG263" s="38"/>
      <c r="CH263" s="38"/>
      <c r="CI263" s="38"/>
      <c r="CJ263" s="38"/>
      <c r="CK263" s="38"/>
      <c r="CL263" s="38"/>
      <c r="CM263" s="38"/>
      <c r="CN263" s="38"/>
      <c r="CO263" s="38"/>
      <c r="CP263" s="38"/>
      <c r="CQ263" s="38"/>
      <c r="CR263" s="38"/>
      <c r="CS263" s="38"/>
      <c r="CT263" s="38"/>
      <c r="CU263" s="38"/>
      <c r="CV263" s="38"/>
      <c r="CW263" s="38"/>
      <c r="CX263" s="38"/>
      <c r="CY263" s="38"/>
      <c r="CZ263" s="38"/>
      <c r="DA263" s="38"/>
      <c r="DB263" s="38"/>
      <c r="DC263" s="38"/>
      <c r="DD263" s="38"/>
      <c r="DE263" s="38"/>
      <c r="DF263" s="38"/>
      <c r="DG263" s="38"/>
      <c r="DH263" s="38"/>
      <c r="DI263" s="38"/>
      <c r="DJ263" s="38"/>
      <c r="DK263" s="38"/>
      <c r="DL263" s="38"/>
      <c r="DM263" s="38"/>
      <c r="DN263" s="38"/>
      <c r="DO263" s="38"/>
      <c r="DP263" s="38"/>
      <c r="DQ263" s="38"/>
      <c r="DR263" s="38"/>
      <c r="DS263" s="38"/>
      <c r="DT263" s="38"/>
    </row>
    <row r="264" spans="1:124" s="5" customFormat="1" ht="30" customHeight="1" x14ac:dyDescent="0.25">
      <c r="B264" s="515" t="s">
        <v>543</v>
      </c>
      <c r="C264" s="499">
        <v>376192</v>
      </c>
      <c r="D264" s="496"/>
      <c r="E264" s="315" t="s">
        <v>40</v>
      </c>
      <c r="F264" s="328" t="s">
        <v>408</v>
      </c>
      <c r="G264" s="487" t="s">
        <v>409</v>
      </c>
      <c r="H264" s="329">
        <v>1983</v>
      </c>
      <c r="I264" s="330" t="s">
        <v>638</v>
      </c>
      <c r="J264" s="331" t="s">
        <v>44</v>
      </c>
      <c r="K264" s="297">
        <v>93</v>
      </c>
      <c r="L264" s="300">
        <v>100</v>
      </c>
      <c r="M264" s="301">
        <v>107</v>
      </c>
      <c r="N264" s="449">
        <v>-112</v>
      </c>
      <c r="O264" s="52">
        <f t="shared" si="77"/>
        <v>107</v>
      </c>
      <c r="P264" s="300">
        <v>130</v>
      </c>
      <c r="Q264" s="449">
        <v>-136</v>
      </c>
      <c r="R264" s="449">
        <v>-140</v>
      </c>
      <c r="S264" s="52">
        <f t="shared" si="78"/>
        <v>130</v>
      </c>
      <c r="T264" s="51">
        <f t="shared" si="84"/>
        <v>237</v>
      </c>
      <c r="U264" s="48" t="str">
        <f t="shared" si="79"/>
        <v>IRG + 2</v>
      </c>
      <c r="V264" s="48" t="str">
        <f>IF(E264=0," ",IF(E264="H",IF(H264&lt;1999,VLOOKUP(K264,Minimas!$A$15:$F$29,6),IF(AND(H264&gt;1998,H264&lt;2002),VLOOKUP(K264,Minimas!$A$15:$F$29,5),IF(AND(H264&gt;2001,H264&lt;2004),VLOOKUP(K264,Minimas!$A$15:$F$29,4),IF(AND(H264&gt;2003,H264&lt;2006),VLOOKUP(K264,Minimas!$A$15:$F$29,3),VLOOKUP(K264,Minimas!$A$15:$F$29,2))))),IF(H264&lt;1999,VLOOKUP(K264,Minimas!$G$15:$L$29,6),IF(AND(H264&gt;1998,H264&lt;2002),VLOOKUP(K264,Minimas!$G$15:$L$29,5),IF(AND(H264&gt;2001,H264&lt;2004),VLOOKUP(K264,Minimas!$G$15:$L$29,4),IF(AND(H264&gt;2003,H264&lt;2006),VLOOKUP(K264,Minimas!$G$15:$L$29,3),VLOOKUP(K264,Minimas!$G$15:$L$29,2)))))))</f>
        <v>SE M96</v>
      </c>
      <c r="W264" s="49">
        <f t="shared" si="80"/>
        <v>270.36552944850433</v>
      </c>
      <c r="X264" s="257">
        <v>43485</v>
      </c>
      <c r="Y264" s="261" t="s">
        <v>640</v>
      </c>
      <c r="Z264" s="261" t="s">
        <v>514</v>
      </c>
      <c r="AA264" s="232"/>
      <c r="AB264" s="230">
        <f>T264-HLOOKUP(V264,Minimas!$C$3:$CD$12,2,FALSE)</f>
        <v>82</v>
      </c>
      <c r="AC264" s="230">
        <f>T264-HLOOKUP(V264,Minimas!$C$3:$CD$12,3,FALSE)</f>
        <v>57</v>
      </c>
      <c r="AD264" s="230">
        <f>T264-HLOOKUP(V264,Minimas!$C$3:$CD$12,4,FALSE)</f>
        <v>32</v>
      </c>
      <c r="AE264" s="230">
        <f>T264-HLOOKUP(V264,Minimas!$C$3:$CD$12,5,FALSE)</f>
        <v>2</v>
      </c>
      <c r="AF264" s="230">
        <f>T264-HLOOKUP(V264,Minimas!$C$3:$CD$12,6,FALSE)</f>
        <v>-28</v>
      </c>
      <c r="AG264" s="230">
        <f>T264-HLOOKUP(V264,Minimas!$C$3:$CD$12,7,FALSE)</f>
        <v>-58</v>
      </c>
      <c r="AH264" s="230">
        <f>T264-HLOOKUP(V264,Minimas!$C$3:$CD$12,8,FALSE)</f>
        <v>-83</v>
      </c>
      <c r="AI264" s="230">
        <f>T264-HLOOKUP(V264,Minimas!$C$3:$CD$12,9,FALSE)</f>
        <v>-103</v>
      </c>
      <c r="AJ264" s="230">
        <f>T264-HLOOKUP(V264,Minimas!$C$3:$CD$12,10,FALSE)</f>
        <v>-123</v>
      </c>
      <c r="AK264" s="231" t="str">
        <f t="shared" si="81"/>
        <v>IRG +</v>
      </c>
      <c r="AL264" s="232"/>
      <c r="AM264" s="232" t="str">
        <f t="shared" si="82"/>
        <v>IRG +</v>
      </c>
      <c r="AN264" s="232">
        <f t="shared" si="83"/>
        <v>2</v>
      </c>
      <c r="AO264" s="232"/>
      <c r="AP264" s="38"/>
      <c r="AQ264" s="38"/>
      <c r="AR264" s="38"/>
      <c r="AS264" s="38"/>
      <c r="AT264" s="38"/>
      <c r="AU264" s="38"/>
      <c r="AV264" s="38"/>
      <c r="AW264" s="38"/>
      <c r="AX264" s="38"/>
      <c r="AY264" s="38"/>
      <c r="AZ264" s="38"/>
      <c r="BA264" s="38"/>
      <c r="BB264" s="38"/>
      <c r="BC264" s="38"/>
      <c r="BD264" s="38"/>
      <c r="BE264" s="38"/>
      <c r="BF264" s="38"/>
      <c r="BG264" s="38"/>
      <c r="BH264" s="38"/>
      <c r="BI264" s="38"/>
      <c r="BJ264" s="38"/>
      <c r="BK264" s="38"/>
      <c r="BL264" s="38"/>
      <c r="BM264" s="38"/>
      <c r="BN264" s="38"/>
      <c r="BO264" s="38"/>
      <c r="BP264" s="38"/>
      <c r="BQ264" s="38"/>
      <c r="BR264" s="38"/>
      <c r="BS264" s="38"/>
      <c r="BT264" s="38"/>
      <c r="BU264" s="38"/>
      <c r="BV264" s="38"/>
      <c r="BW264" s="38"/>
      <c r="BX264" s="38"/>
      <c r="BY264" s="38"/>
      <c r="BZ264" s="38"/>
      <c r="CA264" s="38"/>
      <c r="CB264" s="38"/>
      <c r="CC264" s="38"/>
      <c r="CD264" s="38"/>
      <c r="CE264" s="38"/>
      <c r="CF264" s="38"/>
      <c r="CG264" s="38"/>
      <c r="CH264" s="38"/>
      <c r="CI264" s="38"/>
      <c r="CJ264" s="38"/>
      <c r="CK264" s="38"/>
      <c r="CL264" s="38"/>
      <c r="CM264" s="38"/>
      <c r="CN264" s="38"/>
      <c r="CO264" s="38"/>
      <c r="CP264" s="38"/>
      <c r="CQ264" s="38"/>
      <c r="CR264" s="38"/>
      <c r="CS264" s="38"/>
      <c r="CT264" s="38"/>
      <c r="CU264" s="38"/>
      <c r="CV264" s="38"/>
      <c r="CW264" s="38"/>
      <c r="CX264" s="38"/>
      <c r="CY264" s="38"/>
      <c r="CZ264" s="38"/>
      <c r="DA264" s="38"/>
      <c r="DB264" s="38"/>
      <c r="DC264" s="38"/>
      <c r="DD264" s="38"/>
      <c r="DE264" s="38"/>
      <c r="DF264" s="38"/>
      <c r="DG264" s="38"/>
      <c r="DH264" s="38"/>
      <c r="DI264" s="38"/>
      <c r="DJ264" s="38"/>
      <c r="DK264" s="38"/>
      <c r="DL264" s="38"/>
      <c r="DM264" s="38"/>
      <c r="DN264" s="38"/>
      <c r="DO264" s="38"/>
      <c r="DP264" s="38"/>
      <c r="DQ264" s="38"/>
      <c r="DR264" s="38"/>
      <c r="DS264" s="38"/>
      <c r="DT264" s="38"/>
    </row>
    <row r="265" spans="1:124" s="5" customFormat="1" ht="30" customHeight="1" x14ac:dyDescent="0.25">
      <c r="B265" s="355" t="s">
        <v>543</v>
      </c>
      <c r="C265" s="429">
        <v>231131</v>
      </c>
      <c r="D265" s="430"/>
      <c r="E265" s="323" t="s">
        <v>40</v>
      </c>
      <c r="F265" s="439" t="s">
        <v>410</v>
      </c>
      <c r="G265" s="440" t="s">
        <v>409</v>
      </c>
      <c r="H265" s="305">
        <v>1989</v>
      </c>
      <c r="I265" s="321" t="s">
        <v>339</v>
      </c>
      <c r="J265" s="493" t="s">
        <v>44</v>
      </c>
      <c r="K265" s="488">
        <v>94.6</v>
      </c>
      <c r="L265" s="300">
        <v>103</v>
      </c>
      <c r="M265" s="301">
        <v>107</v>
      </c>
      <c r="N265" s="301">
        <v>-110</v>
      </c>
      <c r="O265" s="358">
        <f t="shared" si="77"/>
        <v>107</v>
      </c>
      <c r="P265" s="300">
        <v>-118</v>
      </c>
      <c r="Q265" s="301">
        <v>-118</v>
      </c>
      <c r="R265" s="301">
        <v>118</v>
      </c>
      <c r="S265" s="358">
        <f t="shared" si="78"/>
        <v>118</v>
      </c>
      <c r="T265" s="359">
        <f t="shared" si="84"/>
        <v>225</v>
      </c>
      <c r="U265" s="360" t="str">
        <f t="shared" si="79"/>
        <v>REG + 20</v>
      </c>
      <c r="V265" s="360" t="str">
        <f>IF(E265=0," ",IF(E265="H",IF(H265&lt;1999,VLOOKUP(K265,[3]Minimas!$A$15:$F$29,6),IF(AND(H265&gt;1998,H265&lt;2002),VLOOKUP(K265,[3]Minimas!$A$15:$F$29,5),IF(AND(H265&gt;2001,H265&lt;2004),VLOOKUP(K265,[3]Minimas!$A$15:$F$29,4),IF(AND(H265&gt;2003,H265&lt;2006),VLOOKUP(K265,[3]Minimas!$A$15:$F$29,3),VLOOKUP(K265,[3]Minimas!$A$15:$F$29,2))))),IF(H265&lt;1999,VLOOKUP(K265,[3]Minimas!$G$15:$L$29,6),IF(AND(H265&gt;1998,H265&lt;2002),VLOOKUP(K265,[3]Minimas!$G$15:$L$29,5),IF(AND(H265&gt;2001,H265&lt;2004),VLOOKUP(K265,[3]Minimas!$G$15:$L$29,4),IF(AND(H265&gt;2003,H265&lt;2006),VLOOKUP(K265,[3]Minimas!$G$15:$L$29,3),VLOOKUP(K265,[3]Minimas!$G$15:$L$29,2)))))))</f>
        <v>SE M96</v>
      </c>
      <c r="W265" s="361">
        <f t="shared" si="80"/>
        <v>254.89064055269125</v>
      </c>
      <c r="X265" s="257">
        <v>43589</v>
      </c>
      <c r="Y265" s="261" t="s">
        <v>856</v>
      </c>
      <c r="Z265" s="261" t="s">
        <v>511</v>
      </c>
      <c r="AA265" s="232"/>
      <c r="AB265" s="230">
        <f>T265-HLOOKUP(V265,[3]Minimas!$C$3:$CD$12,2,FALSE)</f>
        <v>70</v>
      </c>
      <c r="AC265" s="230">
        <f>T265-HLOOKUP(V265,[3]Minimas!$C$3:$CD$12,3,FALSE)</f>
        <v>45</v>
      </c>
      <c r="AD265" s="230">
        <f>T265-HLOOKUP(V265,[3]Minimas!$C$3:$CD$12,4,FALSE)</f>
        <v>20</v>
      </c>
      <c r="AE265" s="230">
        <f>T265-HLOOKUP(V265,[3]Minimas!$C$3:$CD$12,5,FALSE)</f>
        <v>-10</v>
      </c>
      <c r="AF265" s="230">
        <f>T265-HLOOKUP(V265,[3]Minimas!$C$3:$CD$12,6,FALSE)</f>
        <v>-40</v>
      </c>
      <c r="AG265" s="230">
        <f>T265-HLOOKUP(V265,[3]Minimas!$C$3:$CD$12,7,FALSE)</f>
        <v>-70</v>
      </c>
      <c r="AH265" s="230">
        <f>T265-HLOOKUP(V265,[3]Minimas!$C$3:$CD$12,8,FALSE)</f>
        <v>-95</v>
      </c>
      <c r="AI265" s="230">
        <f>T265-HLOOKUP(V265,[3]Minimas!$C$3:$CD$12,9,FALSE)</f>
        <v>-115</v>
      </c>
      <c r="AJ265" s="230">
        <f>T265-HLOOKUP(V265,[3]Minimas!$C$3:$CD$12,10,FALSE)</f>
        <v>-135</v>
      </c>
      <c r="AK265" s="231" t="str">
        <f t="shared" si="81"/>
        <v>REG +</v>
      </c>
      <c r="AL265" s="232"/>
      <c r="AM265" s="232" t="str">
        <f t="shared" si="82"/>
        <v>REG +</v>
      </c>
      <c r="AN265" s="232">
        <f t="shared" si="83"/>
        <v>20</v>
      </c>
      <c r="AO265" s="232"/>
      <c r="AP265" s="38"/>
      <c r="AQ265" s="38"/>
      <c r="AR265" s="38"/>
      <c r="AS265" s="38"/>
      <c r="AT265" s="38"/>
      <c r="AU265" s="38"/>
      <c r="AV265" s="38"/>
      <c r="AW265" s="38"/>
      <c r="AX265" s="38"/>
      <c r="AY265" s="38"/>
      <c r="AZ265" s="38"/>
      <c r="BA265" s="38"/>
      <c r="BB265" s="38"/>
      <c r="BC265" s="38"/>
      <c r="BD265" s="38"/>
      <c r="BE265" s="38"/>
      <c r="BF265" s="38"/>
      <c r="BG265" s="38"/>
      <c r="BH265" s="38"/>
      <c r="BI265" s="38"/>
      <c r="BJ265" s="38"/>
      <c r="BK265" s="38"/>
      <c r="BL265" s="38"/>
      <c r="BM265" s="38"/>
      <c r="BN265" s="38"/>
      <c r="BO265" s="38"/>
      <c r="BP265" s="38"/>
      <c r="BQ265" s="38"/>
      <c r="BR265" s="38"/>
      <c r="BS265" s="38"/>
      <c r="BT265" s="38"/>
      <c r="BU265" s="38"/>
      <c r="BV265" s="38"/>
      <c r="BW265" s="38"/>
      <c r="BX265" s="38"/>
      <c r="BY265" s="38"/>
      <c r="BZ265" s="38"/>
      <c r="CA265" s="38"/>
      <c r="CB265" s="38"/>
      <c r="CC265" s="38"/>
      <c r="CD265" s="38"/>
      <c r="CE265" s="38"/>
      <c r="CF265" s="38"/>
      <c r="CG265" s="38"/>
      <c r="CH265" s="38"/>
      <c r="CI265" s="38"/>
      <c r="CJ265" s="38"/>
      <c r="CK265" s="38"/>
      <c r="CL265" s="38"/>
      <c r="CM265" s="38"/>
      <c r="CN265" s="38"/>
      <c r="CO265" s="38"/>
      <c r="CP265" s="38"/>
      <c r="CQ265" s="38"/>
      <c r="CR265" s="38"/>
      <c r="CS265" s="38"/>
      <c r="CT265" s="38"/>
      <c r="CU265" s="38"/>
      <c r="CV265" s="38"/>
      <c r="CW265" s="38"/>
      <c r="CX265" s="38"/>
      <c r="CY265" s="38"/>
      <c r="CZ265" s="38"/>
      <c r="DA265" s="38"/>
      <c r="DB265" s="38"/>
      <c r="DC265" s="38"/>
      <c r="DD265" s="38"/>
      <c r="DE265" s="38"/>
      <c r="DF265" s="38"/>
      <c r="DG265" s="38"/>
      <c r="DH265" s="38"/>
      <c r="DI265" s="38"/>
      <c r="DJ265" s="38"/>
      <c r="DK265" s="38"/>
      <c r="DL265" s="38"/>
      <c r="DM265" s="38"/>
      <c r="DN265" s="38"/>
      <c r="DO265" s="38"/>
      <c r="DP265" s="38"/>
      <c r="DQ265" s="38"/>
      <c r="DR265" s="38"/>
      <c r="DS265" s="38"/>
      <c r="DT265" s="38"/>
    </row>
    <row r="266" spans="1:124" s="5" customFormat="1" ht="30" customHeight="1" thickBot="1" x14ac:dyDescent="0.3">
      <c r="A266" s="1"/>
      <c r="B266" s="515" t="s">
        <v>543</v>
      </c>
      <c r="C266" s="356">
        <v>407302</v>
      </c>
      <c r="D266" s="496"/>
      <c r="E266" s="323" t="s">
        <v>40</v>
      </c>
      <c r="F266" s="486" t="s">
        <v>230</v>
      </c>
      <c r="G266" s="487" t="s">
        <v>551</v>
      </c>
      <c r="H266" s="492">
        <v>1979</v>
      </c>
      <c r="I266" s="528" t="s">
        <v>214</v>
      </c>
      <c r="J266" s="493" t="s">
        <v>44</v>
      </c>
      <c r="K266" s="488">
        <v>90</v>
      </c>
      <c r="L266" s="300">
        <v>90</v>
      </c>
      <c r="M266" s="301">
        <v>95</v>
      </c>
      <c r="N266" s="301">
        <v>100</v>
      </c>
      <c r="O266" s="358">
        <f t="shared" si="77"/>
        <v>100</v>
      </c>
      <c r="P266" s="300">
        <v>110</v>
      </c>
      <c r="Q266" s="301">
        <v>115</v>
      </c>
      <c r="R266" s="301">
        <v>122</v>
      </c>
      <c r="S266" s="358">
        <f t="shared" si="78"/>
        <v>122</v>
      </c>
      <c r="T266" s="359">
        <f>IF(E266="","",O266+S266)</f>
        <v>222</v>
      </c>
      <c r="U266" s="360" t="str">
        <f t="shared" si="79"/>
        <v>REG + 17</v>
      </c>
      <c r="V266" s="360" t="str">
        <f>IF(E266=0," ",IF(E266="H",IF(H266&lt;1999,VLOOKUP(K266,[2]Minimas!$A$15:$F$29,6),IF(AND(H266&gt;1998,H266&lt;2002),VLOOKUP(K266,[2]Minimas!$A$15:$F$29,5),IF(AND(H266&gt;2001,H266&lt;2004),VLOOKUP(K266,[2]Minimas!$A$15:$F$29,4),IF(AND(H266&gt;2003,H266&lt;2006),VLOOKUP(K266,[2]Minimas!$A$15:$F$29,3),VLOOKUP(K266,[2]Minimas!$A$15:$F$29,2))))),IF(H266&lt;1999,VLOOKUP(K266,[2]Minimas!$G$15:$L$29,6),IF(AND(H266&gt;1998,H266&lt;2002),VLOOKUP(K266,[2]Minimas!$G$15:$L$29,5),IF(AND(H266&gt;2001,H266&lt;2004),VLOOKUP(K266,[2]Minimas!$G$15:$L$29,4),IF(AND(H266&gt;2003,H266&lt;2006),VLOOKUP(K266,[2]Minimas!$G$15:$L$29,3),VLOOKUP(K266,[2]Minimas!$G$15:$L$29,2)))))))</f>
        <v>SE M96</v>
      </c>
      <c r="W266" s="361">
        <f t="shared" si="80"/>
        <v>256.81198191608127</v>
      </c>
      <c r="X266" s="257">
        <v>43540</v>
      </c>
      <c r="Y266" s="261" t="s">
        <v>714</v>
      </c>
      <c r="Z266" s="261" t="s">
        <v>511</v>
      </c>
      <c r="AA266" s="463"/>
      <c r="AB266" s="230">
        <f>T266-HLOOKUP(V266,Minimas!$C$3:$CD$12,2,FALSE)</f>
        <v>67</v>
      </c>
      <c r="AC266" s="230">
        <f>T266-HLOOKUP(V266,Minimas!$C$3:$CD$12,3,FALSE)</f>
        <v>42</v>
      </c>
      <c r="AD266" s="230">
        <f>T266-HLOOKUP(V266,Minimas!$C$3:$CD$12,4,FALSE)</f>
        <v>17</v>
      </c>
      <c r="AE266" s="230">
        <f>T266-HLOOKUP(V266,Minimas!$C$3:$CD$12,5,FALSE)</f>
        <v>-13</v>
      </c>
      <c r="AF266" s="230">
        <f>T266-HLOOKUP(V266,Minimas!$C$3:$CD$12,6,FALSE)</f>
        <v>-43</v>
      </c>
      <c r="AG266" s="230">
        <f>T266-HLOOKUP(V266,Minimas!$C$3:$CD$12,7,FALSE)</f>
        <v>-73</v>
      </c>
      <c r="AH266" s="230">
        <f>T266-HLOOKUP(V266,Minimas!$C$3:$CD$12,8,FALSE)</f>
        <v>-98</v>
      </c>
      <c r="AI266" s="230">
        <f>T266-HLOOKUP(V266,Minimas!$C$3:$CD$12,9,FALSE)</f>
        <v>-118</v>
      </c>
      <c r="AJ266" s="230">
        <f>T266-HLOOKUP(V266,Minimas!$C$3:$CD$12,10,FALSE)</f>
        <v>-138</v>
      </c>
      <c r="AK266" s="231" t="str">
        <f t="shared" si="81"/>
        <v>REG +</v>
      </c>
      <c r="AL266" s="232"/>
      <c r="AM266" s="232" t="str">
        <f t="shared" si="82"/>
        <v>REG +</v>
      </c>
      <c r="AN266" s="232">
        <f t="shared" si="83"/>
        <v>17</v>
      </c>
      <c r="AO266" s="463"/>
      <c r="AP266" s="34"/>
      <c r="AQ266" s="34"/>
      <c r="AR266" s="34"/>
      <c r="AS266" s="34"/>
      <c r="AT266" s="34"/>
      <c r="AU266" s="34"/>
      <c r="AV266" s="34"/>
      <c r="AW266" s="34"/>
      <c r="AX266" s="34"/>
      <c r="AY266" s="34"/>
      <c r="AZ266" s="34"/>
      <c r="BA266" s="34"/>
      <c r="BB266" s="34"/>
      <c r="BC266" s="34"/>
      <c r="BD266" s="34"/>
      <c r="BE266" s="34"/>
      <c r="BF266" s="34"/>
      <c r="BG266" s="34"/>
      <c r="BH266" s="34"/>
      <c r="BI266" s="34"/>
      <c r="BJ266" s="34"/>
      <c r="BK266" s="34"/>
      <c r="BL266" s="34"/>
      <c r="BM266" s="34"/>
      <c r="BN266" s="34"/>
      <c r="BO266" s="34"/>
      <c r="BP266" s="34"/>
      <c r="BQ266" s="34"/>
      <c r="BR266" s="34"/>
      <c r="BS266" s="34"/>
      <c r="BT266" s="34"/>
      <c r="BU266" s="34"/>
      <c r="BV266" s="34"/>
      <c r="BW266" s="34"/>
      <c r="BX266" s="34"/>
      <c r="BY266" s="34"/>
      <c r="BZ266" s="34"/>
      <c r="CA266" s="34"/>
      <c r="CB266" s="34"/>
      <c r="CC266" s="34"/>
      <c r="CD266" s="34"/>
      <c r="CE266" s="34"/>
      <c r="CF266" s="34"/>
      <c r="CG266" s="34"/>
      <c r="CH266" s="34"/>
      <c r="CI266" s="34"/>
      <c r="CJ266" s="34"/>
      <c r="CK266" s="34"/>
      <c r="CL266" s="34"/>
      <c r="CM266" s="34"/>
      <c r="CN266" s="34"/>
      <c r="CO266" s="34"/>
      <c r="CP266" s="34"/>
      <c r="CQ266" s="34"/>
      <c r="CR266" s="34"/>
      <c r="CS266" s="34"/>
      <c r="CT266" s="34"/>
      <c r="CU266" s="34"/>
      <c r="CV266" s="34"/>
      <c r="CW266" s="34"/>
      <c r="CX266" s="34"/>
      <c r="CY266" s="34"/>
      <c r="CZ266" s="34"/>
      <c r="DA266" s="34"/>
      <c r="DB266" s="34"/>
      <c r="DC266" s="34"/>
      <c r="DD266" s="34"/>
      <c r="DE266" s="34"/>
      <c r="DF266" s="34"/>
      <c r="DG266" s="34"/>
      <c r="DH266" s="34"/>
      <c r="DI266" s="34"/>
      <c r="DJ266" s="34"/>
      <c r="DK266" s="34"/>
      <c r="DL266" s="34"/>
      <c r="DM266" s="34"/>
      <c r="DN266" s="34"/>
      <c r="DO266" s="34"/>
      <c r="DP266" s="34"/>
      <c r="DQ266" s="34"/>
      <c r="DR266" s="34"/>
      <c r="DS266" s="34"/>
      <c r="DT266" s="34"/>
    </row>
    <row r="267" spans="1:124" ht="30.25" customHeight="1" thickBot="1" x14ac:dyDescent="0.3">
      <c r="A267" s="484"/>
      <c r="B267" s="818" t="s">
        <v>543</v>
      </c>
      <c r="C267" s="526">
        <v>418139</v>
      </c>
      <c r="D267" s="541"/>
      <c r="E267" s="482" t="s">
        <v>40</v>
      </c>
      <c r="F267" s="726" t="s">
        <v>392</v>
      </c>
      <c r="G267" s="513" t="s">
        <v>393</v>
      </c>
      <c r="H267" s="737">
        <v>1979</v>
      </c>
      <c r="I267" s="890" t="s">
        <v>394</v>
      </c>
      <c r="J267" s="761" t="s">
        <v>44</v>
      </c>
      <c r="K267" s="769">
        <v>95.54</v>
      </c>
      <c r="L267" s="893">
        <v>90</v>
      </c>
      <c r="M267" s="893">
        <v>95</v>
      </c>
      <c r="N267" s="894">
        <v>-100</v>
      </c>
      <c r="O267" s="803">
        <f t="shared" si="77"/>
        <v>95</v>
      </c>
      <c r="P267" s="893">
        <v>115</v>
      </c>
      <c r="Q267" s="893">
        <v>120</v>
      </c>
      <c r="R267" s="893">
        <v>125</v>
      </c>
      <c r="S267" s="803">
        <f t="shared" si="78"/>
        <v>125</v>
      </c>
      <c r="T267" s="809">
        <f t="shared" ref="T267:T278" si="85">IF(E267="","",IF(OR(O267=0,S267=0),0,O267+S267))</f>
        <v>220</v>
      </c>
      <c r="U267" s="48" t="str">
        <f t="shared" si="79"/>
        <v>REG + 15</v>
      </c>
      <c r="V267" s="48" t="str">
        <f>IF(E267=0," ",IF(E267="H",IF(H267&lt;1999,VLOOKUP(K267,Minimas!$A$15:$F$29,6),IF(AND(H267&gt;1998,H267&lt;2002),VLOOKUP(K267,Minimas!$A$15:$F$29,5),IF(AND(H267&gt;2001,H267&lt;2004),VLOOKUP(K267,Minimas!$A$15:$F$29,4),IF(AND(H267&gt;2003,H267&lt;2006),VLOOKUP(K267,Minimas!$A$15:$F$29,3),VLOOKUP(K267,Minimas!$A$15:$F$29,2))))),IF(H267&lt;1999,VLOOKUP(K267,Minimas!$G$15:$L$29,6),IF(AND(H267&gt;1998,H267&lt;2002),VLOOKUP(K267,Minimas!$G$15:$L$29,5),IF(AND(H267&gt;2001,H267&lt;2004),VLOOKUP(K267,Minimas!$G$15:$L$29,4),IF(AND(H267&gt;2003,H267&lt;2006),VLOOKUP(K267,Minimas!$G$15:$L$29,3),VLOOKUP(K267,Minimas!$G$15:$L$29,2)))))))</f>
        <v>SE M96</v>
      </c>
      <c r="W267" s="814">
        <f t="shared" si="80"/>
        <v>248.24161677438715</v>
      </c>
      <c r="X267" s="257">
        <v>43485</v>
      </c>
      <c r="Y267" s="261" t="s">
        <v>640</v>
      </c>
      <c r="Z267" s="261" t="s">
        <v>514</v>
      </c>
      <c r="AA267" s="232"/>
      <c r="AB267" s="230">
        <f>T267-HLOOKUP(V267,Minimas!$C$3:$CD$12,2,FALSE)</f>
        <v>65</v>
      </c>
      <c r="AC267" s="230">
        <f>T267-HLOOKUP(V267,Minimas!$C$3:$CD$12,3,FALSE)</f>
        <v>40</v>
      </c>
      <c r="AD267" s="230">
        <f>T267-HLOOKUP(V267,Minimas!$C$3:$CD$12,4,FALSE)</f>
        <v>15</v>
      </c>
      <c r="AE267" s="230">
        <f>T267-HLOOKUP(V267,Minimas!$C$3:$CD$12,5,FALSE)</f>
        <v>-15</v>
      </c>
      <c r="AF267" s="230">
        <f>T267-HLOOKUP(V267,Minimas!$C$3:$CD$12,6,FALSE)</f>
        <v>-45</v>
      </c>
      <c r="AG267" s="230">
        <f>T267-HLOOKUP(V267,Minimas!$C$3:$CD$12,7,FALSE)</f>
        <v>-75</v>
      </c>
      <c r="AH267" s="230">
        <f>T267-HLOOKUP(V267,Minimas!$C$3:$CD$12,8,FALSE)</f>
        <v>-100</v>
      </c>
      <c r="AI267" s="230">
        <f>T267-HLOOKUP(V267,Minimas!$C$3:$CD$12,9,FALSE)</f>
        <v>-120</v>
      </c>
      <c r="AJ267" s="230">
        <f>T267-HLOOKUP(V267,Minimas!$C$3:$CD$12,10,FALSE)</f>
        <v>-140</v>
      </c>
      <c r="AK267" s="231" t="str">
        <f t="shared" si="81"/>
        <v>REG +</v>
      </c>
      <c r="AL267" s="232"/>
      <c r="AM267" s="232" t="str">
        <f t="shared" si="82"/>
        <v>REG +</v>
      </c>
      <c r="AN267" s="232">
        <f t="shared" si="83"/>
        <v>15</v>
      </c>
      <c r="AO267" s="232"/>
      <c r="AP267" s="485"/>
      <c r="AQ267" s="485"/>
      <c r="AR267" s="485"/>
      <c r="AS267" s="485"/>
      <c r="AT267" s="485"/>
      <c r="AU267" s="485"/>
      <c r="AV267" s="485"/>
      <c r="AW267" s="485"/>
      <c r="AX267" s="485"/>
      <c r="AY267" s="485"/>
      <c r="AZ267" s="485"/>
      <c r="BA267" s="485"/>
      <c r="BB267" s="485"/>
      <c r="BC267" s="485"/>
      <c r="BD267" s="485"/>
      <c r="BE267" s="485"/>
      <c r="BF267" s="485"/>
      <c r="BG267" s="485"/>
      <c r="BH267" s="485"/>
      <c r="BI267" s="485"/>
      <c r="BJ267" s="485"/>
      <c r="BK267" s="485"/>
      <c r="BL267" s="485"/>
      <c r="BM267" s="485"/>
      <c r="BN267" s="485"/>
      <c r="BO267" s="485"/>
      <c r="BP267" s="485"/>
      <c r="BQ267" s="485"/>
      <c r="BR267" s="485"/>
      <c r="BS267" s="485"/>
      <c r="BT267" s="485"/>
      <c r="BU267" s="485"/>
      <c r="BV267" s="485"/>
      <c r="BW267" s="485"/>
      <c r="BX267" s="485"/>
      <c r="BY267" s="485"/>
      <c r="BZ267" s="485"/>
      <c r="CA267" s="485"/>
      <c r="CB267" s="485"/>
      <c r="CC267" s="485"/>
      <c r="CD267" s="485"/>
      <c r="CE267" s="485"/>
      <c r="CF267" s="485"/>
      <c r="CG267" s="485"/>
      <c r="CH267" s="485"/>
      <c r="CI267" s="485"/>
      <c r="CJ267" s="485"/>
      <c r="CK267" s="485"/>
      <c r="CL267" s="485"/>
      <c r="CM267" s="485"/>
      <c r="CN267" s="485"/>
      <c r="CO267" s="485"/>
      <c r="CP267" s="485"/>
      <c r="CQ267" s="485"/>
      <c r="CR267" s="485"/>
      <c r="CS267" s="485"/>
      <c r="CT267" s="485"/>
      <c r="CU267" s="485"/>
      <c r="CV267" s="485"/>
      <c r="CW267" s="485"/>
      <c r="CX267" s="485"/>
      <c r="CY267" s="485"/>
      <c r="CZ267" s="485"/>
      <c r="DA267" s="485"/>
      <c r="DB267" s="485"/>
      <c r="DC267" s="485"/>
      <c r="DD267" s="485"/>
      <c r="DE267" s="485"/>
      <c r="DF267" s="485"/>
      <c r="DG267" s="485"/>
      <c r="DH267" s="485"/>
      <c r="DI267" s="485"/>
      <c r="DJ267" s="485"/>
      <c r="DK267" s="485"/>
      <c r="DL267" s="485"/>
      <c r="DM267" s="485"/>
      <c r="DN267" s="485"/>
      <c r="DO267" s="485"/>
      <c r="DP267" s="485"/>
      <c r="DQ267" s="485"/>
      <c r="DR267" s="485"/>
      <c r="DS267" s="485"/>
      <c r="DT267" s="485"/>
    </row>
    <row r="268" spans="1:124" ht="30.25" customHeight="1" thickBot="1" x14ac:dyDescent="0.3">
      <c r="A268" s="484"/>
      <c r="B268" s="886" t="s">
        <v>543</v>
      </c>
      <c r="C268" s="526">
        <v>307138</v>
      </c>
      <c r="D268" s="887"/>
      <c r="E268" s="482" t="s">
        <v>40</v>
      </c>
      <c r="F268" s="512" t="s">
        <v>249</v>
      </c>
      <c r="G268" s="888" t="s">
        <v>496</v>
      </c>
      <c r="H268" s="437">
        <v>1998</v>
      </c>
      <c r="I268" s="889" t="s">
        <v>324</v>
      </c>
      <c r="J268" s="438" t="s">
        <v>44</v>
      </c>
      <c r="K268" s="891">
        <v>93</v>
      </c>
      <c r="L268" s="893">
        <v>92</v>
      </c>
      <c r="M268" s="893">
        <v>97</v>
      </c>
      <c r="N268" s="893">
        <v>101</v>
      </c>
      <c r="O268" s="892">
        <f t="shared" si="77"/>
        <v>101</v>
      </c>
      <c r="P268" s="893">
        <v>109</v>
      </c>
      <c r="Q268" s="893">
        <v>114</v>
      </c>
      <c r="R268" s="893">
        <v>117</v>
      </c>
      <c r="S268" s="803">
        <f t="shared" si="78"/>
        <v>117</v>
      </c>
      <c r="T268" s="809">
        <f t="shared" si="85"/>
        <v>218</v>
      </c>
      <c r="U268" s="48" t="str">
        <f t="shared" si="79"/>
        <v>REG + 13</v>
      </c>
      <c r="V268" s="48" t="str">
        <f>IF(E268=0," ",IF(E268="H",IF(H268&lt;1999,VLOOKUP(K268,Minimas!$A$15:$F$29,6),IF(AND(H268&gt;1998,H268&lt;2002),VLOOKUP(K268,Minimas!$A$15:$F$29,5),IF(AND(H268&gt;2001,H268&lt;2004),VLOOKUP(K268,Minimas!$A$15:$F$29,4),IF(AND(H268&gt;2003,H268&lt;2006),VLOOKUP(K268,Minimas!$A$15:$F$29,3),VLOOKUP(K268,Minimas!$A$15:$F$29,2))))),IF(H268&lt;1999,VLOOKUP(K268,Minimas!$G$15:$L$29,6),IF(AND(H268&gt;1998,H268&lt;2002),VLOOKUP(K268,Minimas!$G$15:$L$29,5),IF(AND(H268&gt;2001,H268&lt;2004),VLOOKUP(K268,Minimas!$G$15:$L$29,4),IF(AND(H268&gt;2003,H268&lt;2006),VLOOKUP(K268,Minimas!$G$15:$L$29,3),VLOOKUP(K268,Minimas!$G$15:$L$29,2)))))))</f>
        <v>SE M96</v>
      </c>
      <c r="W268" s="814">
        <f t="shared" si="80"/>
        <v>248.69065577963693</v>
      </c>
      <c r="X268" s="257">
        <v>43485</v>
      </c>
      <c r="Y268" s="261" t="s">
        <v>555</v>
      </c>
      <c r="Z268" s="261" t="s">
        <v>556</v>
      </c>
      <c r="AA268" s="232"/>
      <c r="AB268" s="230">
        <f>T268-HLOOKUP(V268,Minimas!$C$3:$CD$12,2,FALSE)</f>
        <v>63</v>
      </c>
      <c r="AC268" s="230">
        <f>T268-HLOOKUP(V268,Minimas!$C$3:$CD$12,3,FALSE)</f>
        <v>38</v>
      </c>
      <c r="AD268" s="230">
        <f>T268-HLOOKUP(V268,Minimas!$C$3:$CD$12,4,FALSE)</f>
        <v>13</v>
      </c>
      <c r="AE268" s="230">
        <f>T268-HLOOKUP(V268,Minimas!$C$3:$CD$12,5,FALSE)</f>
        <v>-17</v>
      </c>
      <c r="AF268" s="230">
        <f>T268-HLOOKUP(V268,Minimas!$C$3:$CD$12,6,FALSE)</f>
        <v>-47</v>
      </c>
      <c r="AG268" s="230">
        <f>T268-HLOOKUP(V268,Minimas!$C$3:$CD$12,7,FALSE)</f>
        <v>-77</v>
      </c>
      <c r="AH268" s="230">
        <f>T268-HLOOKUP(V268,Minimas!$C$3:$CD$12,8,FALSE)</f>
        <v>-102</v>
      </c>
      <c r="AI268" s="230">
        <f>T268-HLOOKUP(V268,Minimas!$C$3:$CD$12,9,FALSE)</f>
        <v>-122</v>
      </c>
      <c r="AJ268" s="230">
        <f>T268-HLOOKUP(V268,Minimas!$C$3:$CD$12,10,FALSE)</f>
        <v>-142</v>
      </c>
      <c r="AK268" s="231" t="str">
        <f t="shared" si="81"/>
        <v>REG +</v>
      </c>
      <c r="AL268" s="232"/>
      <c r="AM268" s="232" t="str">
        <f t="shared" si="82"/>
        <v>REG +</v>
      </c>
      <c r="AN268" s="232">
        <f t="shared" si="83"/>
        <v>13</v>
      </c>
      <c r="AO268" s="232"/>
      <c r="AP268" s="485"/>
      <c r="AQ268" s="485"/>
      <c r="AR268" s="485"/>
      <c r="AS268" s="485"/>
      <c r="AT268" s="485"/>
      <c r="AU268" s="485"/>
      <c r="AV268" s="485"/>
      <c r="AW268" s="485"/>
      <c r="AX268" s="485"/>
      <c r="AY268" s="485"/>
      <c r="AZ268" s="485"/>
      <c r="BA268" s="485"/>
      <c r="BB268" s="485"/>
      <c r="BC268" s="485"/>
      <c r="BD268" s="485"/>
      <c r="BE268" s="485"/>
      <c r="BF268" s="485"/>
      <c r="BG268" s="485"/>
      <c r="BH268" s="485"/>
      <c r="BI268" s="485"/>
      <c r="BJ268" s="485"/>
      <c r="BK268" s="485"/>
      <c r="BL268" s="485"/>
      <c r="BM268" s="485"/>
      <c r="BN268" s="485"/>
      <c r="BO268" s="485"/>
      <c r="BP268" s="485"/>
      <c r="BQ268" s="485"/>
      <c r="BR268" s="485"/>
      <c r="BS268" s="485"/>
      <c r="BT268" s="485"/>
      <c r="BU268" s="485"/>
      <c r="BV268" s="485"/>
      <c r="BW268" s="485"/>
      <c r="BX268" s="485"/>
      <c r="BY268" s="485"/>
      <c r="BZ268" s="485"/>
      <c r="CA268" s="485"/>
      <c r="CB268" s="485"/>
      <c r="CC268" s="485"/>
      <c r="CD268" s="485"/>
      <c r="CE268" s="485"/>
      <c r="CF268" s="485"/>
      <c r="CG268" s="485"/>
      <c r="CH268" s="485"/>
      <c r="CI268" s="485"/>
      <c r="CJ268" s="485"/>
      <c r="CK268" s="485"/>
      <c r="CL268" s="485"/>
      <c r="CM268" s="485"/>
      <c r="CN268" s="485"/>
      <c r="CO268" s="485"/>
      <c r="CP268" s="485"/>
      <c r="CQ268" s="485"/>
      <c r="CR268" s="485"/>
      <c r="CS268" s="485"/>
      <c r="CT268" s="485"/>
      <c r="CU268" s="485"/>
      <c r="CV268" s="485"/>
      <c r="CW268" s="485"/>
      <c r="CX268" s="485"/>
      <c r="CY268" s="485"/>
      <c r="CZ268" s="485"/>
      <c r="DA268" s="485"/>
      <c r="DB268" s="485"/>
      <c r="DC268" s="485"/>
      <c r="DD268" s="485"/>
      <c r="DE268" s="485"/>
      <c r="DF268" s="485"/>
      <c r="DG268" s="485"/>
      <c r="DH268" s="485"/>
      <c r="DI268" s="485"/>
      <c r="DJ268" s="485"/>
      <c r="DK268" s="485"/>
      <c r="DL268" s="485"/>
      <c r="DM268" s="485"/>
      <c r="DN268" s="485"/>
      <c r="DO268" s="485"/>
      <c r="DP268" s="485"/>
      <c r="DQ268" s="485"/>
      <c r="DR268" s="485"/>
      <c r="DS268" s="485"/>
      <c r="DT268" s="485"/>
    </row>
    <row r="269" spans="1:124" s="5" customFormat="1" ht="30" customHeight="1" x14ac:dyDescent="0.25">
      <c r="B269" s="433" t="s">
        <v>543</v>
      </c>
      <c r="C269" s="429">
        <v>316093</v>
      </c>
      <c r="D269" s="507"/>
      <c r="E269" s="315" t="s">
        <v>40</v>
      </c>
      <c r="F269" s="319" t="s">
        <v>489</v>
      </c>
      <c r="G269" s="320" t="s">
        <v>335</v>
      </c>
      <c r="H269" s="306">
        <v>1998</v>
      </c>
      <c r="I269" s="760" t="s">
        <v>477</v>
      </c>
      <c r="J269" s="323" t="s">
        <v>41</v>
      </c>
      <c r="K269" s="511">
        <v>89.4</v>
      </c>
      <c r="L269" s="300">
        <v>80</v>
      </c>
      <c r="M269" s="301">
        <v>88</v>
      </c>
      <c r="N269" s="301">
        <v>95</v>
      </c>
      <c r="O269" s="363">
        <f t="shared" si="77"/>
        <v>95</v>
      </c>
      <c r="P269" s="300">
        <v>115</v>
      </c>
      <c r="Q269" s="301">
        <v>120</v>
      </c>
      <c r="R269" s="301">
        <v>-125</v>
      </c>
      <c r="S269" s="363">
        <f t="shared" si="78"/>
        <v>120</v>
      </c>
      <c r="T269" s="364">
        <f t="shared" si="85"/>
        <v>215</v>
      </c>
      <c r="U269" s="360" t="str">
        <f t="shared" si="79"/>
        <v>REG + 10</v>
      </c>
      <c r="V269" s="360" t="str">
        <f>IF(E269=0," ",IF(E269="H",IF(H269&lt;1999,VLOOKUP(K269,[3]Minimas!$A$15:$F$29,6),IF(AND(H269&gt;1998,H269&lt;2002),VLOOKUP(K269,[3]Minimas!$A$15:$F$29,5),IF(AND(H269&gt;2001,H269&lt;2004),VLOOKUP(K269,[3]Minimas!$A$15:$F$29,4),IF(AND(H269&gt;2003,H269&lt;2006),VLOOKUP(K269,[3]Minimas!$A$15:$F$29,3),VLOOKUP(K269,[3]Minimas!$A$15:$F$29,2))))),IF(H269&lt;1999,VLOOKUP(K269,[3]Minimas!$G$15:$L$29,6),IF(AND(H269&gt;1998,H269&lt;2002),VLOOKUP(K269,[3]Minimas!$G$15:$L$29,5),IF(AND(H269&gt;2001,H269&lt;2004),VLOOKUP(K269,[3]Minimas!$G$15:$L$29,4),IF(AND(H269&gt;2003,H269&lt;2006),VLOOKUP(K269,[3]Minimas!$G$15:$L$29,3),VLOOKUP(K269,[3]Minimas!$G$15:$L$29,2)))))))</f>
        <v>SE M96</v>
      </c>
      <c r="W269" s="361">
        <f t="shared" si="80"/>
        <v>249.44471065171794</v>
      </c>
      <c r="X269" s="257">
        <v>43610</v>
      </c>
      <c r="Y269" s="261" t="s">
        <v>892</v>
      </c>
      <c r="Z269" s="261" t="s">
        <v>829</v>
      </c>
      <c r="AA269" s="232"/>
      <c r="AB269" s="230">
        <f>T269-HLOOKUP(V269,[3]Minimas!$C$3:$CD$12,2,FALSE)</f>
        <v>60</v>
      </c>
      <c r="AC269" s="230">
        <f>T269-HLOOKUP(V269,[3]Minimas!$C$3:$CD$12,3,FALSE)</f>
        <v>35</v>
      </c>
      <c r="AD269" s="230">
        <f>T269-HLOOKUP(V269,[3]Minimas!$C$3:$CD$12,4,FALSE)</f>
        <v>10</v>
      </c>
      <c r="AE269" s="230">
        <f>T269-HLOOKUP(V269,[3]Minimas!$C$3:$CD$12,5,FALSE)</f>
        <v>-20</v>
      </c>
      <c r="AF269" s="230">
        <f>T269-HLOOKUP(V269,[3]Minimas!$C$3:$CD$12,6,FALSE)</f>
        <v>-50</v>
      </c>
      <c r="AG269" s="230">
        <f>T269-HLOOKUP(V269,[3]Minimas!$C$3:$CD$12,7,FALSE)</f>
        <v>-80</v>
      </c>
      <c r="AH269" s="230">
        <f>T269-HLOOKUP(V269,[3]Minimas!$C$3:$CD$12,8,FALSE)</f>
        <v>-105</v>
      </c>
      <c r="AI269" s="230">
        <f>T269-HLOOKUP(V269,[3]Minimas!$C$3:$CD$12,9,FALSE)</f>
        <v>-125</v>
      </c>
      <c r="AJ269" s="230">
        <f>T269-HLOOKUP(V269,[3]Minimas!$C$3:$CD$12,10,FALSE)</f>
        <v>-145</v>
      </c>
      <c r="AK269" s="231" t="str">
        <f t="shared" si="81"/>
        <v>REG +</v>
      </c>
      <c r="AL269" s="232"/>
      <c r="AM269" s="232" t="str">
        <f t="shared" si="82"/>
        <v>REG +</v>
      </c>
      <c r="AN269" s="232">
        <f t="shared" si="83"/>
        <v>10</v>
      </c>
      <c r="AO269" s="232"/>
      <c r="AP269" s="38"/>
      <c r="AQ269" s="38"/>
      <c r="AR269" s="38"/>
      <c r="AS269" s="38"/>
      <c r="AT269" s="38"/>
      <c r="AU269" s="38"/>
      <c r="AV269" s="38"/>
      <c r="AW269" s="38"/>
      <c r="AX269" s="38"/>
      <c r="AY269" s="38"/>
      <c r="AZ269" s="38"/>
      <c r="BA269" s="38"/>
      <c r="BB269" s="38"/>
      <c r="BC269" s="38"/>
      <c r="BD269" s="38"/>
      <c r="BE269" s="38"/>
      <c r="BF269" s="38"/>
      <c r="BG269" s="38"/>
      <c r="BH269" s="38"/>
      <c r="BI269" s="38"/>
      <c r="BJ269" s="38"/>
      <c r="BK269" s="38"/>
      <c r="BL269" s="38"/>
      <c r="BM269" s="38"/>
      <c r="BN269" s="38"/>
      <c r="BO269" s="38"/>
      <c r="BP269" s="38"/>
      <c r="BQ269" s="38"/>
      <c r="BR269" s="38"/>
      <c r="BS269" s="38"/>
      <c r="BT269" s="38"/>
      <c r="BU269" s="38"/>
      <c r="BV269" s="38"/>
      <c r="BW269" s="38"/>
      <c r="BX269" s="38"/>
      <c r="BY269" s="38"/>
      <c r="BZ269" s="38"/>
      <c r="CA269" s="38"/>
      <c r="CB269" s="38"/>
      <c r="CC269" s="38"/>
      <c r="CD269" s="38"/>
      <c r="CE269" s="38"/>
      <c r="CF269" s="38"/>
      <c r="CG269" s="38"/>
      <c r="CH269" s="38"/>
      <c r="CI269" s="38"/>
      <c r="CJ269" s="38"/>
      <c r="CK269" s="38"/>
      <c r="CL269" s="38"/>
      <c r="CM269" s="38"/>
      <c r="CN269" s="38"/>
      <c r="CO269" s="38"/>
      <c r="CP269" s="38"/>
      <c r="CQ269" s="38"/>
      <c r="CR269" s="38"/>
      <c r="CS269" s="38"/>
      <c r="CT269" s="38"/>
      <c r="CU269" s="38"/>
      <c r="CV269" s="38"/>
      <c r="CW269" s="38"/>
      <c r="CX269" s="38"/>
      <c r="CY269" s="38"/>
      <c r="CZ269" s="38"/>
      <c r="DA269" s="38"/>
      <c r="DB269" s="38"/>
      <c r="DC269" s="38"/>
      <c r="DD269" s="485"/>
      <c r="DE269" s="485"/>
      <c r="DF269" s="485"/>
      <c r="DG269" s="485"/>
      <c r="DH269" s="485"/>
      <c r="DI269" s="485"/>
      <c r="DJ269" s="485"/>
      <c r="DK269" s="485"/>
      <c r="DL269" s="485"/>
      <c r="DM269" s="485"/>
      <c r="DN269" s="485"/>
      <c r="DO269" s="485"/>
      <c r="DP269" s="485"/>
      <c r="DQ269" s="485"/>
      <c r="DR269" s="485"/>
      <c r="DS269" s="485"/>
      <c r="DT269" s="485"/>
    </row>
    <row r="270" spans="1:124" s="5" customFormat="1" ht="30" customHeight="1" x14ac:dyDescent="0.5">
      <c r="A270" s="484"/>
      <c r="B270" s="515" t="s">
        <v>543</v>
      </c>
      <c r="C270" s="527">
        <v>418067</v>
      </c>
      <c r="D270" s="535"/>
      <c r="E270" s="722" t="s">
        <v>40</v>
      </c>
      <c r="F270" s="729" t="s">
        <v>250</v>
      </c>
      <c r="G270" s="736" t="s">
        <v>251</v>
      </c>
      <c r="H270" s="534">
        <v>1992</v>
      </c>
      <c r="I270" s="838" t="s">
        <v>129</v>
      </c>
      <c r="J270" s="766" t="s">
        <v>44</v>
      </c>
      <c r="K270" s="770">
        <v>89.8</v>
      </c>
      <c r="L270" s="591">
        <v>85</v>
      </c>
      <c r="M270" s="595">
        <v>90</v>
      </c>
      <c r="N270" s="595">
        <v>95</v>
      </c>
      <c r="O270" s="501">
        <f t="shared" si="77"/>
        <v>95</v>
      </c>
      <c r="P270" s="786">
        <v>110</v>
      </c>
      <c r="Q270" s="795">
        <v>115</v>
      </c>
      <c r="R270" s="795">
        <v>120</v>
      </c>
      <c r="S270" s="501">
        <f t="shared" si="78"/>
        <v>120</v>
      </c>
      <c r="T270" s="502">
        <f t="shared" si="85"/>
        <v>215</v>
      </c>
      <c r="U270" s="48" t="str">
        <f t="shared" si="79"/>
        <v>REG + 10</v>
      </c>
      <c r="V270" s="48" t="str">
        <f>IF(E270=0," ",IF(E270="H",IF(H270&lt;1999,VLOOKUP(K270,Minimas!$A$15:$F$29,6),IF(AND(H270&gt;1998,H270&lt;2002),VLOOKUP(K270,Minimas!$A$15:$F$29,5),IF(AND(H270&gt;2001,H270&lt;2004),VLOOKUP(K270,Minimas!$A$15:$F$29,4),IF(AND(H270&gt;2003,H270&lt;2006),VLOOKUP(K270,Minimas!$A$15:$F$29,3),VLOOKUP(K270,Minimas!$A$15:$F$29,2))))),IF(H270&lt;1999,VLOOKUP(K270,Minimas!$G$15:$L$29,6),IF(AND(H270&gt;1998,H270&lt;2002),VLOOKUP(K270,Minimas!$G$15:$L$29,5),IF(AND(H270&gt;2001,H270&lt;2004),VLOOKUP(K270,Minimas!$G$15:$L$29,4),IF(AND(H270&gt;2003,H270&lt;2006),VLOOKUP(K270,Minimas!$G$15:$L$29,3),VLOOKUP(K270,Minimas!$G$15:$L$29,2)))))))</f>
        <v>SE M96</v>
      </c>
      <c r="W270" s="49">
        <f t="shared" si="80"/>
        <v>248.95618717910361</v>
      </c>
      <c r="X270" s="184">
        <v>43386</v>
      </c>
      <c r="Y270" s="186" t="s">
        <v>503</v>
      </c>
      <c r="Z270" s="284" t="s">
        <v>518</v>
      </c>
      <c r="AA270" s="232"/>
      <c r="AB270" s="230">
        <f>T270-HLOOKUP(V270,Minimas!$C$3:$CD$12,2,FALSE)</f>
        <v>60</v>
      </c>
      <c r="AC270" s="230">
        <f>T270-HLOOKUP(V270,Minimas!$C$3:$CD$12,3,FALSE)</f>
        <v>35</v>
      </c>
      <c r="AD270" s="230">
        <f>T270-HLOOKUP(V270,Minimas!$C$3:$CD$12,4,FALSE)</f>
        <v>10</v>
      </c>
      <c r="AE270" s="230">
        <f>T270-HLOOKUP(V270,Minimas!$C$3:$CD$12,5,FALSE)</f>
        <v>-20</v>
      </c>
      <c r="AF270" s="230">
        <f>T270-HLOOKUP(V270,Minimas!$C$3:$CD$12,6,FALSE)</f>
        <v>-50</v>
      </c>
      <c r="AG270" s="230">
        <f>T270-HLOOKUP(V270,Minimas!$C$3:$CD$12,7,FALSE)</f>
        <v>-80</v>
      </c>
      <c r="AH270" s="230">
        <f>T270-HLOOKUP(V270,Minimas!$C$3:$CD$12,8,FALSE)</f>
        <v>-105</v>
      </c>
      <c r="AI270" s="230">
        <f>T270-HLOOKUP(V270,Minimas!$C$3:$CD$12,9,FALSE)</f>
        <v>-125</v>
      </c>
      <c r="AJ270" s="230">
        <f>T270-HLOOKUP(V270,Minimas!$C$3:$CD$12,10,FALSE)</f>
        <v>-145</v>
      </c>
      <c r="AK270" s="231" t="str">
        <f t="shared" si="81"/>
        <v>REG +</v>
      </c>
      <c r="AL270" s="232"/>
      <c r="AM270" s="232" t="str">
        <f t="shared" si="82"/>
        <v>REG +</v>
      </c>
      <c r="AN270" s="232">
        <f t="shared" si="83"/>
        <v>10</v>
      </c>
      <c r="AO270" s="232"/>
      <c r="AP270" s="485"/>
      <c r="AQ270" s="485"/>
      <c r="AR270" s="485"/>
      <c r="AS270" s="485"/>
      <c r="AT270" s="485"/>
      <c r="AU270" s="485"/>
      <c r="AV270" s="485"/>
      <c r="AW270" s="485"/>
      <c r="AX270" s="485"/>
      <c r="AY270" s="485"/>
      <c r="AZ270" s="485"/>
      <c r="BA270" s="485"/>
      <c r="BB270" s="485"/>
      <c r="BC270" s="485"/>
      <c r="BD270" s="485"/>
      <c r="BE270" s="485"/>
      <c r="BF270" s="485"/>
      <c r="BG270" s="485"/>
      <c r="BH270" s="485"/>
      <c r="BI270" s="485"/>
      <c r="BJ270" s="485"/>
      <c r="BK270" s="485"/>
      <c r="BL270" s="485"/>
      <c r="BM270" s="485"/>
      <c r="BN270" s="485"/>
      <c r="BO270" s="485"/>
      <c r="BP270" s="485"/>
      <c r="BQ270" s="485"/>
      <c r="BR270" s="485"/>
      <c r="BS270" s="485"/>
      <c r="BT270" s="485"/>
      <c r="BU270" s="485"/>
      <c r="BV270" s="485"/>
      <c r="BW270" s="485"/>
      <c r="BX270" s="485"/>
      <c r="BY270" s="485"/>
      <c r="BZ270" s="485"/>
      <c r="CA270" s="485"/>
      <c r="CB270" s="485"/>
      <c r="CC270" s="485"/>
      <c r="CD270" s="485"/>
      <c r="CE270" s="485"/>
      <c r="CF270" s="485"/>
      <c r="CG270" s="485"/>
      <c r="CH270" s="485"/>
      <c r="CI270" s="485"/>
      <c r="CJ270" s="485"/>
      <c r="CK270" s="485"/>
      <c r="CL270" s="485"/>
      <c r="CM270" s="485"/>
      <c r="CN270" s="485"/>
      <c r="CO270" s="485"/>
      <c r="CP270" s="485"/>
      <c r="CQ270" s="485"/>
      <c r="CR270" s="485"/>
      <c r="CS270" s="485"/>
      <c r="CT270" s="485"/>
      <c r="CU270" s="485"/>
      <c r="CV270" s="485"/>
      <c r="CW270" s="485"/>
      <c r="CX270" s="485"/>
      <c r="CY270" s="485"/>
      <c r="CZ270" s="485"/>
      <c r="DA270" s="485"/>
      <c r="DB270" s="485"/>
      <c r="DC270" s="485"/>
      <c r="DD270" s="485"/>
      <c r="DE270" s="485"/>
      <c r="DF270" s="485"/>
      <c r="DG270" s="485"/>
      <c r="DH270" s="485"/>
      <c r="DI270" s="485"/>
      <c r="DJ270" s="485"/>
      <c r="DK270" s="485"/>
      <c r="DL270" s="485"/>
      <c r="DM270" s="485"/>
      <c r="DN270" s="485"/>
      <c r="DO270" s="485"/>
      <c r="DP270" s="485"/>
      <c r="DQ270" s="485"/>
      <c r="DR270" s="485"/>
      <c r="DS270" s="485"/>
      <c r="DT270" s="485"/>
    </row>
    <row r="271" spans="1:124" s="5" customFormat="1" ht="30" customHeight="1" x14ac:dyDescent="0.25">
      <c r="A271" s="484"/>
      <c r="B271" s="515" t="s">
        <v>543</v>
      </c>
      <c r="C271" s="499">
        <v>443404</v>
      </c>
      <c r="D271" s="496"/>
      <c r="E271" s="323" t="s">
        <v>40</v>
      </c>
      <c r="F271" s="328" t="s">
        <v>284</v>
      </c>
      <c r="G271" s="487" t="s">
        <v>285</v>
      </c>
      <c r="H271" s="329">
        <v>1992</v>
      </c>
      <c r="I271" s="330" t="s">
        <v>139</v>
      </c>
      <c r="J271" s="331" t="s">
        <v>44</v>
      </c>
      <c r="K271" s="297">
        <v>90.74</v>
      </c>
      <c r="L271" s="300">
        <v>83</v>
      </c>
      <c r="M271" s="301">
        <v>87</v>
      </c>
      <c r="N271" s="301">
        <v>92</v>
      </c>
      <c r="O271" s="490">
        <f t="shared" si="77"/>
        <v>92</v>
      </c>
      <c r="P271" s="300">
        <v>105</v>
      </c>
      <c r="Q271" s="301">
        <v>110</v>
      </c>
      <c r="R271" s="301">
        <v>113</v>
      </c>
      <c r="S271" s="490">
        <f t="shared" si="78"/>
        <v>113</v>
      </c>
      <c r="T271" s="489">
        <f t="shared" si="85"/>
        <v>205</v>
      </c>
      <c r="U271" s="48" t="str">
        <f t="shared" si="79"/>
        <v>REG + 0</v>
      </c>
      <c r="V271" s="48" t="str">
        <f>IF(E271=0," ",IF(E271="H",IF(H271&lt;1999,VLOOKUP(K271,Minimas!$A$15:$F$29,6),IF(AND(H271&gt;1998,H271&lt;2002),VLOOKUP(K271,Minimas!$A$15:$F$29,5),IF(AND(H271&gt;2001,H271&lt;2004),VLOOKUP(K271,Minimas!$A$15:$F$29,4),IF(AND(H271&gt;2003,H271&lt;2006),VLOOKUP(K271,Minimas!$A$15:$F$29,3),VLOOKUP(K271,Minimas!$A$15:$F$29,2))))),IF(H271&lt;1999,VLOOKUP(K271,Minimas!$G$15:$L$29,6),IF(AND(H271&gt;1998,H271&lt;2002),VLOOKUP(K271,Minimas!$G$15:$L$29,5),IF(AND(H271&gt;2001,H271&lt;2004),VLOOKUP(K271,Minimas!$G$15:$L$29,4),IF(AND(H271&gt;2003,H271&lt;2006),VLOOKUP(K271,Minimas!$G$15:$L$29,3),VLOOKUP(K271,Minimas!$G$15:$L$29,2)))))))</f>
        <v>SE M96</v>
      </c>
      <c r="W271" s="49">
        <f t="shared" si="80"/>
        <v>236.30581050075838</v>
      </c>
      <c r="X271" s="257">
        <v>43485</v>
      </c>
      <c r="Y271" s="261" t="s">
        <v>640</v>
      </c>
      <c r="Z271" s="261" t="s">
        <v>514</v>
      </c>
      <c r="AA271" s="232"/>
      <c r="AB271" s="230">
        <f>T271-HLOOKUP(V271,Minimas!$C$3:$CD$12,2,FALSE)</f>
        <v>50</v>
      </c>
      <c r="AC271" s="230">
        <f>T271-HLOOKUP(V271,Minimas!$C$3:$CD$12,3,FALSE)</f>
        <v>25</v>
      </c>
      <c r="AD271" s="230">
        <f>T271-HLOOKUP(V271,Minimas!$C$3:$CD$12,4,FALSE)</f>
        <v>0</v>
      </c>
      <c r="AE271" s="230">
        <f>T271-HLOOKUP(V271,Minimas!$C$3:$CD$12,5,FALSE)</f>
        <v>-30</v>
      </c>
      <c r="AF271" s="230">
        <f>T271-HLOOKUP(V271,Minimas!$C$3:$CD$12,6,FALSE)</f>
        <v>-60</v>
      </c>
      <c r="AG271" s="230">
        <f>T271-HLOOKUP(V271,Minimas!$C$3:$CD$12,7,FALSE)</f>
        <v>-90</v>
      </c>
      <c r="AH271" s="230">
        <f>T271-HLOOKUP(V271,Minimas!$C$3:$CD$12,8,FALSE)</f>
        <v>-115</v>
      </c>
      <c r="AI271" s="230">
        <f>T271-HLOOKUP(V271,Minimas!$C$3:$CD$12,9,FALSE)</f>
        <v>-135</v>
      </c>
      <c r="AJ271" s="230">
        <f>T271-HLOOKUP(V271,Minimas!$C$3:$CD$12,10,FALSE)</f>
        <v>-155</v>
      </c>
      <c r="AK271" s="231" t="str">
        <f t="shared" si="81"/>
        <v>REG +</v>
      </c>
      <c r="AL271" s="232"/>
      <c r="AM271" s="232" t="str">
        <f t="shared" si="82"/>
        <v>REG +</v>
      </c>
      <c r="AN271" s="232">
        <f t="shared" si="83"/>
        <v>0</v>
      </c>
      <c r="AO271" s="232"/>
      <c r="AP271" s="485"/>
      <c r="AQ271" s="485"/>
      <c r="AR271" s="485"/>
      <c r="AS271" s="485"/>
      <c r="AT271" s="485"/>
      <c r="AU271" s="485"/>
      <c r="AV271" s="485"/>
      <c r="AW271" s="485"/>
      <c r="AX271" s="485"/>
      <c r="AY271" s="485"/>
      <c r="AZ271" s="485"/>
      <c r="BA271" s="485"/>
      <c r="BB271" s="485"/>
      <c r="BC271" s="485"/>
      <c r="BD271" s="485"/>
      <c r="BE271" s="485"/>
      <c r="BF271" s="485"/>
      <c r="BG271" s="485"/>
      <c r="BH271" s="485"/>
      <c r="BI271" s="485"/>
      <c r="BJ271" s="485"/>
      <c r="BK271" s="485"/>
      <c r="BL271" s="485"/>
      <c r="BM271" s="485"/>
      <c r="BN271" s="485"/>
      <c r="BO271" s="485"/>
      <c r="BP271" s="485"/>
      <c r="BQ271" s="485"/>
      <c r="BR271" s="485"/>
      <c r="BS271" s="485"/>
      <c r="BT271" s="485"/>
      <c r="BU271" s="485"/>
      <c r="BV271" s="485"/>
      <c r="BW271" s="485"/>
      <c r="BX271" s="485"/>
      <c r="BY271" s="485"/>
      <c r="BZ271" s="485"/>
      <c r="CA271" s="485"/>
      <c r="CB271" s="485"/>
      <c r="CC271" s="485"/>
      <c r="CD271" s="485"/>
      <c r="CE271" s="485"/>
      <c r="CF271" s="485"/>
      <c r="CG271" s="485"/>
      <c r="CH271" s="485"/>
      <c r="CI271" s="485"/>
      <c r="CJ271" s="485"/>
      <c r="CK271" s="485"/>
      <c r="CL271" s="485"/>
      <c r="CM271" s="485"/>
      <c r="CN271" s="485"/>
      <c r="CO271" s="485"/>
      <c r="CP271" s="485"/>
      <c r="CQ271" s="485"/>
      <c r="CR271" s="485"/>
      <c r="CS271" s="485"/>
      <c r="CT271" s="485"/>
      <c r="CU271" s="485"/>
      <c r="CV271" s="485"/>
      <c r="CW271" s="485"/>
      <c r="CX271" s="485"/>
      <c r="CY271" s="485"/>
      <c r="CZ271" s="485"/>
      <c r="DA271" s="485"/>
      <c r="DB271" s="485"/>
      <c r="DC271" s="485"/>
      <c r="DD271" s="485"/>
      <c r="DE271" s="485"/>
      <c r="DF271" s="485"/>
      <c r="DG271" s="485"/>
      <c r="DH271" s="485"/>
      <c r="DI271" s="485"/>
      <c r="DJ271" s="485"/>
      <c r="DK271" s="485"/>
      <c r="DL271" s="485"/>
      <c r="DM271" s="485"/>
      <c r="DN271" s="485"/>
      <c r="DO271" s="485"/>
      <c r="DP271" s="485"/>
      <c r="DQ271" s="485"/>
      <c r="DR271" s="485"/>
      <c r="DS271" s="485"/>
      <c r="DT271" s="485"/>
    </row>
    <row r="272" spans="1:124" s="5" customFormat="1" ht="30" customHeight="1" x14ac:dyDescent="0.25">
      <c r="B272" s="316" t="s">
        <v>543</v>
      </c>
      <c r="C272" s="317">
        <v>445604</v>
      </c>
      <c r="D272" s="318"/>
      <c r="E272" s="323" t="s">
        <v>40</v>
      </c>
      <c r="F272" s="486" t="s">
        <v>488</v>
      </c>
      <c r="G272" s="487" t="s">
        <v>313</v>
      </c>
      <c r="H272" s="492">
        <v>1985</v>
      </c>
      <c r="I272" s="324" t="s">
        <v>314</v>
      </c>
      <c r="J272" s="325"/>
      <c r="K272" s="339">
        <v>92</v>
      </c>
      <c r="L272" s="300">
        <v>80</v>
      </c>
      <c r="M272" s="301">
        <v>-85</v>
      </c>
      <c r="N272" s="301">
        <v>85</v>
      </c>
      <c r="O272" s="490">
        <f t="shared" si="77"/>
        <v>85</v>
      </c>
      <c r="P272" s="300">
        <v>100</v>
      </c>
      <c r="Q272" s="301">
        <v>105</v>
      </c>
      <c r="R272" s="301">
        <v>110</v>
      </c>
      <c r="S272" s="490">
        <f t="shared" si="78"/>
        <v>110</v>
      </c>
      <c r="T272" s="489">
        <f t="shared" si="85"/>
        <v>195</v>
      </c>
      <c r="U272" s="48" t="str">
        <f t="shared" si="79"/>
        <v>DPT + 15</v>
      </c>
      <c r="V272" s="48" t="str">
        <f>IF(E272=0," ",IF(E272="H",IF(H272&lt;1999,VLOOKUP(K272,[12]Minimas!$A$15:$F$29,6),IF(AND(H272&gt;1998,H272&lt;2002),VLOOKUP(K272,[12]Minimas!$A$15:$F$29,5),IF(AND(H272&gt;2001,H272&lt;2004),VLOOKUP(K272,[12]Minimas!$A$15:$F$29,4),IF(AND(H272&gt;2003,H272&lt;2006),VLOOKUP(K272,[12]Minimas!$A$15:$F$29,3),VLOOKUP(K272,[12]Minimas!$A$15:$F$29,2))))),IF(H272&lt;1999,VLOOKUP(K272,[12]Minimas!$G$15:$L$29,6),IF(AND(H272&gt;1998,H272&lt;2002),VLOOKUP(K272,[12]Minimas!$G$15:$L$29,5),IF(AND(H272&gt;2001,H272&lt;2004),VLOOKUP(K272,[12]Minimas!$G$15:$L$29,4),IF(AND(H272&gt;2003,H272&lt;2006),VLOOKUP(K272,[12]Minimas!$G$15:$L$29,3),VLOOKUP(K272,[12]Minimas!$G$15:$L$29,2)))))))</f>
        <v>SE M96</v>
      </c>
      <c r="W272" s="49">
        <f t="shared" si="80"/>
        <v>223.46096446687412</v>
      </c>
      <c r="X272" s="257">
        <v>43492</v>
      </c>
      <c r="Y272" s="261" t="s">
        <v>696</v>
      </c>
      <c r="Z272" s="261" t="s">
        <v>701</v>
      </c>
      <c r="AA272" s="232"/>
      <c r="AB272" s="230">
        <f>T272-HLOOKUP(V272,Minimas!$C$3:$CD$12,2,FALSE)</f>
        <v>40</v>
      </c>
      <c r="AC272" s="230">
        <f>T272-HLOOKUP(V272,Minimas!$C$3:$CD$12,3,FALSE)</f>
        <v>15</v>
      </c>
      <c r="AD272" s="230">
        <f>T272-HLOOKUP(V272,Minimas!$C$3:$CD$12,4,FALSE)</f>
        <v>-10</v>
      </c>
      <c r="AE272" s="230">
        <f>T272-HLOOKUP(V272,Minimas!$C$3:$CD$12,5,FALSE)</f>
        <v>-40</v>
      </c>
      <c r="AF272" s="230">
        <f>T272-HLOOKUP(V272,Minimas!$C$3:$CD$12,6,FALSE)</f>
        <v>-70</v>
      </c>
      <c r="AG272" s="230">
        <f>T272-HLOOKUP(V272,Minimas!$C$3:$CD$12,7,FALSE)</f>
        <v>-100</v>
      </c>
      <c r="AH272" s="230">
        <f>T272-HLOOKUP(V272,Minimas!$C$3:$CD$12,8,FALSE)</f>
        <v>-125</v>
      </c>
      <c r="AI272" s="230">
        <f>T272-HLOOKUP(V272,Minimas!$C$3:$CD$12,9,FALSE)</f>
        <v>-145</v>
      </c>
      <c r="AJ272" s="230">
        <f>T272-HLOOKUP(V272,Minimas!$C$3:$CD$12,10,FALSE)</f>
        <v>-165</v>
      </c>
      <c r="AK272" s="231" t="str">
        <f t="shared" si="81"/>
        <v>DPT +</v>
      </c>
      <c r="AL272" s="232"/>
      <c r="AM272" s="232" t="str">
        <f t="shared" si="82"/>
        <v>DPT +</v>
      </c>
      <c r="AN272" s="232">
        <f t="shared" si="83"/>
        <v>15</v>
      </c>
      <c r="AO272" s="232"/>
      <c r="AP272" s="38"/>
      <c r="AQ272" s="38"/>
      <c r="AR272" s="38"/>
      <c r="AS272" s="38"/>
      <c r="AT272" s="38"/>
      <c r="AU272" s="38"/>
      <c r="AV272" s="38"/>
      <c r="AW272" s="38"/>
      <c r="AX272" s="38"/>
      <c r="AY272" s="38"/>
      <c r="AZ272" s="38"/>
      <c r="BA272" s="38"/>
      <c r="BB272" s="38"/>
      <c r="BC272" s="38"/>
      <c r="BD272" s="38"/>
      <c r="BE272" s="38"/>
      <c r="BF272" s="38"/>
      <c r="BG272" s="38"/>
      <c r="BH272" s="38"/>
      <c r="BI272" s="38"/>
      <c r="BJ272" s="38"/>
      <c r="BK272" s="38"/>
      <c r="BL272" s="38"/>
      <c r="BM272" s="38"/>
      <c r="BN272" s="38"/>
      <c r="BO272" s="38"/>
      <c r="BP272" s="38"/>
      <c r="BQ272" s="38"/>
      <c r="BR272" s="38"/>
      <c r="BS272" s="38"/>
      <c r="BT272" s="38"/>
      <c r="BU272" s="38"/>
      <c r="BV272" s="38"/>
      <c r="BW272" s="38"/>
      <c r="BX272" s="38"/>
      <c r="BY272" s="38"/>
      <c r="BZ272" s="38"/>
      <c r="CA272" s="38"/>
      <c r="CB272" s="38"/>
      <c r="CC272" s="38"/>
      <c r="CD272" s="38"/>
      <c r="CE272" s="38"/>
      <c r="CF272" s="38"/>
      <c r="CG272" s="38"/>
      <c r="CH272" s="38"/>
      <c r="CI272" s="38"/>
      <c r="CJ272" s="38"/>
      <c r="CK272" s="38"/>
      <c r="CL272" s="38"/>
      <c r="CM272" s="38"/>
      <c r="CN272" s="38"/>
      <c r="CO272" s="38"/>
      <c r="CP272" s="38"/>
      <c r="CQ272" s="38"/>
      <c r="CR272" s="38"/>
      <c r="CS272" s="38"/>
      <c r="CT272" s="38"/>
      <c r="CU272" s="38"/>
      <c r="CV272" s="38"/>
      <c r="CW272" s="38"/>
      <c r="CX272" s="38"/>
      <c r="CY272" s="38"/>
      <c r="CZ272" s="38"/>
      <c r="DA272" s="38"/>
      <c r="DB272" s="38"/>
      <c r="DC272" s="38"/>
      <c r="DD272" s="38"/>
      <c r="DE272" s="38"/>
      <c r="DF272" s="38"/>
      <c r="DG272" s="38"/>
      <c r="DH272" s="38"/>
      <c r="DI272" s="38"/>
      <c r="DJ272" s="38"/>
      <c r="DK272" s="38"/>
      <c r="DL272" s="38"/>
      <c r="DM272" s="38"/>
      <c r="DN272" s="38"/>
      <c r="DO272" s="38"/>
      <c r="DP272" s="38"/>
      <c r="DQ272" s="38"/>
      <c r="DR272" s="38"/>
      <c r="DS272" s="38"/>
      <c r="DT272" s="38"/>
    </row>
    <row r="273" spans="1:124" s="5" customFormat="1" ht="30" customHeight="1" x14ac:dyDescent="0.25">
      <c r="B273" s="515" t="s">
        <v>543</v>
      </c>
      <c r="C273" s="499">
        <v>422216</v>
      </c>
      <c r="D273" s="496"/>
      <c r="E273" s="323" t="s">
        <v>40</v>
      </c>
      <c r="F273" s="328" t="s">
        <v>414</v>
      </c>
      <c r="G273" s="487" t="s">
        <v>365</v>
      </c>
      <c r="H273" s="329">
        <v>1992</v>
      </c>
      <c r="I273" s="330" t="s">
        <v>394</v>
      </c>
      <c r="J273" s="331" t="s">
        <v>44</v>
      </c>
      <c r="K273" s="297">
        <v>93.9</v>
      </c>
      <c r="L273" s="300">
        <v>80</v>
      </c>
      <c r="M273" s="301">
        <v>84</v>
      </c>
      <c r="N273" s="301">
        <v>88</v>
      </c>
      <c r="O273" s="490">
        <f t="shared" si="77"/>
        <v>88</v>
      </c>
      <c r="P273" s="300">
        <v>100</v>
      </c>
      <c r="Q273" s="301">
        <v>105</v>
      </c>
      <c r="R273" s="449">
        <v>-110</v>
      </c>
      <c r="S273" s="490">
        <f t="shared" si="78"/>
        <v>105</v>
      </c>
      <c r="T273" s="489">
        <f t="shared" si="85"/>
        <v>193</v>
      </c>
      <c r="U273" s="48" t="str">
        <f t="shared" si="79"/>
        <v>DPT + 13</v>
      </c>
      <c r="V273" s="48" t="str">
        <f>IF(E273=0," ",IF(E273="H",IF(H273&lt;1999,VLOOKUP(K273,Minimas!$A$15:$F$29,6),IF(AND(H273&gt;1998,H273&lt;2002),VLOOKUP(K273,Minimas!$A$15:$F$29,5),IF(AND(H273&gt;2001,H273&lt;2004),VLOOKUP(K273,Minimas!$A$15:$F$29,4),IF(AND(H273&gt;2003,H273&lt;2006),VLOOKUP(K273,Minimas!$A$15:$F$29,3),VLOOKUP(K273,Minimas!$A$15:$F$29,2))))),IF(H273&lt;1999,VLOOKUP(K273,Minimas!$G$15:$L$29,6),IF(AND(H273&gt;1998,H273&lt;2002),VLOOKUP(K273,Minimas!$G$15:$L$29,5),IF(AND(H273&gt;2001,H273&lt;2004),VLOOKUP(K273,Minimas!$G$15:$L$29,4),IF(AND(H273&gt;2003,H273&lt;2006),VLOOKUP(K273,Minimas!$G$15:$L$29,3),VLOOKUP(K273,Minimas!$G$15:$L$29,2)))))))</f>
        <v>SE M96</v>
      </c>
      <c r="W273" s="49">
        <f t="shared" si="80"/>
        <v>219.29993492867894</v>
      </c>
      <c r="X273" s="257">
        <v>43485</v>
      </c>
      <c r="Y273" s="261" t="s">
        <v>640</v>
      </c>
      <c r="Z273" s="261" t="s">
        <v>514</v>
      </c>
      <c r="AA273" s="232"/>
      <c r="AB273" s="230">
        <f>T273-HLOOKUP(V273,Minimas!$C$3:$CD$12,2,FALSE)</f>
        <v>38</v>
      </c>
      <c r="AC273" s="230">
        <f>T273-HLOOKUP(V273,Minimas!$C$3:$CD$12,3,FALSE)</f>
        <v>13</v>
      </c>
      <c r="AD273" s="230">
        <f>T273-HLOOKUP(V273,Minimas!$C$3:$CD$12,4,FALSE)</f>
        <v>-12</v>
      </c>
      <c r="AE273" s="230">
        <f>T273-HLOOKUP(V273,Minimas!$C$3:$CD$12,5,FALSE)</f>
        <v>-42</v>
      </c>
      <c r="AF273" s="230">
        <f>T273-HLOOKUP(V273,Minimas!$C$3:$CD$12,6,FALSE)</f>
        <v>-72</v>
      </c>
      <c r="AG273" s="230">
        <f>T273-HLOOKUP(V273,Minimas!$C$3:$CD$12,7,FALSE)</f>
        <v>-102</v>
      </c>
      <c r="AH273" s="230">
        <f>T273-HLOOKUP(V273,Minimas!$C$3:$CD$12,8,FALSE)</f>
        <v>-127</v>
      </c>
      <c r="AI273" s="230">
        <f>T273-HLOOKUP(V273,Minimas!$C$3:$CD$12,9,FALSE)</f>
        <v>-147</v>
      </c>
      <c r="AJ273" s="230">
        <f>T273-HLOOKUP(V273,Minimas!$C$3:$CD$12,10,FALSE)</f>
        <v>-167</v>
      </c>
      <c r="AK273" s="231" t="str">
        <f t="shared" si="81"/>
        <v>DPT +</v>
      </c>
      <c r="AL273" s="232"/>
      <c r="AM273" s="232" t="str">
        <f t="shared" si="82"/>
        <v>DPT +</v>
      </c>
      <c r="AN273" s="232">
        <f t="shared" si="83"/>
        <v>13</v>
      </c>
      <c r="AO273" s="232"/>
      <c r="AP273" s="38"/>
      <c r="AQ273" s="38"/>
      <c r="AR273" s="38"/>
      <c r="AS273" s="38"/>
      <c r="AT273" s="38"/>
      <c r="AU273" s="38"/>
      <c r="AV273" s="38"/>
      <c r="AW273" s="38"/>
      <c r="AX273" s="38"/>
      <c r="AY273" s="38"/>
      <c r="AZ273" s="38"/>
      <c r="BA273" s="38"/>
      <c r="BB273" s="38"/>
      <c r="BC273" s="38"/>
      <c r="BD273" s="38"/>
      <c r="BE273" s="38"/>
      <c r="BF273" s="38"/>
      <c r="BG273" s="38"/>
      <c r="BH273" s="38"/>
      <c r="BI273" s="38"/>
      <c r="BJ273" s="38"/>
      <c r="BK273" s="38"/>
      <c r="BL273" s="38"/>
      <c r="BM273" s="38"/>
      <c r="BN273" s="38"/>
      <c r="BO273" s="38"/>
      <c r="BP273" s="38"/>
      <c r="BQ273" s="38"/>
      <c r="BR273" s="38"/>
      <c r="BS273" s="38"/>
      <c r="BT273" s="38"/>
      <c r="BU273" s="38"/>
      <c r="BV273" s="38"/>
      <c r="BW273" s="38"/>
      <c r="BX273" s="38"/>
      <c r="BY273" s="38"/>
      <c r="BZ273" s="38"/>
      <c r="CA273" s="38"/>
      <c r="CB273" s="38"/>
      <c r="CC273" s="38"/>
      <c r="CD273" s="38"/>
      <c r="CE273" s="38"/>
      <c r="CF273" s="38"/>
      <c r="CG273" s="38"/>
      <c r="CH273" s="38"/>
      <c r="CI273" s="38"/>
      <c r="CJ273" s="38"/>
      <c r="CK273" s="38"/>
      <c r="CL273" s="38"/>
      <c r="CM273" s="38"/>
      <c r="CN273" s="38"/>
      <c r="CO273" s="38"/>
      <c r="CP273" s="38"/>
      <c r="CQ273" s="38"/>
      <c r="CR273" s="38"/>
      <c r="CS273" s="38"/>
      <c r="CT273" s="38"/>
      <c r="CU273" s="38"/>
      <c r="CV273" s="38"/>
      <c r="CW273" s="38"/>
      <c r="CX273" s="38"/>
      <c r="CY273" s="38"/>
      <c r="CZ273" s="38"/>
      <c r="DA273" s="38"/>
      <c r="DB273" s="38"/>
      <c r="DC273" s="38"/>
      <c r="DD273" s="38"/>
      <c r="DE273" s="38"/>
      <c r="DF273" s="38"/>
      <c r="DG273" s="38"/>
      <c r="DH273" s="38"/>
      <c r="DI273" s="38"/>
      <c r="DJ273" s="38"/>
      <c r="DK273" s="38"/>
      <c r="DL273" s="38"/>
      <c r="DM273" s="38"/>
      <c r="DN273" s="38"/>
      <c r="DO273" s="38"/>
      <c r="DP273" s="38"/>
      <c r="DQ273" s="38"/>
      <c r="DR273" s="38"/>
      <c r="DS273" s="38"/>
      <c r="DT273" s="38"/>
    </row>
    <row r="274" spans="1:124" s="5" customFormat="1" ht="30" customHeight="1" x14ac:dyDescent="0.25">
      <c r="A274" s="484"/>
      <c r="B274" s="136" t="s">
        <v>543</v>
      </c>
      <c r="C274" s="475">
        <v>148747</v>
      </c>
      <c r="D274" s="99"/>
      <c r="E274" s="140" t="s">
        <v>40</v>
      </c>
      <c r="F274" s="445" t="s">
        <v>417</v>
      </c>
      <c r="G274" s="445" t="s">
        <v>279</v>
      </c>
      <c r="H274" s="140">
        <v>1956</v>
      </c>
      <c r="I274" s="140" t="s">
        <v>418</v>
      </c>
      <c r="J274" s="141" t="s">
        <v>44</v>
      </c>
      <c r="K274" s="142">
        <v>93.1</v>
      </c>
      <c r="L274" s="434">
        <v>73</v>
      </c>
      <c r="M274" s="434">
        <v>81</v>
      </c>
      <c r="N274" s="436">
        <v>83</v>
      </c>
      <c r="O274" s="52">
        <f t="shared" si="77"/>
        <v>83</v>
      </c>
      <c r="P274" s="436">
        <v>96</v>
      </c>
      <c r="Q274" s="436">
        <v>103</v>
      </c>
      <c r="R274" s="436">
        <v>-110</v>
      </c>
      <c r="S274" s="52">
        <f t="shared" si="78"/>
        <v>103</v>
      </c>
      <c r="T274" s="489">
        <f t="shared" si="85"/>
        <v>186</v>
      </c>
      <c r="U274" s="48" t="str">
        <f t="shared" si="79"/>
        <v>DPT + 6</v>
      </c>
      <c r="V274" s="48" t="str">
        <f>IF(E274=0," ",IF(E274="H",IF(H274&lt;1999,VLOOKUP(K274,Minimas!$A$15:$F$29,6),IF(AND(H274&gt;1998,H274&lt;2002),VLOOKUP(K274,Minimas!$A$15:$F$29,5),IF(AND(H274&gt;2001,H274&lt;2004),VLOOKUP(K274,Minimas!$A$15:$F$29,4),IF(AND(H274&gt;2003,H274&lt;2006),VLOOKUP(K274,Minimas!$A$15:$F$29,3),VLOOKUP(K274,Minimas!$A$15:$F$29,2))))),IF(H274&lt;1999,VLOOKUP(K274,Minimas!$G$15:$L$29,6),IF(AND(H274&gt;1998,H274&lt;2002),VLOOKUP(K274,Minimas!$G$15:$L$29,5),IF(AND(H274&gt;2001,H274&lt;2004),VLOOKUP(K274,Minimas!$G$15:$L$29,4),IF(AND(H274&gt;2003,H274&lt;2006),VLOOKUP(K274,Minimas!$G$15:$L$29,3),VLOOKUP(K274,Minimas!$G$15:$L$29,2)))))))</f>
        <v>SE M96</v>
      </c>
      <c r="W274" s="49">
        <f t="shared" si="80"/>
        <v>212.09111935963509</v>
      </c>
      <c r="X274" s="257">
        <v>43576</v>
      </c>
      <c r="Y274" s="261" t="s">
        <v>860</v>
      </c>
      <c r="Z274" s="261" t="s">
        <v>861</v>
      </c>
      <c r="AA274" s="232"/>
      <c r="AB274" s="230">
        <f>T274-HLOOKUP(V274,Minimas!$C$3:$CD$12,2,FALSE)</f>
        <v>31</v>
      </c>
      <c r="AC274" s="230">
        <f>T274-HLOOKUP(V274,Minimas!$C$3:$CD$12,3,FALSE)</f>
        <v>6</v>
      </c>
      <c r="AD274" s="230">
        <f>T274-HLOOKUP(V274,Minimas!$C$3:$CD$12,4,FALSE)</f>
        <v>-19</v>
      </c>
      <c r="AE274" s="230">
        <f>T274-HLOOKUP(V274,Minimas!$C$3:$CD$12,5,FALSE)</f>
        <v>-49</v>
      </c>
      <c r="AF274" s="230">
        <f>T274-HLOOKUP(V274,Minimas!$C$3:$CD$12,6,FALSE)</f>
        <v>-79</v>
      </c>
      <c r="AG274" s="230">
        <f>T274-HLOOKUP(V274,Minimas!$C$3:$CD$12,7,FALSE)</f>
        <v>-109</v>
      </c>
      <c r="AH274" s="230">
        <f>T274-HLOOKUP(V274,Minimas!$C$3:$CD$12,8,FALSE)</f>
        <v>-134</v>
      </c>
      <c r="AI274" s="230">
        <f>T274-HLOOKUP(V274,Minimas!$C$3:$CD$12,9,FALSE)</f>
        <v>-154</v>
      </c>
      <c r="AJ274" s="230">
        <f>T274-HLOOKUP(V274,Minimas!$C$3:$CD$12,10,FALSE)</f>
        <v>-174</v>
      </c>
      <c r="AK274" s="231" t="str">
        <f t="shared" si="81"/>
        <v>DPT +</v>
      </c>
      <c r="AL274" s="232"/>
      <c r="AM274" s="232" t="str">
        <f t="shared" si="82"/>
        <v>DPT +</v>
      </c>
      <c r="AN274" s="232">
        <f t="shared" si="83"/>
        <v>6</v>
      </c>
      <c r="AO274" s="232"/>
      <c r="AP274" s="485"/>
      <c r="AQ274" s="485"/>
      <c r="AR274" s="485"/>
      <c r="AS274" s="485"/>
      <c r="AT274" s="485"/>
      <c r="AU274" s="485"/>
      <c r="AV274" s="485"/>
      <c r="AW274" s="485"/>
      <c r="AX274" s="485"/>
      <c r="AY274" s="485"/>
      <c r="AZ274" s="485"/>
      <c r="BA274" s="485"/>
      <c r="BB274" s="485"/>
      <c r="BC274" s="485"/>
      <c r="BD274" s="485"/>
      <c r="BE274" s="485"/>
      <c r="BF274" s="485"/>
      <c r="BG274" s="485"/>
      <c r="BH274" s="485"/>
      <c r="BI274" s="485"/>
      <c r="BJ274" s="485"/>
      <c r="BK274" s="485"/>
      <c r="BL274" s="485"/>
      <c r="BM274" s="485"/>
      <c r="BN274" s="485"/>
      <c r="BO274" s="485"/>
      <c r="BP274" s="485"/>
      <c r="BQ274" s="485"/>
      <c r="BR274" s="485"/>
      <c r="BS274" s="485"/>
      <c r="BT274" s="485"/>
      <c r="BU274" s="485"/>
      <c r="BV274" s="485"/>
      <c r="BW274" s="485"/>
      <c r="BX274" s="485"/>
      <c r="BY274" s="485"/>
      <c r="BZ274" s="485"/>
      <c r="CA274" s="485"/>
      <c r="CB274" s="485"/>
      <c r="CC274" s="485"/>
      <c r="CD274" s="485"/>
      <c r="CE274" s="485"/>
      <c r="CF274" s="485"/>
      <c r="CG274" s="485"/>
      <c r="CH274" s="485"/>
      <c r="CI274" s="485"/>
      <c r="CJ274" s="485"/>
      <c r="CK274" s="485"/>
      <c r="CL274" s="485"/>
      <c r="CM274" s="485"/>
      <c r="CN274" s="485"/>
      <c r="CO274" s="485"/>
      <c r="CP274" s="485"/>
      <c r="CQ274" s="485"/>
      <c r="CR274" s="485"/>
      <c r="CS274" s="485"/>
      <c r="CT274" s="485"/>
      <c r="CU274" s="485"/>
      <c r="CV274" s="485"/>
      <c r="CW274" s="485"/>
      <c r="CX274" s="485"/>
      <c r="CY274" s="485"/>
      <c r="CZ274" s="485"/>
      <c r="DA274" s="485"/>
      <c r="DB274" s="485"/>
      <c r="DC274" s="485"/>
      <c r="DD274" s="485"/>
      <c r="DE274" s="485"/>
      <c r="DF274" s="485"/>
      <c r="DG274" s="485"/>
      <c r="DH274" s="485"/>
      <c r="DI274" s="485"/>
      <c r="DJ274" s="485"/>
      <c r="DK274" s="485"/>
      <c r="DL274" s="485"/>
      <c r="DM274" s="485"/>
      <c r="DN274" s="485"/>
      <c r="DO274" s="485"/>
      <c r="DP274" s="485"/>
      <c r="DQ274" s="485"/>
      <c r="DR274" s="485"/>
      <c r="DS274" s="485"/>
      <c r="DT274" s="485"/>
    </row>
    <row r="275" spans="1:124" s="5" customFormat="1" ht="30" customHeight="1" x14ac:dyDescent="0.25">
      <c r="B275" s="136" t="s">
        <v>543</v>
      </c>
      <c r="C275" s="116">
        <v>435284</v>
      </c>
      <c r="D275" s="265"/>
      <c r="E275" s="175" t="s">
        <v>40</v>
      </c>
      <c r="F275" s="266" t="s">
        <v>531</v>
      </c>
      <c r="G275" s="125" t="s">
        <v>460</v>
      </c>
      <c r="H275" s="267">
        <v>1988</v>
      </c>
      <c r="I275" s="127" t="s">
        <v>560</v>
      </c>
      <c r="J275" s="120"/>
      <c r="K275" s="182">
        <v>94.2</v>
      </c>
      <c r="L275" s="109">
        <v>75</v>
      </c>
      <c r="M275" s="109">
        <v>80</v>
      </c>
      <c r="N275" s="160">
        <v>-85</v>
      </c>
      <c r="O275" s="52">
        <f t="shared" si="77"/>
        <v>80</v>
      </c>
      <c r="P275" s="109">
        <v>95</v>
      </c>
      <c r="Q275" s="109">
        <v>100</v>
      </c>
      <c r="R275" s="109">
        <v>105</v>
      </c>
      <c r="S275" s="52">
        <f t="shared" si="78"/>
        <v>105</v>
      </c>
      <c r="T275" s="51">
        <f t="shared" si="85"/>
        <v>185</v>
      </c>
      <c r="U275" s="48" t="str">
        <f t="shared" si="79"/>
        <v>DPT + 5</v>
      </c>
      <c r="V275" s="48" t="str">
        <f>IF(E275=0," ",IF(E275="H",IF(H275&lt;1999,VLOOKUP(K275,Minimas!$A$15:$F$29,6),IF(AND(H275&gt;1998,H275&lt;2002),VLOOKUP(K275,Minimas!$A$15:$F$29,5),IF(AND(H275&gt;2001,H275&lt;2004),VLOOKUP(K275,Minimas!$A$15:$F$29,4),IF(AND(H275&gt;2003,H275&lt;2006),VLOOKUP(K275,Minimas!$A$15:$F$29,3),VLOOKUP(K275,Minimas!$A$15:$F$29,2))))),IF(H275&lt;1999,VLOOKUP(K275,Minimas!$G$15:$L$29,6),IF(AND(H275&gt;1998,H275&lt;2002),VLOOKUP(K275,Minimas!$G$15:$L$29,5),IF(AND(H275&gt;2001,H275&lt;2004),VLOOKUP(K275,Minimas!$G$15:$L$29,4),IF(AND(H275&gt;2003,H275&lt;2006),VLOOKUP(K275,Minimas!$G$15:$L$29,3),VLOOKUP(K275,Minimas!$G$15:$L$29,2)))))))</f>
        <v>SE M96</v>
      </c>
      <c r="W275" s="49">
        <f t="shared" si="80"/>
        <v>209.93674573582157</v>
      </c>
      <c r="X275" s="257">
        <v>43484</v>
      </c>
      <c r="Y275" s="261" t="s">
        <v>630</v>
      </c>
      <c r="Z275" s="261" t="s">
        <v>581</v>
      </c>
      <c r="AA275" s="232"/>
      <c r="AB275" s="230">
        <f>T275-HLOOKUP(V275,Minimas!$C$3:$CD$12,2,FALSE)</f>
        <v>30</v>
      </c>
      <c r="AC275" s="230">
        <f>T275-HLOOKUP(V275,Minimas!$C$3:$CD$12,3,FALSE)</f>
        <v>5</v>
      </c>
      <c r="AD275" s="230">
        <f>T275-HLOOKUP(V275,Minimas!$C$3:$CD$12,4,FALSE)</f>
        <v>-20</v>
      </c>
      <c r="AE275" s="230">
        <f>T275-HLOOKUP(V275,Minimas!$C$3:$CD$12,5,FALSE)</f>
        <v>-50</v>
      </c>
      <c r="AF275" s="230">
        <f>T275-HLOOKUP(V275,Minimas!$C$3:$CD$12,6,FALSE)</f>
        <v>-80</v>
      </c>
      <c r="AG275" s="230">
        <f>T275-HLOOKUP(V275,Minimas!$C$3:$CD$12,7,FALSE)</f>
        <v>-110</v>
      </c>
      <c r="AH275" s="230">
        <f>T275-HLOOKUP(V275,Minimas!$C$3:$CD$12,8,FALSE)</f>
        <v>-135</v>
      </c>
      <c r="AI275" s="230">
        <f>T275-HLOOKUP(V275,Minimas!$C$3:$CD$12,9,FALSE)</f>
        <v>-155</v>
      </c>
      <c r="AJ275" s="230">
        <f>T275-HLOOKUP(V275,Minimas!$C$3:$CD$12,10,FALSE)</f>
        <v>-175</v>
      </c>
      <c r="AK275" s="231" t="str">
        <f t="shared" si="81"/>
        <v>DPT +</v>
      </c>
      <c r="AL275" s="232"/>
      <c r="AM275" s="232" t="str">
        <f t="shared" si="82"/>
        <v>DPT +</v>
      </c>
      <c r="AN275" s="232">
        <f t="shared" si="83"/>
        <v>5</v>
      </c>
      <c r="AO275" s="232"/>
      <c r="AP275" s="38"/>
      <c r="AQ275" s="38"/>
      <c r="AR275" s="38"/>
      <c r="AS275" s="38"/>
      <c r="AT275" s="38"/>
      <c r="AU275" s="38"/>
      <c r="AV275" s="38"/>
      <c r="AW275" s="38"/>
      <c r="AX275" s="38"/>
      <c r="AY275" s="38"/>
      <c r="AZ275" s="38"/>
      <c r="BA275" s="38"/>
      <c r="BB275" s="38"/>
      <c r="BC275" s="38"/>
      <c r="BD275" s="38"/>
      <c r="BE275" s="38"/>
      <c r="BF275" s="38"/>
      <c r="BG275" s="38"/>
      <c r="BH275" s="38"/>
      <c r="BI275" s="38"/>
      <c r="BJ275" s="38"/>
      <c r="BK275" s="38"/>
      <c r="BL275" s="38"/>
      <c r="BM275" s="38"/>
      <c r="BN275" s="38"/>
      <c r="BO275" s="38"/>
      <c r="BP275" s="38"/>
      <c r="BQ275" s="38"/>
      <c r="BR275" s="38"/>
      <c r="BS275" s="38"/>
      <c r="BT275" s="38"/>
      <c r="BU275" s="38"/>
      <c r="BV275" s="38"/>
      <c r="BW275" s="38"/>
      <c r="BX275" s="38"/>
      <c r="BY275" s="38"/>
      <c r="BZ275" s="38"/>
      <c r="CA275" s="38"/>
      <c r="CB275" s="38"/>
      <c r="CC275" s="38"/>
      <c r="CD275" s="38"/>
      <c r="CE275" s="38"/>
      <c r="CF275" s="38"/>
      <c r="CG275" s="38"/>
      <c r="CH275" s="38"/>
      <c r="CI275" s="38"/>
      <c r="CJ275" s="38"/>
      <c r="CK275" s="38"/>
      <c r="CL275" s="38"/>
      <c r="CM275" s="38"/>
      <c r="CN275" s="38"/>
      <c r="CO275" s="38"/>
      <c r="CP275" s="38"/>
      <c r="CQ275" s="38"/>
      <c r="CR275" s="38"/>
      <c r="CS275" s="38"/>
      <c r="CT275" s="38"/>
      <c r="CU275" s="38"/>
      <c r="CV275" s="38"/>
      <c r="CW275" s="38"/>
      <c r="CX275" s="38"/>
      <c r="CY275" s="38"/>
      <c r="CZ275" s="38"/>
      <c r="DA275" s="38"/>
      <c r="DB275" s="38"/>
      <c r="DC275" s="38"/>
      <c r="DD275" s="38"/>
      <c r="DE275" s="38"/>
      <c r="DF275" s="38"/>
      <c r="DG275" s="38"/>
      <c r="DH275" s="38"/>
      <c r="DI275" s="38"/>
      <c r="DJ275" s="38"/>
      <c r="DK275" s="38"/>
      <c r="DL275" s="38"/>
      <c r="DM275" s="38"/>
      <c r="DN275" s="38"/>
      <c r="DO275" s="38"/>
      <c r="DP275" s="38"/>
      <c r="DQ275" s="38"/>
      <c r="DR275" s="38"/>
      <c r="DS275" s="38"/>
      <c r="DT275" s="38"/>
    </row>
    <row r="276" spans="1:124" s="5" customFormat="1" ht="30" customHeight="1" x14ac:dyDescent="0.3">
      <c r="B276" s="136" t="s">
        <v>543</v>
      </c>
      <c r="C276" s="116">
        <v>444335</v>
      </c>
      <c r="D276" s="122"/>
      <c r="E276" s="175" t="s">
        <v>40</v>
      </c>
      <c r="F276" s="124" t="s">
        <v>412</v>
      </c>
      <c r="G276" s="125" t="s">
        <v>413</v>
      </c>
      <c r="H276" s="156">
        <v>1994</v>
      </c>
      <c r="I276" s="159" t="s">
        <v>170</v>
      </c>
      <c r="J276" s="104" t="s">
        <v>44</v>
      </c>
      <c r="K276" s="126">
        <v>90.9</v>
      </c>
      <c r="L276" s="130">
        <v>-73</v>
      </c>
      <c r="M276" s="130">
        <v>-76</v>
      </c>
      <c r="N276" s="109">
        <v>76</v>
      </c>
      <c r="O276" s="490">
        <f t="shared" si="77"/>
        <v>76</v>
      </c>
      <c r="P276" s="133">
        <v>95</v>
      </c>
      <c r="Q276" s="133">
        <v>102</v>
      </c>
      <c r="R276" s="133">
        <v>108</v>
      </c>
      <c r="S276" s="490">
        <f t="shared" si="78"/>
        <v>108</v>
      </c>
      <c r="T276" s="489">
        <f t="shared" si="85"/>
        <v>184</v>
      </c>
      <c r="U276" s="48" t="str">
        <f t="shared" si="79"/>
        <v>DPT + 4</v>
      </c>
      <c r="V276" s="48" t="str">
        <f>IF(E276=0," ",IF(E276="H",IF(H276&lt;1999,VLOOKUP(K276,Minimas!$A$15:$F$29,6),IF(AND(H276&gt;1998,H276&lt;2002),VLOOKUP(K276,Minimas!$A$15:$F$29,5),IF(AND(H276&gt;2001,H276&lt;2004),VLOOKUP(K276,Minimas!$A$15:$F$29,4),IF(AND(H276&gt;2003,H276&lt;2006),VLOOKUP(K276,Minimas!$A$15:$F$29,3),VLOOKUP(K276,Minimas!$A$15:$F$29,2))))),IF(H276&lt;1999,VLOOKUP(K276,Minimas!$G$15:$L$29,6),IF(AND(H276&gt;1998,H276&lt;2002),VLOOKUP(K276,Minimas!$G$15:$L$29,5),IF(AND(H276&gt;2001,H276&lt;2004),VLOOKUP(K276,Minimas!$G$15:$L$29,4),IF(AND(H276&gt;2003,H276&lt;2006),VLOOKUP(K276,Minimas!$G$15:$L$29,3),VLOOKUP(K276,Minimas!$G$15:$L$29,2)))))))</f>
        <v>SE M96</v>
      </c>
      <c r="W276" s="49">
        <f t="shared" si="80"/>
        <v>211.93815379778957</v>
      </c>
      <c r="X276" s="184">
        <v>43401</v>
      </c>
      <c r="Y276" s="284" t="s">
        <v>507</v>
      </c>
      <c r="Z276" s="284" t="s">
        <v>506</v>
      </c>
      <c r="AA276" s="232"/>
      <c r="AB276" s="230">
        <f>T276-HLOOKUP(V276,Minimas!$C$3:$CD$12,2,FALSE)</f>
        <v>29</v>
      </c>
      <c r="AC276" s="230">
        <f>T276-HLOOKUP(V276,Minimas!$C$3:$CD$12,3,FALSE)</f>
        <v>4</v>
      </c>
      <c r="AD276" s="230">
        <f>T276-HLOOKUP(V276,Minimas!$C$3:$CD$12,4,FALSE)</f>
        <v>-21</v>
      </c>
      <c r="AE276" s="230">
        <f>T276-HLOOKUP(V276,Minimas!$C$3:$CD$12,5,FALSE)</f>
        <v>-51</v>
      </c>
      <c r="AF276" s="230">
        <f>T276-HLOOKUP(V276,Minimas!$C$3:$CD$12,6,FALSE)</f>
        <v>-81</v>
      </c>
      <c r="AG276" s="230">
        <f>T276-HLOOKUP(V276,Minimas!$C$3:$CD$12,7,FALSE)</f>
        <v>-111</v>
      </c>
      <c r="AH276" s="230">
        <f>T276-HLOOKUP(V276,Minimas!$C$3:$CD$12,8,FALSE)</f>
        <v>-136</v>
      </c>
      <c r="AI276" s="230">
        <f>T276-HLOOKUP(V276,Minimas!$C$3:$CD$12,9,FALSE)</f>
        <v>-156</v>
      </c>
      <c r="AJ276" s="230">
        <f>T276-HLOOKUP(V276,Minimas!$C$3:$CD$12,10,FALSE)</f>
        <v>-176</v>
      </c>
      <c r="AK276" s="231" t="str">
        <f t="shared" si="81"/>
        <v>DPT +</v>
      </c>
      <c r="AL276" s="232"/>
      <c r="AM276" s="232" t="str">
        <f t="shared" si="82"/>
        <v>DPT +</v>
      </c>
      <c r="AN276" s="232">
        <f t="shared" si="83"/>
        <v>4</v>
      </c>
      <c r="AO276" s="232"/>
      <c r="AP276" s="38"/>
      <c r="AQ276" s="38"/>
      <c r="AR276" s="38"/>
      <c r="AS276" s="38"/>
      <c r="AT276" s="38"/>
      <c r="AU276" s="38"/>
      <c r="AV276" s="38"/>
      <c r="AW276" s="38"/>
      <c r="AX276" s="38"/>
      <c r="AY276" s="38"/>
      <c r="AZ276" s="38"/>
      <c r="BA276" s="38"/>
      <c r="BB276" s="38"/>
      <c r="BC276" s="38"/>
      <c r="BD276" s="38"/>
      <c r="BE276" s="38"/>
      <c r="BF276" s="38"/>
      <c r="BG276" s="38"/>
      <c r="BH276" s="38"/>
      <c r="BI276" s="38"/>
      <c r="BJ276" s="38"/>
      <c r="BK276" s="38"/>
      <c r="BL276" s="38"/>
      <c r="BM276" s="38"/>
      <c r="BN276" s="38"/>
      <c r="BO276" s="38"/>
      <c r="BP276" s="38"/>
      <c r="BQ276" s="38"/>
      <c r="BR276" s="38"/>
      <c r="BS276" s="38"/>
      <c r="BT276" s="38"/>
      <c r="BU276" s="38"/>
      <c r="BV276" s="38"/>
      <c r="BW276" s="38"/>
      <c r="BX276" s="38"/>
      <c r="BY276" s="38"/>
      <c r="BZ276" s="38"/>
      <c r="CA276" s="38"/>
      <c r="CB276" s="38"/>
      <c r="CC276" s="38"/>
      <c r="CD276" s="38"/>
      <c r="CE276" s="38"/>
      <c r="CF276" s="38"/>
      <c r="CG276" s="38"/>
      <c r="CH276" s="38"/>
      <c r="CI276" s="38"/>
      <c r="CJ276" s="38"/>
      <c r="CK276" s="38"/>
      <c r="CL276" s="38"/>
      <c r="CM276" s="38"/>
      <c r="CN276" s="38"/>
      <c r="CO276" s="38"/>
      <c r="CP276" s="38"/>
      <c r="CQ276" s="38"/>
      <c r="CR276" s="38"/>
      <c r="CS276" s="38"/>
      <c r="CT276" s="38"/>
      <c r="CU276" s="38"/>
      <c r="CV276" s="38"/>
      <c r="CW276" s="38"/>
      <c r="CX276" s="38"/>
      <c r="CY276" s="38"/>
      <c r="CZ276" s="38"/>
      <c r="DA276" s="38"/>
      <c r="DB276" s="38"/>
      <c r="DC276" s="38"/>
      <c r="DD276" s="38"/>
      <c r="DE276" s="38"/>
      <c r="DF276" s="38"/>
      <c r="DG276" s="38"/>
      <c r="DH276" s="38"/>
      <c r="DI276" s="38"/>
      <c r="DJ276" s="38"/>
      <c r="DK276" s="38"/>
      <c r="DL276" s="38"/>
      <c r="DM276" s="38"/>
      <c r="DN276" s="38"/>
      <c r="DO276" s="38"/>
      <c r="DP276" s="38"/>
      <c r="DQ276" s="38"/>
      <c r="DR276" s="38"/>
      <c r="DS276" s="38"/>
      <c r="DT276" s="38"/>
    </row>
    <row r="277" spans="1:124" s="5" customFormat="1" ht="30" customHeight="1" x14ac:dyDescent="0.3">
      <c r="B277" s="136" t="s">
        <v>543</v>
      </c>
      <c r="C277" s="116">
        <v>438348</v>
      </c>
      <c r="D277" s="119"/>
      <c r="E277" s="175" t="s">
        <v>40</v>
      </c>
      <c r="F277" s="124" t="s">
        <v>415</v>
      </c>
      <c r="G277" s="125" t="s">
        <v>416</v>
      </c>
      <c r="H277" s="156">
        <v>1976</v>
      </c>
      <c r="I277" s="127" t="s">
        <v>324</v>
      </c>
      <c r="J277" s="104" t="s">
        <v>44</v>
      </c>
      <c r="K277" s="126">
        <v>90.2</v>
      </c>
      <c r="L277" s="109">
        <v>73</v>
      </c>
      <c r="M277" s="161">
        <v>-77</v>
      </c>
      <c r="N277" s="109">
        <v>80</v>
      </c>
      <c r="O277" s="52">
        <f t="shared" si="77"/>
        <v>80</v>
      </c>
      <c r="P277" s="133">
        <v>95</v>
      </c>
      <c r="Q277" s="133">
        <v>100</v>
      </c>
      <c r="R277" s="130">
        <v>-106</v>
      </c>
      <c r="S277" s="52">
        <f t="shared" si="78"/>
        <v>100</v>
      </c>
      <c r="T277" s="51">
        <f t="shared" si="85"/>
        <v>180</v>
      </c>
      <c r="U277" s="48" t="str">
        <f t="shared" si="79"/>
        <v>DPT + 0</v>
      </c>
      <c r="V277" s="48" t="str">
        <f>IF(E277=0," ",IF(E277="H",IF(H277&lt;1999,VLOOKUP(K277,Minimas!$A$15:$F$29,6),IF(AND(H277&gt;1998,H277&lt;2002),VLOOKUP(K277,Minimas!$A$15:$F$29,5),IF(AND(H277&gt;2001,H277&lt;2004),VLOOKUP(K277,Minimas!$A$15:$F$29,4),IF(AND(H277&gt;2003,H277&lt;2006),VLOOKUP(K277,Minimas!$A$15:$F$29,3),VLOOKUP(K277,Minimas!$A$15:$F$29,2))))),IF(H277&lt;1999,VLOOKUP(K277,Minimas!$G$15:$L$29,6),IF(AND(H277&gt;1998,H277&lt;2002),VLOOKUP(K277,Minimas!$G$15:$L$29,5),IF(AND(H277&gt;2001,H277&lt;2004),VLOOKUP(K277,Minimas!$G$15:$L$29,4),IF(AND(H277&gt;2003,H277&lt;2006),VLOOKUP(K277,Minimas!$G$15:$L$29,3),VLOOKUP(K277,Minimas!$G$15:$L$29,2)))))))</f>
        <v>SE M96</v>
      </c>
      <c r="W277" s="49">
        <f t="shared" si="80"/>
        <v>208.02474260006019</v>
      </c>
      <c r="X277" s="184">
        <v>43401</v>
      </c>
      <c r="Y277" s="284" t="s">
        <v>507</v>
      </c>
      <c r="Z277" s="284" t="s">
        <v>506</v>
      </c>
      <c r="AA277" s="232"/>
      <c r="AB277" s="230">
        <f>T277-HLOOKUP(V277,Minimas!$C$3:$CD$12,2,FALSE)</f>
        <v>25</v>
      </c>
      <c r="AC277" s="230">
        <f>T277-HLOOKUP(V277,Minimas!$C$3:$CD$12,3,FALSE)</f>
        <v>0</v>
      </c>
      <c r="AD277" s="230">
        <f>T277-HLOOKUP(V277,Minimas!$C$3:$CD$12,4,FALSE)</f>
        <v>-25</v>
      </c>
      <c r="AE277" s="230">
        <f>T277-HLOOKUP(V277,Minimas!$C$3:$CD$12,5,FALSE)</f>
        <v>-55</v>
      </c>
      <c r="AF277" s="230">
        <f>T277-HLOOKUP(V277,Minimas!$C$3:$CD$12,6,FALSE)</f>
        <v>-85</v>
      </c>
      <c r="AG277" s="230">
        <f>T277-HLOOKUP(V277,Minimas!$C$3:$CD$12,7,FALSE)</f>
        <v>-115</v>
      </c>
      <c r="AH277" s="230">
        <f>T277-HLOOKUP(V277,Minimas!$C$3:$CD$12,8,FALSE)</f>
        <v>-140</v>
      </c>
      <c r="AI277" s="230">
        <f>T277-HLOOKUP(V277,Minimas!$C$3:$CD$12,9,FALSE)</f>
        <v>-160</v>
      </c>
      <c r="AJ277" s="230">
        <f>T277-HLOOKUP(V277,Minimas!$C$3:$CD$12,10,FALSE)</f>
        <v>-180</v>
      </c>
      <c r="AK277" s="231" t="str">
        <f t="shared" si="81"/>
        <v>DPT +</v>
      </c>
      <c r="AL277" s="232"/>
      <c r="AM277" s="232" t="str">
        <f t="shared" si="82"/>
        <v>DPT +</v>
      </c>
      <c r="AN277" s="232">
        <f t="shared" si="83"/>
        <v>0</v>
      </c>
      <c r="AO277" s="232"/>
      <c r="AP277" s="38"/>
      <c r="AQ277" s="38"/>
      <c r="AR277" s="38"/>
      <c r="AS277" s="38"/>
      <c r="AT277" s="38"/>
      <c r="AU277" s="38"/>
      <c r="AV277" s="38"/>
      <c r="AW277" s="38"/>
      <c r="AX277" s="38"/>
      <c r="AY277" s="38"/>
      <c r="AZ277" s="38"/>
      <c r="BA277" s="38"/>
      <c r="BB277" s="38"/>
      <c r="BC277" s="38"/>
      <c r="BD277" s="38"/>
      <c r="BE277" s="38"/>
      <c r="BF277" s="38"/>
      <c r="BG277" s="38"/>
      <c r="BH277" s="38"/>
      <c r="BI277" s="38"/>
      <c r="BJ277" s="38"/>
      <c r="BK277" s="38"/>
      <c r="BL277" s="38"/>
      <c r="BM277" s="38"/>
      <c r="BN277" s="38"/>
      <c r="BO277" s="38"/>
      <c r="BP277" s="38"/>
      <c r="BQ277" s="38"/>
      <c r="BR277" s="38"/>
      <c r="BS277" s="38"/>
      <c r="BT277" s="38"/>
      <c r="BU277" s="38"/>
      <c r="BV277" s="38"/>
      <c r="BW277" s="38"/>
      <c r="BX277" s="38"/>
      <c r="BY277" s="38"/>
      <c r="BZ277" s="38"/>
      <c r="CA277" s="38"/>
      <c r="CB277" s="38"/>
      <c r="CC277" s="38"/>
      <c r="CD277" s="38"/>
      <c r="CE277" s="38"/>
      <c r="CF277" s="38"/>
      <c r="CG277" s="38"/>
      <c r="CH277" s="38"/>
      <c r="CI277" s="38"/>
      <c r="CJ277" s="38"/>
      <c r="CK277" s="38"/>
      <c r="CL277" s="38"/>
      <c r="CM277" s="38"/>
      <c r="CN277" s="38"/>
      <c r="CO277" s="38"/>
      <c r="CP277" s="38"/>
      <c r="CQ277" s="38"/>
      <c r="CR277" s="38"/>
      <c r="CS277" s="38"/>
      <c r="CT277" s="38"/>
      <c r="CU277" s="38"/>
      <c r="CV277" s="38"/>
      <c r="CW277" s="38"/>
      <c r="CX277" s="38"/>
      <c r="CY277" s="38"/>
      <c r="CZ277" s="38"/>
      <c r="DA277" s="38"/>
      <c r="DB277" s="38"/>
      <c r="DC277" s="38"/>
      <c r="DD277" s="38"/>
      <c r="DE277" s="38"/>
      <c r="DF277" s="38"/>
      <c r="DG277" s="38"/>
      <c r="DH277" s="38"/>
      <c r="DI277" s="38"/>
      <c r="DJ277" s="38"/>
      <c r="DK277" s="38"/>
      <c r="DL277" s="38"/>
      <c r="DM277" s="38"/>
      <c r="DN277" s="38"/>
      <c r="DO277" s="38"/>
      <c r="DP277" s="38"/>
      <c r="DQ277" s="38"/>
      <c r="DR277" s="38"/>
      <c r="DS277" s="38"/>
      <c r="DT277" s="38"/>
    </row>
    <row r="278" spans="1:124" s="5" customFormat="1" ht="30" customHeight="1" x14ac:dyDescent="0.25">
      <c r="B278" s="136" t="s">
        <v>543</v>
      </c>
      <c r="C278" s="116">
        <v>445666</v>
      </c>
      <c r="D278" s="265"/>
      <c r="E278" s="175" t="s">
        <v>40</v>
      </c>
      <c r="F278" s="266" t="s">
        <v>627</v>
      </c>
      <c r="G278" s="125" t="s">
        <v>628</v>
      </c>
      <c r="H278" s="267">
        <v>1994</v>
      </c>
      <c r="I278" s="127" t="s">
        <v>322</v>
      </c>
      <c r="J278" s="120"/>
      <c r="K278" s="182">
        <v>93</v>
      </c>
      <c r="L278" s="109">
        <v>66</v>
      </c>
      <c r="M278" s="109">
        <v>71</v>
      </c>
      <c r="N278" s="109">
        <v>77</v>
      </c>
      <c r="O278" s="52">
        <f t="shared" si="77"/>
        <v>77</v>
      </c>
      <c r="P278" s="109">
        <v>90</v>
      </c>
      <c r="Q278" s="109">
        <v>96</v>
      </c>
      <c r="R278" s="109">
        <v>102</v>
      </c>
      <c r="S278" s="52">
        <f t="shared" si="78"/>
        <v>102</v>
      </c>
      <c r="T278" s="51">
        <f t="shared" si="85"/>
        <v>179</v>
      </c>
      <c r="U278" s="48" t="str">
        <f t="shared" si="79"/>
        <v>DEB 24</v>
      </c>
      <c r="V278" s="48" t="str">
        <f>IF(E278=0," ",IF(E278="H",IF(H278&lt;1999,VLOOKUP(K278,Minimas!$A$15:$F$29,6),IF(AND(H278&gt;1998,H278&lt;2002),VLOOKUP(K278,Minimas!$A$15:$F$29,5),IF(AND(H278&gt;2001,H278&lt;2004),VLOOKUP(K278,Minimas!$A$15:$F$29,4),IF(AND(H278&gt;2003,H278&lt;2006),VLOOKUP(K278,Minimas!$A$15:$F$29,3),VLOOKUP(K278,Minimas!$A$15:$F$29,2))))),IF(H278&lt;1999,VLOOKUP(K278,Minimas!$G$15:$L$29,6),IF(AND(H278&gt;1998,H278&lt;2002),VLOOKUP(K278,Minimas!$G$15:$L$29,5),IF(AND(H278&gt;2001,H278&lt;2004),VLOOKUP(K278,Minimas!$G$15:$L$29,4),IF(AND(H278&gt;2003,H278&lt;2006),VLOOKUP(K278,Minimas!$G$15:$L$29,3),VLOOKUP(K278,Minimas!$G$15:$L$29,2)))))))</f>
        <v>SE M96</v>
      </c>
      <c r="W278" s="49">
        <f t="shared" si="80"/>
        <v>204.20012561722481</v>
      </c>
      <c r="X278" s="257">
        <v>43484</v>
      </c>
      <c r="Y278" s="261" t="s">
        <v>630</v>
      </c>
      <c r="Z278" s="261" t="s">
        <v>581</v>
      </c>
      <c r="AA278" s="232"/>
      <c r="AB278" s="230">
        <f>T278-HLOOKUP(V278,Minimas!$C$3:$CD$12,2,FALSE)</f>
        <v>24</v>
      </c>
      <c r="AC278" s="230">
        <f>T278-HLOOKUP(V278,Minimas!$C$3:$CD$12,3,FALSE)</f>
        <v>-1</v>
      </c>
      <c r="AD278" s="230">
        <f>T278-HLOOKUP(V278,Minimas!$C$3:$CD$12,4,FALSE)</f>
        <v>-26</v>
      </c>
      <c r="AE278" s="230">
        <f>T278-HLOOKUP(V278,Minimas!$C$3:$CD$12,5,FALSE)</f>
        <v>-56</v>
      </c>
      <c r="AF278" s="230">
        <f>T278-HLOOKUP(V278,Minimas!$C$3:$CD$12,6,FALSE)</f>
        <v>-86</v>
      </c>
      <c r="AG278" s="230">
        <f>T278-HLOOKUP(V278,Minimas!$C$3:$CD$12,7,FALSE)</f>
        <v>-116</v>
      </c>
      <c r="AH278" s="230">
        <f>T278-HLOOKUP(V278,Minimas!$C$3:$CD$12,8,FALSE)</f>
        <v>-141</v>
      </c>
      <c r="AI278" s="230">
        <f>T278-HLOOKUP(V278,Minimas!$C$3:$CD$12,9,FALSE)</f>
        <v>-161</v>
      </c>
      <c r="AJ278" s="230">
        <f>T278-HLOOKUP(V278,Minimas!$C$3:$CD$12,10,FALSE)</f>
        <v>-181</v>
      </c>
      <c r="AK278" s="231" t="str">
        <f t="shared" si="81"/>
        <v>DEB</v>
      </c>
      <c r="AL278" s="232"/>
      <c r="AM278" s="232" t="str">
        <f t="shared" si="82"/>
        <v>DEB</v>
      </c>
      <c r="AN278" s="232">
        <f t="shared" si="83"/>
        <v>24</v>
      </c>
      <c r="AO278" s="232"/>
      <c r="AP278" s="38"/>
      <c r="AQ278" s="38"/>
      <c r="AR278" s="38"/>
      <c r="AS278" s="38"/>
      <c r="AT278" s="38"/>
      <c r="AU278" s="38"/>
      <c r="AV278" s="38"/>
      <c r="AW278" s="38"/>
      <c r="AX278" s="38"/>
      <c r="AY278" s="38"/>
      <c r="AZ278" s="38"/>
      <c r="BA278" s="38"/>
      <c r="BB278" s="38"/>
      <c r="BC278" s="38"/>
      <c r="BD278" s="38"/>
      <c r="BE278" s="38"/>
      <c r="BF278" s="38"/>
      <c r="BG278" s="38"/>
      <c r="BH278" s="38"/>
      <c r="BI278" s="38"/>
      <c r="BJ278" s="38"/>
      <c r="BK278" s="38"/>
      <c r="BL278" s="38"/>
      <c r="BM278" s="38"/>
      <c r="BN278" s="38"/>
      <c r="BO278" s="38"/>
      <c r="BP278" s="38"/>
      <c r="BQ278" s="38"/>
      <c r="BR278" s="38"/>
      <c r="BS278" s="38"/>
      <c r="BT278" s="38"/>
      <c r="BU278" s="38"/>
      <c r="BV278" s="38"/>
      <c r="BW278" s="38"/>
      <c r="BX278" s="38"/>
      <c r="BY278" s="38"/>
      <c r="BZ278" s="38"/>
      <c r="CA278" s="38"/>
      <c r="CB278" s="38"/>
      <c r="CC278" s="38"/>
      <c r="CD278" s="38"/>
      <c r="CE278" s="38"/>
      <c r="CF278" s="38"/>
      <c r="CG278" s="38"/>
      <c r="CH278" s="38"/>
      <c r="CI278" s="38"/>
      <c r="CJ278" s="38"/>
      <c r="CK278" s="38"/>
      <c r="CL278" s="38"/>
      <c r="CM278" s="38"/>
      <c r="CN278" s="38"/>
      <c r="CO278" s="38"/>
      <c r="CP278" s="38"/>
      <c r="CQ278" s="38"/>
      <c r="CR278" s="38"/>
      <c r="CS278" s="38"/>
      <c r="CT278" s="38"/>
      <c r="CU278" s="38"/>
      <c r="CV278" s="38"/>
      <c r="CW278" s="38"/>
      <c r="CX278" s="38"/>
      <c r="CY278" s="38"/>
      <c r="CZ278" s="38"/>
      <c r="DA278" s="38"/>
      <c r="DB278" s="38"/>
      <c r="DC278" s="38"/>
      <c r="DD278" s="38"/>
      <c r="DE278" s="38"/>
      <c r="DF278" s="38"/>
      <c r="DG278" s="38"/>
      <c r="DH278" s="38"/>
      <c r="DI278" s="38"/>
      <c r="DJ278" s="38"/>
      <c r="DK278" s="38"/>
      <c r="DL278" s="38"/>
      <c r="DM278" s="38"/>
      <c r="DN278" s="38"/>
      <c r="DO278" s="38"/>
      <c r="DP278" s="38"/>
      <c r="DQ278" s="38"/>
      <c r="DR278" s="38"/>
      <c r="DS278" s="38"/>
      <c r="DT278" s="38"/>
    </row>
    <row r="279" spans="1:124" s="5" customFormat="1" ht="30" customHeight="1" x14ac:dyDescent="0.25">
      <c r="A279" s="387"/>
      <c r="B279" s="690" t="s">
        <v>543</v>
      </c>
      <c r="C279" s="690">
        <v>439459</v>
      </c>
      <c r="D279" s="711"/>
      <c r="E279" s="175" t="s">
        <v>40</v>
      </c>
      <c r="F279" s="124" t="s">
        <v>419</v>
      </c>
      <c r="G279" s="125" t="s">
        <v>295</v>
      </c>
      <c r="H279" s="156">
        <v>1988</v>
      </c>
      <c r="I279" s="179" t="s">
        <v>314</v>
      </c>
      <c r="J279" s="764" t="s">
        <v>44</v>
      </c>
      <c r="K279" s="773">
        <v>94.8</v>
      </c>
      <c r="L279" s="109">
        <v>68</v>
      </c>
      <c r="M279" s="109">
        <v>71</v>
      </c>
      <c r="N279" s="109">
        <v>-75</v>
      </c>
      <c r="O279" s="392">
        <v>71</v>
      </c>
      <c r="P279" s="109">
        <v>80</v>
      </c>
      <c r="Q279" s="109">
        <v>84</v>
      </c>
      <c r="R279" s="109">
        <v>90</v>
      </c>
      <c r="S279" s="392">
        <v>90</v>
      </c>
      <c r="T279" s="391">
        <v>161</v>
      </c>
      <c r="U279" s="389" t="s">
        <v>839</v>
      </c>
      <c r="V279" s="426" t="s">
        <v>81</v>
      </c>
      <c r="W279" s="390">
        <v>182.23326171344686</v>
      </c>
      <c r="X279" s="257">
        <v>43554</v>
      </c>
      <c r="Y279" s="261" t="s">
        <v>805</v>
      </c>
      <c r="Z279" s="261" t="s">
        <v>829</v>
      </c>
      <c r="AA279" s="464"/>
      <c r="AB279" s="465">
        <v>6</v>
      </c>
      <c r="AC279" s="465">
        <v>-19</v>
      </c>
      <c r="AD279" s="465">
        <v>-44</v>
      </c>
      <c r="AE279" s="465">
        <v>-74</v>
      </c>
      <c r="AF279" s="465">
        <v>-104</v>
      </c>
      <c r="AG279" s="465">
        <v>-134</v>
      </c>
      <c r="AH279" s="465">
        <v>-159</v>
      </c>
      <c r="AI279" s="465">
        <v>-179</v>
      </c>
      <c r="AJ279" s="465">
        <v>-199</v>
      </c>
      <c r="AK279" s="466" t="s">
        <v>43</v>
      </c>
      <c r="AL279" s="464"/>
      <c r="AM279" s="464" t="s">
        <v>43</v>
      </c>
      <c r="AN279" s="464">
        <v>6</v>
      </c>
      <c r="AO279" s="464"/>
      <c r="AP279" s="388"/>
      <c r="AQ279" s="388"/>
      <c r="AR279" s="388"/>
      <c r="AS279" s="388"/>
      <c r="AT279" s="388"/>
      <c r="AU279" s="388"/>
      <c r="AV279" s="388"/>
      <c r="AW279" s="388"/>
      <c r="AX279" s="388"/>
      <c r="AY279" s="388"/>
      <c r="AZ279" s="388"/>
      <c r="BA279" s="388"/>
      <c r="BB279" s="388"/>
      <c r="BC279" s="388"/>
      <c r="BD279" s="388"/>
      <c r="BE279" s="388"/>
      <c r="BF279" s="388"/>
      <c r="BG279" s="388"/>
      <c r="BH279" s="388"/>
      <c r="BI279" s="388"/>
      <c r="BJ279" s="388"/>
      <c r="BK279" s="388"/>
      <c r="BL279" s="388"/>
      <c r="BM279" s="388"/>
      <c r="BN279" s="388"/>
      <c r="BO279" s="388"/>
      <c r="BP279" s="388"/>
      <c r="BQ279" s="388"/>
      <c r="BR279" s="388"/>
      <c r="BS279" s="388"/>
      <c r="BT279" s="388"/>
      <c r="BU279" s="388"/>
      <c r="BV279" s="388"/>
      <c r="BW279" s="388"/>
      <c r="BX279" s="388"/>
      <c r="BY279" s="388"/>
      <c r="BZ279" s="388"/>
      <c r="CA279" s="388"/>
      <c r="CB279" s="388"/>
      <c r="CC279" s="388"/>
      <c r="CD279" s="388"/>
      <c r="CE279" s="388"/>
      <c r="CF279" s="388"/>
      <c r="CG279" s="388"/>
      <c r="CH279" s="388"/>
      <c r="CI279" s="388"/>
      <c r="CJ279" s="388"/>
      <c r="CK279" s="388"/>
      <c r="CL279" s="388"/>
      <c r="CM279" s="388"/>
      <c r="CN279" s="388"/>
      <c r="CO279" s="388"/>
      <c r="CP279" s="388"/>
      <c r="CQ279" s="388"/>
      <c r="CR279" s="388"/>
      <c r="CS279" s="388"/>
      <c r="CT279" s="388"/>
      <c r="CU279" s="388"/>
      <c r="CV279" s="388"/>
      <c r="CW279" s="388"/>
      <c r="CX279" s="388"/>
      <c r="CY279" s="388"/>
      <c r="CZ279" s="388"/>
      <c r="DA279" s="388"/>
      <c r="DB279" s="388"/>
      <c r="DC279" s="388"/>
      <c r="DD279" s="388"/>
      <c r="DE279" s="388"/>
      <c r="DF279" s="388"/>
      <c r="DG279" s="388"/>
      <c r="DH279" s="388"/>
      <c r="DI279" s="388"/>
      <c r="DJ279" s="388"/>
      <c r="DK279" s="388"/>
      <c r="DL279" s="388"/>
      <c r="DM279" s="388"/>
      <c r="DN279" s="388"/>
      <c r="DO279" s="388"/>
      <c r="DP279" s="388"/>
      <c r="DQ279" s="388"/>
      <c r="DR279" s="388"/>
      <c r="DS279" s="388"/>
      <c r="DT279" s="388"/>
    </row>
    <row r="280" spans="1:124" s="5" customFormat="1" ht="30" customHeight="1" x14ac:dyDescent="0.3">
      <c r="B280" s="136" t="s">
        <v>543</v>
      </c>
      <c r="C280" s="166">
        <v>67456</v>
      </c>
      <c r="D280" s="219"/>
      <c r="E280" s="483" t="s">
        <v>40</v>
      </c>
      <c r="F280" s="143" t="s">
        <v>467</v>
      </c>
      <c r="G280" s="144" t="s">
        <v>426</v>
      </c>
      <c r="H280" s="145">
        <v>1974</v>
      </c>
      <c r="I280" s="172" t="s">
        <v>254</v>
      </c>
      <c r="J280" s="104" t="s">
        <v>44</v>
      </c>
      <c r="K280" s="147">
        <v>94.25</v>
      </c>
      <c r="L280" s="220">
        <v>80</v>
      </c>
      <c r="M280" s="222">
        <v>-85</v>
      </c>
      <c r="N280" s="222">
        <v>0</v>
      </c>
      <c r="O280" s="802">
        <f>IF(E280="","",IF(MAXA(L280:N280)&lt;=0,0,MAXA(L280:N280)))</f>
        <v>80</v>
      </c>
      <c r="P280" s="220">
        <v>80</v>
      </c>
      <c r="Q280" s="222">
        <v>0</v>
      </c>
      <c r="R280" s="222">
        <v>0</v>
      </c>
      <c r="S280" s="52">
        <f>IF(E280="","",IF(MAXA(P280:R280)&lt;=0,0,MAXA(P280:R280)))</f>
        <v>80</v>
      </c>
      <c r="T280" s="51">
        <f>IF(E280="","",IF(OR(O280=0,S280=0),0,O280+S280))</f>
        <v>160</v>
      </c>
      <c r="U280" s="48" t="str">
        <f>+CONCATENATE(AM280," ",AN280)</f>
        <v>DEB 5</v>
      </c>
      <c r="V280" s="48" t="str">
        <f>IF(E280=0," ",IF(E280="H",IF(H280&lt;1999,VLOOKUP(K280,Minimas!$A$15:$F$29,6),IF(AND(H280&gt;1998,H280&lt;2002),VLOOKUP(K280,Minimas!$A$15:$F$29,5),IF(AND(H280&gt;2001,H280&lt;2004),VLOOKUP(K280,Minimas!$A$15:$F$29,4),IF(AND(H280&gt;2003,H280&lt;2006),VLOOKUP(K280,Minimas!$A$15:$F$29,3),VLOOKUP(K280,Minimas!$A$15:$F$29,2))))),IF(H280&lt;1999,VLOOKUP(K280,Minimas!$G$15:$L$29,6),IF(AND(H280&gt;1998,H280&lt;2002),VLOOKUP(K280,Minimas!$G$15:$L$29,5),IF(AND(H280&gt;2001,H280&lt;2004),VLOOKUP(K280,Minimas!$G$15:$L$29,4),IF(AND(H280&gt;2003,H280&lt;2006),VLOOKUP(K280,Minimas!$G$15:$L$29,3),VLOOKUP(K280,Minimas!$G$15:$L$29,2)))))))</f>
        <v>SE M96</v>
      </c>
      <c r="W280" s="49">
        <f>IF(E280=" "," ",IF(E280="H",10^(0.75194503*LOG(K280/175.508)^2)*T280,IF(E280="F",10^(0.783497476* LOG(K280/153.655)^2)*T280,"")))</f>
        <v>181.52777855424364</v>
      </c>
      <c r="X280" s="184">
        <v>43435</v>
      </c>
      <c r="Y280" s="284" t="s">
        <v>526</v>
      </c>
      <c r="Z280" s="284" t="s">
        <v>504</v>
      </c>
      <c r="AA280" s="232"/>
      <c r="AB280" s="230">
        <f>T280-HLOOKUP(V280,Minimas!$C$3:$CD$12,2,FALSE)</f>
        <v>5</v>
      </c>
      <c r="AC280" s="230">
        <f>T280-HLOOKUP(V280,Minimas!$C$3:$CD$12,3,FALSE)</f>
        <v>-20</v>
      </c>
      <c r="AD280" s="230">
        <f>T280-HLOOKUP(V280,Minimas!$C$3:$CD$12,4,FALSE)</f>
        <v>-45</v>
      </c>
      <c r="AE280" s="230">
        <f>T280-HLOOKUP(V280,Minimas!$C$3:$CD$12,5,FALSE)</f>
        <v>-75</v>
      </c>
      <c r="AF280" s="230">
        <f>T280-HLOOKUP(V280,Minimas!$C$3:$CD$12,6,FALSE)</f>
        <v>-105</v>
      </c>
      <c r="AG280" s="230">
        <f>T280-HLOOKUP(V280,Minimas!$C$3:$CD$12,7,FALSE)</f>
        <v>-135</v>
      </c>
      <c r="AH280" s="230">
        <f>T280-HLOOKUP(V280,Minimas!$C$3:$CD$12,8,FALSE)</f>
        <v>-160</v>
      </c>
      <c r="AI280" s="230">
        <f>T280-HLOOKUP(V280,Minimas!$C$3:$CD$12,9,FALSE)</f>
        <v>-180</v>
      </c>
      <c r="AJ280" s="230">
        <f>T280-HLOOKUP(V280,Minimas!$C$3:$CD$12,10,FALSE)</f>
        <v>-200</v>
      </c>
      <c r="AK280" s="231" t="str">
        <f>IF(E280=0," ",IF(AJ280&gt;=0,$AJ$5,IF(AI280&gt;=0,$AI$5,IF(AH280&gt;=0,$AH$5,IF(AG280&gt;=0,$AG$5,IF(AF280&gt;=0,$AF$5,IF(AE280&gt;=0,$AE$5,IF(AD280&gt;=0,$AD$5,IF(AC280&gt;=0,$AC$5,$AB$5)))))))))</f>
        <v>DEB</v>
      </c>
      <c r="AL280" s="232"/>
      <c r="AM280" s="232" t="str">
        <f>IF(AK280="","",AK280)</f>
        <v>DEB</v>
      </c>
      <c r="AN280" s="232">
        <f>IF(E280=0," ",IF(AJ280&gt;=0,AJ280,IF(AI280&gt;=0,AI280,IF(AH280&gt;=0,AH280,IF(AG280&gt;=0,AG280,IF(AF280&gt;=0,AF280,IF(AE280&gt;=0,AE280,IF(AD280&gt;=0,AD280,IF(AC280&gt;=0,AC280,AB280)))))))))</f>
        <v>5</v>
      </c>
      <c r="AO280" s="232"/>
      <c r="AP280" s="38"/>
      <c r="AQ280" s="38"/>
      <c r="AR280" s="38"/>
      <c r="AS280" s="38"/>
      <c r="AT280" s="38"/>
      <c r="AU280" s="38"/>
      <c r="AV280" s="38"/>
      <c r="AW280" s="38"/>
      <c r="AX280" s="38"/>
      <c r="AY280" s="38"/>
      <c r="AZ280" s="38"/>
      <c r="BA280" s="38"/>
      <c r="BB280" s="38"/>
      <c r="BC280" s="38"/>
      <c r="BD280" s="38"/>
      <c r="BE280" s="38"/>
      <c r="BF280" s="38"/>
      <c r="BG280" s="38"/>
      <c r="BH280" s="38"/>
      <c r="BI280" s="38"/>
      <c r="BJ280" s="38"/>
      <c r="BK280" s="38"/>
      <c r="BL280" s="38"/>
      <c r="BM280" s="38"/>
      <c r="BN280" s="38"/>
      <c r="BO280" s="38"/>
      <c r="BP280" s="38"/>
      <c r="BQ280" s="38"/>
      <c r="BR280" s="38"/>
      <c r="BS280" s="38"/>
      <c r="BT280" s="38"/>
      <c r="BU280" s="38"/>
      <c r="BV280" s="38"/>
      <c r="BW280" s="38"/>
      <c r="BX280" s="38"/>
      <c r="BY280" s="38"/>
      <c r="BZ280" s="38"/>
      <c r="CA280" s="38"/>
      <c r="CB280" s="38"/>
      <c r="CC280" s="38"/>
      <c r="CD280" s="38"/>
      <c r="CE280" s="38"/>
      <c r="CF280" s="38"/>
      <c r="CG280" s="38"/>
      <c r="CH280" s="38"/>
      <c r="CI280" s="38"/>
      <c r="CJ280" s="38"/>
      <c r="CK280" s="38"/>
      <c r="CL280" s="38"/>
      <c r="CM280" s="38"/>
      <c r="CN280" s="38"/>
      <c r="CO280" s="38"/>
      <c r="CP280" s="38"/>
      <c r="CQ280" s="38"/>
      <c r="CR280" s="38"/>
      <c r="CS280" s="38"/>
      <c r="CT280" s="38"/>
      <c r="CU280" s="38"/>
      <c r="CV280" s="38"/>
      <c r="CW280" s="38"/>
      <c r="CX280" s="38"/>
      <c r="CY280" s="38"/>
      <c r="CZ280" s="38"/>
      <c r="DA280" s="38"/>
      <c r="DB280" s="38"/>
      <c r="DC280" s="38"/>
      <c r="DD280" s="38"/>
      <c r="DE280" s="38"/>
      <c r="DF280" s="38"/>
      <c r="DG280" s="38"/>
      <c r="DH280" s="38"/>
      <c r="DI280" s="38"/>
      <c r="DJ280" s="38"/>
      <c r="DK280" s="38"/>
      <c r="DL280" s="38"/>
      <c r="DM280" s="38"/>
      <c r="DN280" s="38"/>
      <c r="DO280" s="38"/>
      <c r="DP280" s="38"/>
      <c r="DQ280" s="38"/>
      <c r="DR280" s="38"/>
      <c r="DS280" s="38"/>
      <c r="DT280" s="38"/>
    </row>
    <row r="281" spans="1:124" s="5" customFormat="1" ht="30" customHeight="1" thickBot="1" x14ac:dyDescent="0.3">
      <c r="B281" s="693" t="s">
        <v>543</v>
      </c>
      <c r="C281" s="693">
        <v>416604</v>
      </c>
      <c r="D281" s="710"/>
      <c r="E281" s="725" t="s">
        <v>40</v>
      </c>
      <c r="F281" s="728" t="s">
        <v>625</v>
      </c>
      <c r="G281" s="735" t="s">
        <v>626</v>
      </c>
      <c r="H281" s="744">
        <v>1964</v>
      </c>
      <c r="I281" s="569" t="s">
        <v>563</v>
      </c>
      <c r="J281" s="725"/>
      <c r="K281" s="772">
        <v>92</v>
      </c>
      <c r="L281" s="118">
        <v>65</v>
      </c>
      <c r="M281" s="118">
        <v>-68</v>
      </c>
      <c r="N281" s="118">
        <v>68</v>
      </c>
      <c r="O281" s="358">
        <f>IF(E281="","",IF(MAXA(L281:N281)&lt;=0,0,MAXA(L281:N281)))</f>
        <v>68</v>
      </c>
      <c r="P281" s="118">
        <v>83</v>
      </c>
      <c r="Q281" s="118">
        <v>86</v>
      </c>
      <c r="R281" s="118">
        <v>88</v>
      </c>
      <c r="S281" s="358">
        <f>IF(E281="","",IF(MAXA(P281:R281)&lt;=0,0,MAXA(P281:R281)))</f>
        <v>88</v>
      </c>
      <c r="T281" s="359">
        <f>IF(E281="","",IF(OR(O281=0,S281=0),0,O281+S281))</f>
        <v>156</v>
      </c>
      <c r="U281" s="360" t="str">
        <f>+CONCATENATE(AM281," ",AN281)</f>
        <v>DEB 1</v>
      </c>
      <c r="V281" s="360" t="str">
        <f>IF(E281=0," ",IF(E281="H",IF(H281&lt;1999,VLOOKUP(K281,[3]Minimas!$A$15:$F$29,6),IF(AND(H281&gt;1998,H281&lt;2002),VLOOKUP(K281,[3]Minimas!$A$15:$F$29,5),IF(AND(H281&gt;2001,H281&lt;2004),VLOOKUP(K281,[3]Minimas!$A$15:$F$29,4),IF(AND(H281&gt;2003,H281&lt;2006),VLOOKUP(K281,[3]Minimas!$A$15:$F$29,3),VLOOKUP(K281,[3]Minimas!$A$15:$F$29,2))))),IF(H281&lt;1999,VLOOKUP(K281,[3]Minimas!$G$15:$L$29,6),IF(AND(H281&gt;1998,H281&lt;2002),VLOOKUP(K281,[3]Minimas!$G$15:$L$29,5),IF(AND(H281&gt;2001,H281&lt;2004),VLOOKUP(K281,[3]Minimas!$G$15:$L$29,4),IF(AND(H281&gt;2003,H281&lt;2006),VLOOKUP(K281,[3]Minimas!$G$15:$L$29,3),VLOOKUP(K281,[3]Minimas!$G$15:$L$29,2)))))))</f>
        <v>SE M96</v>
      </c>
      <c r="W281" s="361">
        <f>IF(E281=" "," ",IF(E281="H",10^(0.75194503*LOG(K281/175.508)^2)*T281,IF(E281="F",10^(0.783497476* LOG(K281/153.655)^2)*T281,"")))</f>
        <v>178.76877157349929</v>
      </c>
      <c r="X281" s="257">
        <v>43610</v>
      </c>
      <c r="Y281" s="261" t="s">
        <v>892</v>
      </c>
      <c r="Z281" s="261" t="s">
        <v>829</v>
      </c>
      <c r="AA281" s="232"/>
      <c r="AB281" s="230">
        <f>T281-HLOOKUP(V281,[3]Minimas!$C$3:$CD$12,2,FALSE)</f>
        <v>1</v>
      </c>
      <c r="AC281" s="230">
        <f>T281-HLOOKUP(V281,[3]Minimas!$C$3:$CD$12,3,FALSE)</f>
        <v>-24</v>
      </c>
      <c r="AD281" s="230">
        <f>T281-HLOOKUP(V281,[3]Minimas!$C$3:$CD$12,4,FALSE)</f>
        <v>-49</v>
      </c>
      <c r="AE281" s="230">
        <f>T281-HLOOKUP(V281,[3]Minimas!$C$3:$CD$12,5,FALSE)</f>
        <v>-79</v>
      </c>
      <c r="AF281" s="230">
        <f>T281-HLOOKUP(V281,[3]Minimas!$C$3:$CD$12,6,FALSE)</f>
        <v>-109</v>
      </c>
      <c r="AG281" s="230">
        <f>T281-HLOOKUP(V281,[3]Minimas!$C$3:$CD$12,7,FALSE)</f>
        <v>-139</v>
      </c>
      <c r="AH281" s="230">
        <f>T281-HLOOKUP(V281,[3]Minimas!$C$3:$CD$12,8,FALSE)</f>
        <v>-164</v>
      </c>
      <c r="AI281" s="230">
        <f>T281-HLOOKUP(V281,[3]Minimas!$C$3:$CD$12,9,FALSE)</f>
        <v>-184</v>
      </c>
      <c r="AJ281" s="230">
        <f>T281-HLOOKUP(V281,[3]Minimas!$C$3:$CD$12,10,FALSE)</f>
        <v>-204</v>
      </c>
      <c r="AK281" s="231" t="str">
        <f>IF(E281=0," ",IF(AJ281&gt;=0,$AJ$5,IF(AI281&gt;=0,$AI$5,IF(AH281&gt;=0,$AH$5,IF(AG281&gt;=0,$AG$5,IF(AF281&gt;=0,$AF$5,IF(AE281&gt;=0,$AE$5,IF(AD281&gt;=0,$AD$5,IF(AC281&gt;=0,$AC$5,$AB$5)))))))))</f>
        <v>DEB</v>
      </c>
      <c r="AL281" s="232"/>
      <c r="AM281" s="232" t="str">
        <f>IF(AK281="","",AK281)</f>
        <v>DEB</v>
      </c>
      <c r="AN281" s="232">
        <f>IF(E281=0," ",IF(AJ281&gt;=0,AJ281,IF(AI281&gt;=0,AI281,IF(AH281&gt;=0,AH281,IF(AG281&gt;=0,AG281,IF(AF281&gt;=0,AF281,IF(AE281&gt;=0,AE281,IF(AD281&gt;=0,AD281,IF(AC281&gt;=0,AC281,AB281)))))))))</f>
        <v>1</v>
      </c>
      <c r="AO281" s="232"/>
      <c r="AP281" s="38"/>
      <c r="AQ281" s="38"/>
      <c r="AR281" s="38"/>
      <c r="AS281" s="38"/>
      <c r="AT281" s="38"/>
      <c r="AU281" s="38"/>
      <c r="AV281" s="38"/>
      <c r="AW281" s="38"/>
      <c r="AX281" s="38"/>
      <c r="AY281" s="38"/>
      <c r="AZ281" s="38"/>
      <c r="BA281" s="38"/>
      <c r="BB281" s="38"/>
      <c r="BC281" s="38"/>
      <c r="BD281" s="38"/>
      <c r="BE281" s="38"/>
      <c r="BF281" s="38"/>
      <c r="BG281" s="38"/>
      <c r="BH281" s="38"/>
      <c r="BI281" s="38"/>
      <c r="BJ281" s="38"/>
      <c r="BK281" s="38"/>
      <c r="BL281" s="38"/>
      <c r="BM281" s="38"/>
      <c r="BN281" s="38"/>
      <c r="BO281" s="38"/>
      <c r="BP281" s="38"/>
      <c r="BQ281" s="38"/>
      <c r="BR281" s="38"/>
      <c r="BS281" s="38"/>
      <c r="BT281" s="38"/>
      <c r="BU281" s="38"/>
      <c r="BV281" s="38"/>
      <c r="BW281" s="38"/>
      <c r="BX281" s="38"/>
      <c r="BY281" s="38"/>
      <c r="BZ281" s="38"/>
      <c r="CA281" s="38"/>
      <c r="CB281" s="38"/>
      <c r="CC281" s="38"/>
      <c r="CD281" s="38"/>
      <c r="CE281" s="38"/>
      <c r="CF281" s="38"/>
      <c r="CG281" s="38"/>
      <c r="CH281" s="38"/>
      <c r="CI281" s="38"/>
      <c r="CJ281" s="38"/>
      <c r="CK281" s="38"/>
      <c r="CL281" s="38"/>
      <c r="CM281" s="38"/>
      <c r="CN281" s="38"/>
      <c r="CO281" s="38"/>
      <c r="CP281" s="38"/>
      <c r="CQ281" s="38"/>
      <c r="CR281" s="38"/>
      <c r="CS281" s="38"/>
      <c r="CT281" s="38"/>
      <c r="CU281" s="38"/>
      <c r="CV281" s="38"/>
      <c r="CW281" s="38"/>
      <c r="CX281" s="38"/>
      <c r="CY281" s="38"/>
      <c r="CZ281" s="38"/>
      <c r="DA281" s="38"/>
      <c r="DB281" s="38"/>
      <c r="DC281" s="38"/>
      <c r="DD281" s="38"/>
      <c r="DE281" s="38"/>
      <c r="DF281" s="38"/>
      <c r="DG281" s="38"/>
      <c r="DH281" s="38"/>
      <c r="DI281" s="38"/>
      <c r="DJ281" s="38"/>
      <c r="DK281" s="38"/>
      <c r="DL281" s="38"/>
      <c r="DM281" s="38"/>
      <c r="DN281" s="38"/>
      <c r="DO281" s="38"/>
      <c r="DP281" s="38"/>
      <c r="DQ281" s="38"/>
      <c r="DR281" s="38"/>
      <c r="DS281" s="38"/>
      <c r="DT281" s="38"/>
    </row>
    <row r="282" spans="1:124" s="5" customFormat="1" ht="30" customHeight="1" x14ac:dyDescent="0.25">
      <c r="A282" s="387"/>
      <c r="B282" s="396" t="s">
        <v>543</v>
      </c>
      <c r="C282" s="397">
        <v>122918</v>
      </c>
      <c r="D282" s="398"/>
      <c r="E282" s="399" t="s">
        <v>40</v>
      </c>
      <c r="F282" s="400" t="s">
        <v>421</v>
      </c>
      <c r="G282" s="401" t="s">
        <v>549</v>
      </c>
      <c r="H282" s="402">
        <v>1951</v>
      </c>
      <c r="I282" s="418" t="s">
        <v>314</v>
      </c>
      <c r="J282" s="419" t="s">
        <v>44</v>
      </c>
      <c r="K282" s="843">
        <v>94.3</v>
      </c>
      <c r="L282" s="454">
        <v>55</v>
      </c>
      <c r="M282" s="455">
        <v>-60</v>
      </c>
      <c r="N282" s="455">
        <v>60</v>
      </c>
      <c r="O282" s="393">
        <v>60</v>
      </c>
      <c r="P282" s="454">
        <v>70</v>
      </c>
      <c r="Q282" s="455">
        <v>75</v>
      </c>
      <c r="R282" s="455">
        <v>-77</v>
      </c>
      <c r="S282" s="393">
        <v>75</v>
      </c>
      <c r="T282" s="394">
        <v>135</v>
      </c>
      <c r="U282" s="389" t="s">
        <v>843</v>
      </c>
      <c r="V282" s="426" t="s">
        <v>81</v>
      </c>
      <c r="W282" s="395">
        <v>153.13109434981899</v>
      </c>
      <c r="X282" s="257">
        <v>43554</v>
      </c>
      <c r="Y282" s="261" t="s">
        <v>805</v>
      </c>
      <c r="Z282" s="261" t="s">
        <v>829</v>
      </c>
      <c r="AA282" s="464"/>
      <c r="AB282" s="465">
        <v>-20</v>
      </c>
      <c r="AC282" s="465">
        <v>-45</v>
      </c>
      <c r="AD282" s="465">
        <v>-70</v>
      </c>
      <c r="AE282" s="465">
        <v>-100</v>
      </c>
      <c r="AF282" s="465">
        <v>-130</v>
      </c>
      <c r="AG282" s="465">
        <v>-160</v>
      </c>
      <c r="AH282" s="465">
        <v>-185</v>
      </c>
      <c r="AI282" s="465">
        <v>-205</v>
      </c>
      <c r="AJ282" s="465">
        <v>-225</v>
      </c>
      <c r="AK282" s="466" t="s">
        <v>43</v>
      </c>
      <c r="AL282" s="464"/>
      <c r="AM282" s="464" t="s">
        <v>43</v>
      </c>
      <c r="AN282" s="464">
        <v>-20</v>
      </c>
      <c r="AO282" s="464"/>
      <c r="AP282" s="388"/>
      <c r="AQ282" s="388"/>
      <c r="AR282" s="388"/>
      <c r="AS282" s="388"/>
      <c r="AT282" s="388"/>
      <c r="AU282" s="388"/>
      <c r="AV282" s="388"/>
      <c r="AW282" s="388"/>
      <c r="AX282" s="388"/>
      <c r="AY282" s="388"/>
      <c r="AZ282" s="388"/>
      <c r="BA282" s="388"/>
      <c r="BB282" s="388"/>
      <c r="BC282" s="388"/>
      <c r="BD282" s="388"/>
      <c r="BE282" s="388"/>
      <c r="BF282" s="388"/>
      <c r="BG282" s="388"/>
      <c r="BH282" s="388"/>
      <c r="BI282" s="388"/>
      <c r="BJ282" s="388"/>
      <c r="BK282" s="388"/>
      <c r="BL282" s="388"/>
      <c r="BM282" s="388"/>
      <c r="BN282" s="388"/>
      <c r="BO282" s="388"/>
      <c r="BP282" s="388"/>
      <c r="BQ282" s="388"/>
      <c r="BR282" s="388"/>
      <c r="BS282" s="388"/>
      <c r="BT282" s="388"/>
      <c r="BU282" s="388"/>
      <c r="BV282" s="388"/>
      <c r="BW282" s="388"/>
      <c r="BX282" s="388"/>
      <c r="BY282" s="388"/>
      <c r="BZ282" s="388"/>
      <c r="CA282" s="388"/>
      <c r="CB282" s="388"/>
      <c r="CC282" s="388"/>
      <c r="CD282" s="388"/>
      <c r="CE282" s="388"/>
      <c r="CF282" s="388"/>
      <c r="CG282" s="388"/>
      <c r="CH282" s="388"/>
      <c r="CI282" s="388"/>
      <c r="CJ282" s="388"/>
      <c r="CK282" s="388"/>
      <c r="CL282" s="388"/>
      <c r="CM282" s="388"/>
      <c r="CN282" s="388"/>
      <c r="CO282" s="388"/>
      <c r="CP282" s="388"/>
      <c r="CQ282" s="388"/>
      <c r="CR282" s="388"/>
      <c r="CS282" s="388"/>
      <c r="CT282" s="388"/>
      <c r="CU282" s="388"/>
      <c r="CV282" s="388"/>
      <c r="CW282" s="388"/>
      <c r="CX282" s="388"/>
      <c r="CY282" s="388"/>
      <c r="CZ282" s="388"/>
      <c r="DA282" s="388"/>
      <c r="DB282" s="388"/>
      <c r="DC282" s="388"/>
      <c r="DD282" s="388"/>
      <c r="DE282" s="388"/>
      <c r="DF282" s="388"/>
      <c r="DG282" s="388"/>
      <c r="DH282" s="388"/>
      <c r="DI282" s="388"/>
      <c r="DJ282" s="388"/>
      <c r="DK282" s="388"/>
      <c r="DL282" s="388"/>
      <c r="DM282" s="388"/>
      <c r="DN282" s="388"/>
      <c r="DO282" s="388"/>
      <c r="DP282" s="388"/>
      <c r="DQ282" s="388"/>
      <c r="DR282" s="388"/>
      <c r="DS282" s="388"/>
      <c r="DT282" s="388"/>
    </row>
    <row r="283" spans="1:124" s="5" customFormat="1" ht="30" customHeight="1" x14ac:dyDescent="0.25">
      <c r="B283" s="312" t="s">
        <v>543</v>
      </c>
      <c r="C283" s="499">
        <v>431836</v>
      </c>
      <c r="D283" s="313"/>
      <c r="E283" s="315" t="s">
        <v>40</v>
      </c>
      <c r="F283" s="486" t="s">
        <v>149</v>
      </c>
      <c r="G283" s="487" t="s">
        <v>420</v>
      </c>
      <c r="H283" s="492">
        <v>1966</v>
      </c>
      <c r="I283" s="528" t="s">
        <v>324</v>
      </c>
      <c r="J283" s="331" t="s">
        <v>44</v>
      </c>
      <c r="K283" s="297">
        <v>93.6</v>
      </c>
      <c r="L283" s="300">
        <v>45</v>
      </c>
      <c r="M283" s="301">
        <v>50</v>
      </c>
      <c r="N283" s="301">
        <v>52</v>
      </c>
      <c r="O283" s="490">
        <f>IF(E283="","",IF(MAXA(L283:N283)&lt;=0,0,MAXA(L283:N283)))</f>
        <v>52</v>
      </c>
      <c r="P283" s="300">
        <v>65</v>
      </c>
      <c r="Q283" s="301">
        <v>70</v>
      </c>
      <c r="R283" s="301">
        <v>-74</v>
      </c>
      <c r="S283" s="490">
        <f>IF(E283="","",IF(MAXA(P283:R283)&lt;=0,0,MAXA(P283:R283)))</f>
        <v>70</v>
      </c>
      <c r="T283" s="489">
        <f>IF(E283="","",IF(OR(O283=0,S283=0),0,O283+S283))</f>
        <v>122</v>
      </c>
      <c r="U283" s="48" t="str">
        <f>+CONCATENATE(AM283," ",AN283)</f>
        <v>DEB -33</v>
      </c>
      <c r="V283" s="48" t="str">
        <f>IF(E283=0," ",IF(E283="H",IF(H283&lt;1999,VLOOKUP(K283,[29]Minimas!$A$15:$F$29,6),IF(AND(H283&gt;1998,H283&lt;2002),VLOOKUP(K283,[29]Minimas!$A$15:$F$29,5),IF(AND(H283&gt;2001,H283&lt;2004),VLOOKUP(K283,[29]Minimas!$A$15:$F$29,4),IF(AND(H283&gt;2003,H283&lt;2006),VLOOKUP(K283,[29]Minimas!$A$15:$F$29,3),VLOOKUP(K283,[29]Minimas!$A$15:$F$29,2))))),IF(H283&lt;1999,VLOOKUP(K283,[29]Minimas!$G$15:$L$29,6),IF(AND(H283&gt;1998,H283&lt;2002),VLOOKUP(K283,[29]Minimas!$G$15:$L$29,5),IF(AND(H283&gt;2001,H283&lt;2004),VLOOKUP(K283,[29]Minimas!$G$15:$L$29,4),IF(AND(H283&gt;2003,H283&lt;2006),VLOOKUP(K283,[29]Minimas!$G$15:$L$29,3),VLOOKUP(K283,[29]Minimas!$G$15:$L$29,2)))))))</f>
        <v>SE M96</v>
      </c>
      <c r="W283" s="49">
        <f>IF(E283=" "," ",IF(E283="H",10^(0.75194503*LOG(K283/175.508)^2)*T283,IF(E283="F",10^(0.783497476* LOG(K283/153.655)^2)*T283,"")))</f>
        <v>138.80662415045455</v>
      </c>
      <c r="X283" s="257">
        <v>43491</v>
      </c>
      <c r="Y283" s="261" t="s">
        <v>696</v>
      </c>
      <c r="Z283" s="261" t="s">
        <v>700</v>
      </c>
      <c r="AA283" s="232"/>
      <c r="AB283" s="230">
        <f>T283-HLOOKUP(V283,Minimas!$C$3:$CD$12,2,FALSE)</f>
        <v>-33</v>
      </c>
      <c r="AC283" s="230">
        <f>T283-HLOOKUP(V283,Minimas!$C$3:$CD$12,3,FALSE)</f>
        <v>-58</v>
      </c>
      <c r="AD283" s="230">
        <f>T283-HLOOKUP(V283,Minimas!$C$3:$CD$12,4,FALSE)</f>
        <v>-83</v>
      </c>
      <c r="AE283" s="230">
        <f>T283-HLOOKUP(V283,Minimas!$C$3:$CD$12,5,FALSE)</f>
        <v>-113</v>
      </c>
      <c r="AF283" s="230">
        <f>T283-HLOOKUP(V283,Minimas!$C$3:$CD$12,6,FALSE)</f>
        <v>-143</v>
      </c>
      <c r="AG283" s="230">
        <f>T283-HLOOKUP(V283,Minimas!$C$3:$CD$12,7,FALSE)</f>
        <v>-173</v>
      </c>
      <c r="AH283" s="230">
        <f>T283-HLOOKUP(V283,Minimas!$C$3:$CD$12,8,FALSE)</f>
        <v>-198</v>
      </c>
      <c r="AI283" s="230">
        <f>T283-HLOOKUP(V283,Minimas!$C$3:$CD$12,9,FALSE)</f>
        <v>-218</v>
      </c>
      <c r="AJ283" s="230">
        <f>T283-HLOOKUP(V283,Minimas!$C$3:$CD$12,10,FALSE)</f>
        <v>-238</v>
      </c>
      <c r="AK283" s="231" t="str">
        <f>IF(E283=0," ",IF(AJ283&gt;=0,$AJ$5,IF(AI283&gt;=0,$AI$5,IF(AH283&gt;=0,$AH$5,IF(AG283&gt;=0,$AG$5,IF(AF283&gt;=0,$AF$5,IF(AE283&gt;=0,$AE$5,IF(AD283&gt;=0,$AD$5,IF(AC283&gt;=0,$AC$5,$AB$5)))))))))</f>
        <v>DEB</v>
      </c>
      <c r="AL283" s="232"/>
      <c r="AM283" s="232" t="str">
        <f>IF(AK283="","",AK283)</f>
        <v>DEB</v>
      </c>
      <c r="AN283" s="232">
        <f>IF(E283=0," ",IF(AJ283&gt;=0,AJ283,IF(AI283&gt;=0,AI283,IF(AH283&gt;=0,AH283,IF(AG283&gt;=0,AG283,IF(AF283&gt;=0,AF283,IF(AE283&gt;=0,AE283,IF(AD283&gt;=0,AD283,IF(AC283&gt;=0,AC283,AB283)))))))))</f>
        <v>-33</v>
      </c>
      <c r="AO283" s="232"/>
      <c r="AP283" s="38"/>
      <c r="AQ283" s="38"/>
      <c r="AR283" s="38"/>
      <c r="AS283" s="38"/>
      <c r="AT283" s="38"/>
      <c r="AU283" s="38"/>
      <c r="AV283" s="38"/>
      <c r="AW283" s="38"/>
      <c r="AX283" s="38"/>
      <c r="AY283" s="38"/>
      <c r="AZ283" s="38"/>
      <c r="BA283" s="38"/>
      <c r="BB283" s="38"/>
      <c r="BC283" s="38"/>
      <c r="BD283" s="38"/>
      <c r="BE283" s="38"/>
      <c r="BF283" s="38"/>
      <c r="BG283" s="38"/>
      <c r="BH283" s="38"/>
      <c r="BI283" s="38"/>
      <c r="BJ283" s="38"/>
      <c r="BK283" s="38"/>
      <c r="BL283" s="38"/>
      <c r="BM283" s="38"/>
      <c r="BN283" s="38"/>
      <c r="BO283" s="38"/>
      <c r="BP283" s="38"/>
      <c r="BQ283" s="38"/>
      <c r="BR283" s="38"/>
      <c r="BS283" s="38"/>
      <c r="BT283" s="38"/>
      <c r="BU283" s="38"/>
      <c r="BV283" s="38"/>
      <c r="BW283" s="38"/>
      <c r="BX283" s="38"/>
      <c r="BY283" s="38"/>
      <c r="BZ283" s="38"/>
      <c r="CA283" s="38"/>
      <c r="CB283" s="38"/>
      <c r="CC283" s="38"/>
      <c r="CD283" s="38"/>
      <c r="CE283" s="38"/>
      <c r="CF283" s="38"/>
      <c r="CG283" s="38"/>
      <c r="CH283" s="38"/>
      <c r="CI283" s="38"/>
      <c r="CJ283" s="38"/>
      <c r="CK283" s="38"/>
      <c r="CL283" s="38"/>
      <c r="CM283" s="38"/>
      <c r="CN283" s="38"/>
      <c r="CO283" s="38"/>
      <c r="CP283" s="38"/>
      <c r="CQ283" s="38"/>
      <c r="CR283" s="38"/>
      <c r="CS283" s="38"/>
      <c r="CT283" s="38"/>
      <c r="CU283" s="38"/>
      <c r="CV283" s="38"/>
      <c r="CW283" s="38"/>
      <c r="CX283" s="38"/>
      <c r="CY283" s="38"/>
      <c r="CZ283" s="38"/>
      <c r="DA283" s="38"/>
      <c r="DB283" s="38"/>
      <c r="DC283" s="38"/>
      <c r="DD283" s="38"/>
      <c r="DE283" s="38"/>
      <c r="DF283" s="38"/>
      <c r="DG283" s="38"/>
      <c r="DH283" s="38"/>
      <c r="DI283" s="38"/>
      <c r="DJ283" s="38"/>
      <c r="DK283" s="38"/>
      <c r="DL283" s="38"/>
      <c r="DM283" s="38"/>
      <c r="DN283" s="38"/>
      <c r="DO283" s="38"/>
      <c r="DP283" s="38"/>
      <c r="DQ283" s="38"/>
      <c r="DR283" s="38"/>
      <c r="DS283" s="38"/>
      <c r="DT283" s="38"/>
    </row>
    <row r="284" spans="1:124" s="5" customFormat="1" ht="30" customHeight="1" x14ac:dyDescent="0.25">
      <c r="A284" s="387"/>
      <c r="B284" s="403" t="s">
        <v>543</v>
      </c>
      <c r="C284" s="404">
        <v>24685</v>
      </c>
      <c r="D284" s="405"/>
      <c r="E284" s="406" t="s">
        <v>40</v>
      </c>
      <c r="F284" s="414" t="s">
        <v>405</v>
      </c>
      <c r="G284" s="415" t="s">
        <v>378</v>
      </c>
      <c r="H284" s="417">
        <v>1944</v>
      </c>
      <c r="I284" s="410" t="s">
        <v>314</v>
      </c>
      <c r="J284" s="411" t="s">
        <v>44</v>
      </c>
      <c r="K284" s="412">
        <v>91.1</v>
      </c>
      <c r="L284" s="456">
        <v>46</v>
      </c>
      <c r="M284" s="457">
        <v>49</v>
      </c>
      <c r="N284" s="457">
        <v>51</v>
      </c>
      <c r="O284" s="392">
        <v>51</v>
      </c>
      <c r="P284" s="456">
        <v>64</v>
      </c>
      <c r="Q284" s="457">
        <v>68</v>
      </c>
      <c r="R284" s="457">
        <v>-71</v>
      </c>
      <c r="S284" s="392">
        <v>68</v>
      </c>
      <c r="T284" s="391">
        <v>119</v>
      </c>
      <c r="U284" s="389" t="s">
        <v>845</v>
      </c>
      <c r="V284" s="426" t="s">
        <v>81</v>
      </c>
      <c r="W284" s="390">
        <v>136.93952395092685</v>
      </c>
      <c r="X284" s="257">
        <v>43554</v>
      </c>
      <c r="Y284" s="261" t="s">
        <v>805</v>
      </c>
      <c r="Z284" s="261" t="s">
        <v>829</v>
      </c>
      <c r="AA284" s="464"/>
      <c r="AB284" s="465">
        <v>-36</v>
      </c>
      <c r="AC284" s="465">
        <v>-61</v>
      </c>
      <c r="AD284" s="465">
        <v>-86</v>
      </c>
      <c r="AE284" s="465">
        <v>-116</v>
      </c>
      <c r="AF284" s="465">
        <v>-146</v>
      </c>
      <c r="AG284" s="465">
        <v>-176</v>
      </c>
      <c r="AH284" s="465">
        <v>-201</v>
      </c>
      <c r="AI284" s="465">
        <v>-221</v>
      </c>
      <c r="AJ284" s="465">
        <v>-241</v>
      </c>
      <c r="AK284" s="466" t="s">
        <v>43</v>
      </c>
      <c r="AL284" s="464"/>
      <c r="AM284" s="464" t="s">
        <v>43</v>
      </c>
      <c r="AN284" s="464">
        <v>-36</v>
      </c>
      <c r="AO284" s="464"/>
      <c r="AP284" s="388"/>
      <c r="AQ284" s="388"/>
      <c r="AR284" s="388"/>
      <c r="AS284" s="388"/>
      <c r="AT284" s="388"/>
      <c r="AU284" s="388"/>
      <c r="AV284" s="388"/>
      <c r="AW284" s="388"/>
      <c r="AX284" s="388"/>
      <c r="AY284" s="388"/>
      <c r="AZ284" s="388"/>
      <c r="BA284" s="388"/>
      <c r="BB284" s="388"/>
      <c r="BC284" s="388"/>
      <c r="BD284" s="388"/>
      <c r="BE284" s="388"/>
      <c r="BF284" s="388"/>
      <c r="BG284" s="388"/>
      <c r="BH284" s="388"/>
      <c r="BI284" s="388"/>
      <c r="BJ284" s="388"/>
      <c r="BK284" s="388"/>
      <c r="BL284" s="388"/>
      <c r="BM284" s="388"/>
      <c r="BN284" s="388"/>
      <c r="BO284" s="388"/>
      <c r="BP284" s="388"/>
      <c r="BQ284" s="388"/>
      <c r="BR284" s="388"/>
      <c r="BS284" s="388"/>
      <c r="BT284" s="388"/>
      <c r="BU284" s="388"/>
      <c r="BV284" s="388"/>
      <c r="BW284" s="388"/>
      <c r="BX284" s="388"/>
      <c r="BY284" s="388"/>
      <c r="BZ284" s="388"/>
      <c r="CA284" s="388"/>
      <c r="CB284" s="388"/>
      <c r="CC284" s="388"/>
      <c r="CD284" s="388"/>
      <c r="CE284" s="388"/>
      <c r="CF284" s="388"/>
      <c r="CG284" s="388"/>
      <c r="CH284" s="388"/>
      <c r="CI284" s="388"/>
      <c r="CJ284" s="388"/>
      <c r="CK284" s="388"/>
      <c r="CL284" s="388"/>
      <c r="CM284" s="388"/>
      <c r="CN284" s="388"/>
      <c r="CO284" s="388"/>
      <c r="CP284" s="388"/>
      <c r="CQ284" s="388"/>
      <c r="CR284" s="388"/>
      <c r="CS284" s="388"/>
      <c r="CT284" s="388"/>
      <c r="CU284" s="388"/>
      <c r="CV284" s="388"/>
      <c r="CW284" s="388"/>
      <c r="CX284" s="388"/>
      <c r="CY284" s="388"/>
      <c r="CZ284" s="388"/>
      <c r="DA284" s="388"/>
      <c r="DB284" s="388"/>
      <c r="DC284" s="388"/>
      <c r="DD284" s="388"/>
      <c r="DE284" s="388"/>
      <c r="DF284" s="388"/>
      <c r="DG284" s="388"/>
      <c r="DH284" s="388"/>
      <c r="DI284" s="388"/>
      <c r="DJ284" s="388"/>
      <c r="DK284" s="388"/>
      <c r="DL284" s="388"/>
      <c r="DM284" s="388"/>
      <c r="DN284" s="388"/>
      <c r="DO284" s="388"/>
      <c r="DP284" s="388"/>
      <c r="DQ284" s="388"/>
      <c r="DR284" s="388"/>
      <c r="DS284" s="388"/>
      <c r="DT284" s="388"/>
    </row>
    <row r="285" spans="1:124" s="5" customFormat="1" ht="30" customHeight="1" x14ac:dyDescent="0.25">
      <c r="A285" s="1"/>
      <c r="B285" s="515" t="s">
        <v>543</v>
      </c>
      <c r="C285" s="499">
        <v>442060</v>
      </c>
      <c r="D285" s="496"/>
      <c r="E285" s="323" t="s">
        <v>40</v>
      </c>
      <c r="F285" s="486" t="s">
        <v>780</v>
      </c>
      <c r="G285" s="487" t="s">
        <v>398</v>
      </c>
      <c r="H285" s="492">
        <v>1985</v>
      </c>
      <c r="I285" s="528" t="s">
        <v>129</v>
      </c>
      <c r="J285" s="493" t="s">
        <v>44</v>
      </c>
      <c r="K285" s="488">
        <v>93.1</v>
      </c>
      <c r="L285" s="300">
        <v>50</v>
      </c>
      <c r="M285" s="301">
        <v>54</v>
      </c>
      <c r="N285" s="449">
        <v>-57</v>
      </c>
      <c r="O285" s="490">
        <f t="shared" ref="O285:O292" si="86">IF(E285="","",IF(MAXA(L285:N285)&lt;=0,0,MAXA(L285:N285)))</f>
        <v>54</v>
      </c>
      <c r="P285" s="448">
        <v>-65</v>
      </c>
      <c r="Q285" s="301">
        <v>65</v>
      </c>
      <c r="R285" s="449">
        <v>-72</v>
      </c>
      <c r="S285" s="490">
        <f t="shared" ref="S285:S292" si="87">IF(E285="","",IF(MAXA(P285:R285)&lt;=0,0,MAXA(P285:R285)))</f>
        <v>65</v>
      </c>
      <c r="T285" s="489">
        <f>IF(E285="","",O285+S285)</f>
        <v>119</v>
      </c>
      <c r="U285" s="48" t="str">
        <f t="shared" ref="U285:U292" si="88">+CONCATENATE(AM285," ",AN285)</f>
        <v>DEB -36</v>
      </c>
      <c r="V285" s="48" t="str">
        <f>IF(E285=0," ",IF(E285="H",IF(H285&lt;1999,VLOOKUP(K285,[31]Minimas!$A$15:$F$29,6),IF(AND(H285&gt;1998,H285&lt;2002),VLOOKUP(K285,[31]Minimas!$A$15:$F$29,5),IF(AND(H285&gt;2001,H285&lt;2004),VLOOKUP(K285,[31]Minimas!$A$15:$F$29,4),IF(AND(H285&gt;2003,H285&lt;2006),VLOOKUP(K285,[31]Minimas!$A$15:$F$29,3),VLOOKUP(K285,[31]Minimas!$A$15:$F$29,2))))),IF(H285&lt;1999,VLOOKUP(K285,[31]Minimas!$G$15:$L$29,6),IF(AND(H285&gt;1998,H285&lt;2002),VLOOKUP(K285,[31]Minimas!$G$15:$L$29,5),IF(AND(H285&gt;2001,H285&lt;2004),VLOOKUP(K285,[31]Minimas!$G$15:$L$29,4),IF(AND(H285&gt;2003,H285&lt;2006),VLOOKUP(K285,[31]Minimas!$G$15:$L$29,3),VLOOKUP(K285,[31]Minimas!$G$15:$L$29,2)))))))</f>
        <v>SE M96</v>
      </c>
      <c r="W285" s="49">
        <f t="shared" ref="W285:W292" si="89">IF(E285=" "," ",IF(E285="H",10^(0.75194503*LOG(K285/175.508)^2)*T285,IF(E285="F",10^(0.783497476* LOG(K285/153.655)^2)*T285,"")))</f>
        <v>135.69270539675577</v>
      </c>
      <c r="X285" s="257">
        <v>43540</v>
      </c>
      <c r="Y285" s="261" t="s">
        <v>714</v>
      </c>
      <c r="Z285" s="261" t="s">
        <v>704</v>
      </c>
      <c r="AA285" s="463"/>
      <c r="AB285" s="230">
        <f>T285-HLOOKUP(V285,Minimas!$C$3:$CD$12,2,FALSE)</f>
        <v>-36</v>
      </c>
      <c r="AC285" s="230">
        <f>T285-HLOOKUP(V285,Minimas!$C$3:$CD$12,3,FALSE)</f>
        <v>-61</v>
      </c>
      <c r="AD285" s="230">
        <f>T285-HLOOKUP(V285,Minimas!$C$3:$CD$12,4,FALSE)</f>
        <v>-86</v>
      </c>
      <c r="AE285" s="230">
        <f>T285-HLOOKUP(V285,Minimas!$C$3:$CD$12,5,FALSE)</f>
        <v>-116</v>
      </c>
      <c r="AF285" s="230">
        <f>T285-HLOOKUP(V285,Minimas!$C$3:$CD$12,6,FALSE)</f>
        <v>-146</v>
      </c>
      <c r="AG285" s="230">
        <f>T285-HLOOKUP(V285,Minimas!$C$3:$CD$12,7,FALSE)</f>
        <v>-176</v>
      </c>
      <c r="AH285" s="230">
        <f>T285-HLOOKUP(V285,Minimas!$C$3:$CD$12,8,FALSE)</f>
        <v>-201</v>
      </c>
      <c r="AI285" s="230">
        <f>T285-HLOOKUP(V285,Minimas!$C$3:$CD$12,9,FALSE)</f>
        <v>-221</v>
      </c>
      <c r="AJ285" s="230">
        <f>T285-HLOOKUP(V285,Minimas!$C$3:$CD$12,10,FALSE)</f>
        <v>-241</v>
      </c>
      <c r="AK285" s="231" t="str">
        <f t="shared" ref="AK285:AK292" si="90">IF(E285=0," ",IF(AJ285&gt;=0,$AJ$5,IF(AI285&gt;=0,$AI$5,IF(AH285&gt;=0,$AH$5,IF(AG285&gt;=0,$AG$5,IF(AF285&gt;=0,$AF$5,IF(AE285&gt;=0,$AE$5,IF(AD285&gt;=0,$AD$5,IF(AC285&gt;=0,$AC$5,$AB$5)))))))))</f>
        <v>DEB</v>
      </c>
      <c r="AL285" s="232"/>
      <c r="AM285" s="232" t="str">
        <f t="shared" ref="AM285:AM292" si="91">IF(AK285="","",AK285)</f>
        <v>DEB</v>
      </c>
      <c r="AN285" s="232">
        <f t="shared" ref="AN285:AN292" si="92">IF(E285=0," ",IF(AJ285&gt;=0,AJ285,IF(AI285&gt;=0,AI285,IF(AH285&gt;=0,AH285,IF(AG285&gt;=0,AG285,IF(AF285&gt;=0,AF285,IF(AE285&gt;=0,AE285,IF(AD285&gt;=0,AD285,IF(AC285&gt;=0,AC285,AB285)))))))))</f>
        <v>-36</v>
      </c>
      <c r="AO285" s="463"/>
      <c r="AP285" s="34"/>
      <c r="AQ285" s="34"/>
      <c r="AR285" s="34"/>
      <c r="AS285" s="34"/>
      <c r="AT285" s="34"/>
      <c r="AU285" s="34"/>
      <c r="AV285" s="34"/>
      <c r="AW285" s="34"/>
      <c r="AX285" s="34"/>
      <c r="AY285" s="34"/>
      <c r="AZ285" s="34"/>
      <c r="BA285" s="34"/>
      <c r="BB285" s="34"/>
      <c r="BC285" s="34"/>
      <c r="BD285" s="34"/>
      <c r="BE285" s="34"/>
      <c r="BF285" s="34"/>
      <c r="BG285" s="34"/>
      <c r="BH285" s="34"/>
      <c r="BI285" s="34"/>
      <c r="BJ285" s="34"/>
      <c r="BK285" s="34"/>
      <c r="BL285" s="34"/>
      <c r="BM285" s="34"/>
      <c r="BN285" s="34"/>
      <c r="BO285" s="34"/>
      <c r="BP285" s="34"/>
      <c r="BQ285" s="34"/>
      <c r="BR285" s="34"/>
      <c r="BS285" s="34"/>
      <c r="BT285" s="34"/>
      <c r="BU285" s="34"/>
      <c r="BV285" s="34"/>
      <c r="BW285" s="34"/>
      <c r="BX285" s="34"/>
      <c r="BY285" s="34"/>
      <c r="BZ285" s="34"/>
      <c r="CA285" s="34"/>
      <c r="CB285" s="34"/>
      <c r="CC285" s="34"/>
      <c r="CD285" s="34"/>
      <c r="CE285" s="34"/>
      <c r="CF285" s="34"/>
      <c r="CG285" s="34"/>
      <c r="CH285" s="34"/>
      <c r="CI285" s="34"/>
      <c r="CJ285" s="34"/>
      <c r="CK285" s="34"/>
      <c r="CL285" s="34"/>
      <c r="CM285" s="34"/>
      <c r="CN285" s="34"/>
      <c r="CO285" s="34"/>
      <c r="CP285" s="34"/>
      <c r="CQ285" s="34"/>
      <c r="CR285" s="34"/>
      <c r="CS285" s="34"/>
      <c r="CT285" s="34"/>
      <c r="CU285" s="34"/>
      <c r="CV285" s="34"/>
      <c r="CW285" s="34"/>
      <c r="CX285" s="34"/>
      <c r="CY285" s="34"/>
      <c r="CZ285" s="34"/>
      <c r="DA285" s="34"/>
      <c r="DB285" s="34"/>
      <c r="DC285" s="34"/>
      <c r="DD285" s="34"/>
      <c r="DE285" s="34"/>
      <c r="DF285" s="34"/>
      <c r="DG285" s="34"/>
      <c r="DH285" s="34"/>
      <c r="DI285" s="34"/>
      <c r="DJ285" s="34"/>
      <c r="DK285" s="34"/>
      <c r="DL285" s="34"/>
      <c r="DM285" s="34"/>
      <c r="DN285" s="34"/>
      <c r="DO285" s="34"/>
      <c r="DP285" s="34"/>
      <c r="DQ285" s="34"/>
      <c r="DR285" s="34"/>
      <c r="DS285" s="34"/>
      <c r="DT285" s="34"/>
    </row>
    <row r="286" spans="1:124" s="5" customFormat="1" ht="30" customHeight="1" x14ac:dyDescent="0.25">
      <c r="A286" s="484"/>
      <c r="B286" s="515" t="s">
        <v>543</v>
      </c>
      <c r="C286" s="499">
        <v>357547</v>
      </c>
      <c r="D286" s="496"/>
      <c r="E286" s="323" t="s">
        <v>40</v>
      </c>
      <c r="F286" s="328" t="s">
        <v>639</v>
      </c>
      <c r="G286" s="487" t="s">
        <v>281</v>
      </c>
      <c r="H286" s="329">
        <v>1988</v>
      </c>
      <c r="I286" s="330" t="s">
        <v>173</v>
      </c>
      <c r="J286" s="331" t="s">
        <v>44</v>
      </c>
      <c r="K286" s="297">
        <v>93.78</v>
      </c>
      <c r="L286" s="448">
        <v>-115</v>
      </c>
      <c r="M286" s="449">
        <v>-116</v>
      </c>
      <c r="N286" s="301">
        <v>116</v>
      </c>
      <c r="O286" s="490">
        <f t="shared" si="86"/>
        <v>116</v>
      </c>
      <c r="P286" s="448">
        <v>-150</v>
      </c>
      <c r="Q286" s="449">
        <v>-150</v>
      </c>
      <c r="R286" s="449">
        <v>-150</v>
      </c>
      <c r="S286" s="490">
        <f t="shared" si="87"/>
        <v>0</v>
      </c>
      <c r="T286" s="489">
        <f>IF(E286="","",IF(OR(O286=0,S286=0),0,O286+S286))</f>
        <v>0</v>
      </c>
      <c r="U286" s="48" t="str">
        <f t="shared" si="88"/>
        <v>DEB -155</v>
      </c>
      <c r="V286" s="48" t="str">
        <f>IF(E286=0," ",IF(E286="H",IF(H286&lt;1999,VLOOKUP(K286,Minimas!$A$15:$F$29,6),IF(AND(H286&gt;1998,H286&lt;2002),VLOOKUP(K286,Minimas!$A$15:$F$29,5),IF(AND(H286&gt;2001,H286&lt;2004),VLOOKUP(K286,Minimas!$A$15:$F$29,4),IF(AND(H286&gt;2003,H286&lt;2006),VLOOKUP(K286,Minimas!$A$15:$F$29,3),VLOOKUP(K286,Minimas!$A$15:$F$29,2))))),IF(H286&lt;1999,VLOOKUP(K286,Minimas!$G$15:$L$29,6),IF(AND(H286&gt;1998,H286&lt;2002),VLOOKUP(K286,Minimas!$G$15:$L$29,5),IF(AND(H286&gt;2001,H286&lt;2004),VLOOKUP(K286,Minimas!$G$15:$L$29,4),IF(AND(H286&gt;2003,H286&lt;2006),VLOOKUP(K286,Minimas!$G$15:$L$29,3),VLOOKUP(K286,Minimas!$G$15:$L$29,2)))))))</f>
        <v>SE M96</v>
      </c>
      <c r="W286" s="49">
        <f t="shared" si="89"/>
        <v>0</v>
      </c>
      <c r="X286" s="257">
        <v>43485</v>
      </c>
      <c r="Y286" s="261" t="s">
        <v>640</v>
      </c>
      <c r="Z286" s="261" t="s">
        <v>514</v>
      </c>
      <c r="AA286" s="232"/>
      <c r="AB286" s="230">
        <f>T286-HLOOKUP(V286,Minimas!$C$3:$CD$12,2,FALSE)</f>
        <v>-155</v>
      </c>
      <c r="AC286" s="230">
        <f>T286-HLOOKUP(V286,Minimas!$C$3:$CD$12,3,FALSE)</f>
        <v>-180</v>
      </c>
      <c r="AD286" s="230">
        <f>T286-HLOOKUP(V286,Minimas!$C$3:$CD$12,4,FALSE)</f>
        <v>-205</v>
      </c>
      <c r="AE286" s="230">
        <f>T286-HLOOKUP(V286,Minimas!$C$3:$CD$12,5,FALSE)</f>
        <v>-235</v>
      </c>
      <c r="AF286" s="230">
        <f>T286-HLOOKUP(V286,Minimas!$C$3:$CD$12,6,FALSE)</f>
        <v>-265</v>
      </c>
      <c r="AG286" s="230">
        <f>T286-HLOOKUP(V286,Minimas!$C$3:$CD$12,7,FALSE)</f>
        <v>-295</v>
      </c>
      <c r="AH286" s="230">
        <f>T286-HLOOKUP(V286,Minimas!$C$3:$CD$12,8,FALSE)</f>
        <v>-320</v>
      </c>
      <c r="AI286" s="230">
        <f>T286-HLOOKUP(V286,Minimas!$C$3:$CD$12,9,FALSE)</f>
        <v>-340</v>
      </c>
      <c r="AJ286" s="230">
        <f>T286-HLOOKUP(V286,Minimas!$C$3:$CD$12,10,FALSE)</f>
        <v>-360</v>
      </c>
      <c r="AK286" s="231" t="str">
        <f t="shared" si="90"/>
        <v>DEB</v>
      </c>
      <c r="AL286" s="232"/>
      <c r="AM286" s="232" t="str">
        <f t="shared" si="91"/>
        <v>DEB</v>
      </c>
      <c r="AN286" s="232">
        <f t="shared" si="92"/>
        <v>-155</v>
      </c>
      <c r="AO286" s="232"/>
      <c r="AP286" s="485"/>
      <c r="AQ286" s="485"/>
      <c r="AR286" s="485"/>
      <c r="AS286" s="485"/>
      <c r="AT286" s="485"/>
      <c r="AU286" s="485"/>
      <c r="AV286" s="485"/>
      <c r="AW286" s="485"/>
      <c r="AX286" s="485"/>
      <c r="AY286" s="485"/>
      <c r="AZ286" s="485"/>
      <c r="BA286" s="485"/>
      <c r="BB286" s="485"/>
      <c r="BC286" s="485"/>
      <c r="BD286" s="485"/>
      <c r="BE286" s="485"/>
      <c r="BF286" s="485"/>
      <c r="BG286" s="485"/>
      <c r="BH286" s="485"/>
      <c r="BI286" s="485"/>
      <c r="BJ286" s="485"/>
      <c r="BK286" s="485"/>
      <c r="BL286" s="485"/>
      <c r="BM286" s="485"/>
      <c r="BN286" s="485"/>
      <c r="BO286" s="485"/>
      <c r="BP286" s="485"/>
      <c r="BQ286" s="485"/>
      <c r="BR286" s="485"/>
      <c r="BS286" s="485"/>
      <c r="BT286" s="485"/>
      <c r="BU286" s="485"/>
      <c r="BV286" s="485"/>
      <c r="BW286" s="485"/>
      <c r="BX286" s="485"/>
      <c r="BY286" s="485"/>
      <c r="BZ286" s="485"/>
      <c r="CA286" s="485"/>
      <c r="CB286" s="485"/>
      <c r="CC286" s="485"/>
      <c r="CD286" s="485"/>
      <c r="CE286" s="485"/>
      <c r="CF286" s="485"/>
      <c r="CG286" s="485"/>
      <c r="CH286" s="485"/>
      <c r="CI286" s="485"/>
      <c r="CJ286" s="485"/>
      <c r="CK286" s="485"/>
      <c r="CL286" s="485"/>
      <c r="CM286" s="485"/>
      <c r="CN286" s="485"/>
      <c r="CO286" s="485"/>
      <c r="CP286" s="485"/>
      <c r="CQ286" s="485"/>
      <c r="CR286" s="485"/>
      <c r="CS286" s="485"/>
      <c r="CT286" s="485"/>
      <c r="CU286" s="485"/>
      <c r="CV286" s="485"/>
      <c r="CW286" s="485"/>
      <c r="CX286" s="485"/>
      <c r="CY286" s="485"/>
      <c r="CZ286" s="485"/>
      <c r="DA286" s="485"/>
      <c r="DB286" s="485"/>
      <c r="DC286" s="485"/>
      <c r="DD286" s="485"/>
      <c r="DE286" s="485"/>
      <c r="DF286" s="485"/>
      <c r="DG286" s="485"/>
      <c r="DH286" s="485"/>
      <c r="DI286" s="485"/>
      <c r="DJ286" s="485"/>
      <c r="DK286" s="485"/>
      <c r="DL286" s="485"/>
      <c r="DM286" s="485"/>
      <c r="DN286" s="485"/>
      <c r="DO286" s="485"/>
      <c r="DP286" s="485"/>
      <c r="DQ286" s="485"/>
      <c r="DR286" s="485"/>
      <c r="DS286" s="485"/>
      <c r="DT286" s="485"/>
    </row>
    <row r="287" spans="1:124" s="5" customFormat="1" ht="30" customHeight="1" x14ac:dyDescent="0.3">
      <c r="A287" s="484"/>
      <c r="B287" s="515" t="s">
        <v>543</v>
      </c>
      <c r="C287" s="525">
        <v>442608</v>
      </c>
      <c r="D287" s="533"/>
      <c r="E287" s="406" t="s">
        <v>40</v>
      </c>
      <c r="F287" s="414" t="s">
        <v>241</v>
      </c>
      <c r="G287" s="415" t="s">
        <v>242</v>
      </c>
      <c r="H287" s="417">
        <v>1993</v>
      </c>
      <c r="I287" s="747" t="s">
        <v>214</v>
      </c>
      <c r="J287" s="379" t="s">
        <v>132</v>
      </c>
      <c r="K287" s="581">
        <v>96.9</v>
      </c>
      <c r="L287" s="456">
        <v>140</v>
      </c>
      <c r="M287" s="457">
        <v>145</v>
      </c>
      <c r="N287" s="597">
        <v>-150</v>
      </c>
      <c r="O287" s="490">
        <f t="shared" si="86"/>
        <v>145</v>
      </c>
      <c r="P287" s="452">
        <v>170</v>
      </c>
      <c r="Q287" s="453">
        <v>177</v>
      </c>
      <c r="R287" s="453">
        <v>185</v>
      </c>
      <c r="S287" s="490">
        <f t="shared" si="87"/>
        <v>185</v>
      </c>
      <c r="T287" s="489">
        <f>IF(E287="","",IF(OR(O287=0,S287=0),0,O287+S287))</f>
        <v>330</v>
      </c>
      <c r="U287" s="48" t="str">
        <f t="shared" si="88"/>
        <v>INTB + 0</v>
      </c>
      <c r="V287" s="48" t="str">
        <f>IF(E287=0," ",IF(E287="H",IF(H287&lt;1999,VLOOKUP(K287,Minimas!$A$15:$F$29,6),IF(AND(H287&gt;1998,H287&lt;2002),VLOOKUP(K287,Minimas!$A$15:$F$29,5),IF(AND(H287&gt;2001,H287&lt;2004),VLOOKUP(K287,Minimas!$A$15:$F$29,4),IF(AND(H287&gt;2003,H287&lt;2006),VLOOKUP(K287,Minimas!$A$15:$F$29,3),VLOOKUP(K287,Minimas!$A$15:$F$29,2))))),IF(H287&lt;1999,VLOOKUP(K287,Minimas!$G$15:$L$29,6),IF(AND(H287&gt;1998,H287&lt;2002),VLOOKUP(K287,Minimas!$G$15:$L$29,5),IF(AND(H287&gt;2001,H287&lt;2004),VLOOKUP(K287,Minimas!$G$15:$L$29,4),IF(AND(H287&gt;2003,H287&lt;2006),VLOOKUP(K287,Minimas!$G$15:$L$29,3),VLOOKUP(K287,Minimas!$G$15:$L$29,2)))))))</f>
        <v>SE M102</v>
      </c>
      <c r="W287" s="49">
        <f t="shared" si="89"/>
        <v>370.30194032973196</v>
      </c>
      <c r="X287" s="184">
        <v>43401</v>
      </c>
      <c r="Y287" s="284" t="s">
        <v>507</v>
      </c>
      <c r="Z287" s="284" t="s">
        <v>506</v>
      </c>
      <c r="AA287" s="232"/>
      <c r="AB287" s="230">
        <f>T287-HLOOKUP(V287,Minimas!$C$3:$CD$12,2,FALSE)</f>
        <v>170</v>
      </c>
      <c r="AC287" s="230">
        <f>T287-HLOOKUP(V287,Minimas!$C$3:$CD$12,3,FALSE)</f>
        <v>145</v>
      </c>
      <c r="AD287" s="230">
        <f>T287-HLOOKUP(V287,Minimas!$C$3:$CD$12,4,FALSE)</f>
        <v>120</v>
      </c>
      <c r="AE287" s="230">
        <f>T287-HLOOKUP(V287,Minimas!$C$3:$CD$12,5,FALSE)</f>
        <v>90</v>
      </c>
      <c r="AF287" s="230">
        <f>T287-HLOOKUP(V287,Minimas!$C$3:$CD$12,6,FALSE)</f>
        <v>60</v>
      </c>
      <c r="AG287" s="230">
        <f>T287-HLOOKUP(V287,Minimas!$C$3:$CD$12,7,FALSE)</f>
        <v>28</v>
      </c>
      <c r="AH287" s="230">
        <f>T287-HLOOKUP(V287,Minimas!$C$3:$CD$12,8,FALSE)</f>
        <v>0</v>
      </c>
      <c r="AI287" s="230">
        <f>T287-HLOOKUP(V287,Minimas!$C$3:$CD$12,9,FALSE)</f>
        <v>-20</v>
      </c>
      <c r="AJ287" s="230">
        <f>T287-HLOOKUP(V287,Minimas!$C$3:$CD$12,10,FALSE)</f>
        <v>-50</v>
      </c>
      <c r="AK287" s="231" t="str">
        <f t="shared" si="90"/>
        <v>INTB +</v>
      </c>
      <c r="AL287" s="232"/>
      <c r="AM287" s="232" t="str">
        <f t="shared" si="91"/>
        <v>INTB +</v>
      </c>
      <c r="AN287" s="232">
        <f t="shared" si="92"/>
        <v>0</v>
      </c>
      <c r="AO287" s="232"/>
      <c r="AP287" s="485"/>
      <c r="AQ287" s="485"/>
      <c r="AR287" s="485"/>
      <c r="AS287" s="485"/>
      <c r="AT287" s="485"/>
      <c r="AU287" s="485"/>
      <c r="AV287" s="485"/>
      <c r="AW287" s="485"/>
      <c r="AX287" s="485"/>
      <c r="AY287" s="485"/>
      <c r="AZ287" s="485"/>
      <c r="BA287" s="485"/>
      <c r="BB287" s="485"/>
      <c r="BC287" s="485"/>
      <c r="BD287" s="485"/>
      <c r="BE287" s="485"/>
      <c r="BF287" s="485"/>
      <c r="BG287" s="485"/>
      <c r="BH287" s="485"/>
      <c r="BI287" s="485"/>
      <c r="BJ287" s="485"/>
      <c r="BK287" s="485"/>
      <c r="BL287" s="485"/>
      <c r="BM287" s="485"/>
      <c r="BN287" s="485"/>
      <c r="BO287" s="485"/>
      <c r="BP287" s="485"/>
      <c r="BQ287" s="485"/>
      <c r="BR287" s="485"/>
      <c r="BS287" s="485"/>
      <c r="BT287" s="485"/>
      <c r="BU287" s="485"/>
      <c r="BV287" s="485"/>
      <c r="BW287" s="485"/>
      <c r="BX287" s="485"/>
      <c r="BY287" s="485"/>
      <c r="BZ287" s="485"/>
      <c r="CA287" s="485"/>
      <c r="CB287" s="485"/>
      <c r="CC287" s="485"/>
      <c r="CD287" s="485"/>
      <c r="CE287" s="485"/>
      <c r="CF287" s="485"/>
      <c r="CG287" s="485"/>
      <c r="CH287" s="485"/>
      <c r="CI287" s="485"/>
      <c r="CJ287" s="485"/>
      <c r="CK287" s="485"/>
      <c r="CL287" s="485"/>
      <c r="CM287" s="485"/>
      <c r="CN287" s="485"/>
      <c r="CO287" s="485"/>
      <c r="CP287" s="485"/>
      <c r="CQ287" s="485"/>
      <c r="CR287" s="485"/>
      <c r="CS287" s="485"/>
      <c r="CT287" s="485"/>
      <c r="CU287" s="485"/>
      <c r="CV287" s="485"/>
      <c r="CW287" s="485"/>
      <c r="CX287" s="485"/>
      <c r="CY287" s="485"/>
      <c r="CZ287" s="485"/>
      <c r="DA287" s="485"/>
      <c r="DB287" s="485"/>
      <c r="DC287" s="485"/>
      <c r="DD287" s="485"/>
      <c r="DE287" s="485"/>
      <c r="DF287" s="485"/>
      <c r="DG287" s="485"/>
      <c r="DH287" s="485"/>
      <c r="DI287" s="485"/>
      <c r="DJ287" s="485"/>
      <c r="DK287" s="485"/>
      <c r="DL287" s="485"/>
      <c r="DM287" s="485"/>
      <c r="DN287" s="485"/>
      <c r="DO287" s="485"/>
      <c r="DP287" s="485"/>
      <c r="DQ287" s="485"/>
      <c r="DR287" s="485"/>
      <c r="DS287" s="485"/>
      <c r="DT287" s="485"/>
    </row>
    <row r="288" spans="1:124" s="5" customFormat="1" ht="30" customHeight="1" x14ac:dyDescent="0.25">
      <c r="B288" s="355" t="s">
        <v>543</v>
      </c>
      <c r="C288" s="429">
        <v>273516</v>
      </c>
      <c r="D288" s="430"/>
      <c r="E288" s="323" t="s">
        <v>40</v>
      </c>
      <c r="F288" s="319" t="s">
        <v>609</v>
      </c>
      <c r="G288" s="320" t="s">
        <v>367</v>
      </c>
      <c r="H288" s="305">
        <v>1994</v>
      </c>
      <c r="I288" s="321" t="s">
        <v>336</v>
      </c>
      <c r="J288" s="493" t="s">
        <v>41</v>
      </c>
      <c r="K288" s="488">
        <v>100.5</v>
      </c>
      <c r="L288" s="300">
        <v>125</v>
      </c>
      <c r="M288" s="301">
        <v>130</v>
      </c>
      <c r="N288" s="449">
        <v>-132</v>
      </c>
      <c r="O288" s="358">
        <f t="shared" si="86"/>
        <v>130</v>
      </c>
      <c r="P288" s="300">
        <v>165</v>
      </c>
      <c r="Q288" s="449">
        <v>-172</v>
      </c>
      <c r="R288" s="301">
        <v>172</v>
      </c>
      <c r="S288" s="358">
        <f t="shared" si="87"/>
        <v>172</v>
      </c>
      <c r="T288" s="359">
        <f>IF(E288="","",IF(OR(O288=0,S288=0),0,O288+S288))</f>
        <v>302</v>
      </c>
      <c r="U288" s="360" t="str">
        <f t="shared" si="88"/>
        <v>NAT + 0</v>
      </c>
      <c r="V288" s="360" t="str">
        <f>IF(E288=0," ",IF(E288="H",IF(H288&lt;1999,VLOOKUP(K288,[30]Minimas!$A$15:$F$29,6),IF(AND(H288&gt;1998,H288&lt;2002),VLOOKUP(K288,[30]Minimas!$A$15:$F$29,5),IF(AND(H288&gt;2001,H288&lt;2004),VLOOKUP(K288,[30]Minimas!$A$15:$F$29,4),IF(AND(H288&gt;2003,H288&lt;2006),VLOOKUP(K288,[30]Minimas!$A$15:$F$29,3),VLOOKUP(K288,[30]Minimas!$A$15:$F$29,2))))),IF(H288&lt;1999,VLOOKUP(K288,[30]Minimas!$G$15:$L$29,6),IF(AND(H288&gt;1998,H288&lt;2002),VLOOKUP(K288,[30]Minimas!$G$15:$L$29,5),IF(AND(H288&gt;2001,H288&lt;2004),VLOOKUP(K288,[30]Minimas!$G$15:$L$29,4),IF(AND(H288&gt;2003,H288&lt;2006),VLOOKUP(K288,[30]Minimas!$G$15:$L$29,3),VLOOKUP(K288,[30]Minimas!$G$15:$L$29,2)))))))</f>
        <v>SE M102</v>
      </c>
      <c r="W288" s="361">
        <f t="shared" si="89"/>
        <v>334.26544883447332</v>
      </c>
      <c r="X288" s="257">
        <v>43561</v>
      </c>
      <c r="Y288" s="261" t="s">
        <v>846</v>
      </c>
      <c r="Z288" s="261" t="s">
        <v>806</v>
      </c>
      <c r="AA288" s="232"/>
      <c r="AB288" s="230">
        <f>T288-HLOOKUP(V288,[30]Minimas!$C$3:$CD$12,2,FALSE)</f>
        <v>142</v>
      </c>
      <c r="AC288" s="230">
        <f>T288-HLOOKUP(V288,[30]Minimas!$C$3:$CD$12,3,FALSE)</f>
        <v>117</v>
      </c>
      <c r="AD288" s="230">
        <f>T288-HLOOKUP(V288,[30]Minimas!$C$3:$CD$12,4,FALSE)</f>
        <v>92</v>
      </c>
      <c r="AE288" s="230">
        <f>T288-HLOOKUP(V288,[30]Minimas!$C$3:$CD$12,5,FALSE)</f>
        <v>62</v>
      </c>
      <c r="AF288" s="230">
        <f>T288-HLOOKUP(V288,[30]Minimas!$C$3:$CD$12,6,FALSE)</f>
        <v>32</v>
      </c>
      <c r="AG288" s="230">
        <f>T288-HLOOKUP(V288,[30]Minimas!$C$3:$CD$12,7,FALSE)</f>
        <v>0</v>
      </c>
      <c r="AH288" s="230">
        <f>T288-HLOOKUP(V288,[30]Minimas!$C$3:$CD$12,8,FALSE)</f>
        <v>-28</v>
      </c>
      <c r="AI288" s="230">
        <f>T288-HLOOKUP(V288,[30]Minimas!$C$3:$CD$12,9,FALSE)</f>
        <v>-48</v>
      </c>
      <c r="AJ288" s="230">
        <f>T288-HLOOKUP(V288,[30]Minimas!$C$3:$CD$12,10,FALSE)</f>
        <v>-78</v>
      </c>
      <c r="AK288" s="231" t="str">
        <f t="shared" si="90"/>
        <v>NAT +</v>
      </c>
      <c r="AL288" s="232"/>
      <c r="AM288" s="232" t="str">
        <f t="shared" si="91"/>
        <v>NAT +</v>
      </c>
      <c r="AN288" s="232">
        <f t="shared" si="92"/>
        <v>0</v>
      </c>
      <c r="AO288" s="232"/>
      <c r="AP288" s="38"/>
      <c r="AQ288" s="38"/>
      <c r="AR288" s="38"/>
      <c r="AS288" s="38"/>
      <c r="AT288" s="38"/>
      <c r="AU288" s="38"/>
      <c r="AV288" s="38"/>
      <c r="AW288" s="38"/>
      <c r="AX288" s="38"/>
      <c r="AY288" s="38"/>
      <c r="AZ288" s="38"/>
      <c r="BA288" s="38"/>
      <c r="BB288" s="38"/>
      <c r="BC288" s="38"/>
      <c r="BD288" s="38"/>
      <c r="BE288" s="38"/>
      <c r="BF288" s="38"/>
      <c r="BG288" s="38"/>
      <c r="BH288" s="38"/>
      <c r="BI288" s="38"/>
      <c r="BJ288" s="38"/>
      <c r="BK288" s="38"/>
      <c r="BL288" s="38"/>
      <c r="BM288" s="38"/>
      <c r="BN288" s="38"/>
      <c r="BO288" s="38"/>
      <c r="BP288" s="38"/>
      <c r="BQ288" s="38"/>
      <c r="BR288" s="38"/>
      <c r="BS288" s="38"/>
      <c r="BT288" s="38"/>
      <c r="BU288" s="38"/>
      <c r="BV288" s="38"/>
      <c r="BW288" s="38"/>
      <c r="BX288" s="38"/>
      <c r="BY288" s="38"/>
      <c r="BZ288" s="38"/>
      <c r="CA288" s="38"/>
      <c r="CB288" s="38"/>
      <c r="CC288" s="38"/>
      <c r="CD288" s="38"/>
      <c r="CE288" s="38"/>
      <c r="CF288" s="38"/>
      <c r="CG288" s="38"/>
      <c r="CH288" s="38"/>
      <c r="CI288" s="38"/>
      <c r="CJ288" s="38"/>
      <c r="CK288" s="38"/>
      <c r="CL288" s="38"/>
      <c r="CM288" s="38"/>
      <c r="CN288" s="38"/>
      <c r="CO288" s="38"/>
      <c r="CP288" s="38"/>
      <c r="CQ288" s="38"/>
      <c r="CR288" s="38"/>
      <c r="CS288" s="38"/>
      <c r="CT288" s="38"/>
      <c r="CU288" s="38"/>
      <c r="CV288" s="38"/>
      <c r="CW288" s="38"/>
      <c r="CX288" s="38"/>
      <c r="CY288" s="38"/>
      <c r="CZ288" s="38"/>
      <c r="DA288" s="38"/>
      <c r="DB288" s="38"/>
      <c r="DC288" s="38"/>
      <c r="DD288" s="38"/>
      <c r="DE288" s="38"/>
      <c r="DF288" s="38"/>
      <c r="DG288" s="38"/>
      <c r="DH288" s="38"/>
      <c r="DI288" s="38"/>
      <c r="DJ288" s="38"/>
      <c r="DK288" s="38"/>
      <c r="DL288" s="38"/>
      <c r="DM288" s="38"/>
      <c r="DN288" s="38"/>
      <c r="DO288" s="38"/>
      <c r="DP288" s="38"/>
      <c r="DQ288" s="38"/>
      <c r="DR288" s="38"/>
      <c r="DS288" s="38"/>
      <c r="DT288" s="38"/>
    </row>
    <row r="289" spans="1:124" s="5" customFormat="1" ht="30" customHeight="1" x14ac:dyDescent="0.25">
      <c r="B289" s="505" t="s">
        <v>543</v>
      </c>
      <c r="C289" s="506">
        <v>447456</v>
      </c>
      <c r="D289" s="507"/>
      <c r="E289" s="508" t="s">
        <v>40</v>
      </c>
      <c r="F289" s="439" t="s">
        <v>629</v>
      </c>
      <c r="G289" s="440" t="s">
        <v>411</v>
      </c>
      <c r="H289" s="509">
        <v>1987</v>
      </c>
      <c r="I289" s="324" t="s">
        <v>440</v>
      </c>
      <c r="J289" s="510"/>
      <c r="K289" s="511">
        <v>100.6</v>
      </c>
      <c r="L289" s="300">
        <v>97</v>
      </c>
      <c r="M289" s="301">
        <v>102</v>
      </c>
      <c r="N289" s="301">
        <v>107</v>
      </c>
      <c r="O289" s="358">
        <f t="shared" si="86"/>
        <v>107</v>
      </c>
      <c r="P289" s="300">
        <v>-125</v>
      </c>
      <c r="Q289" s="301">
        <v>125</v>
      </c>
      <c r="R289" s="301">
        <v>-133</v>
      </c>
      <c r="S289" s="358">
        <f t="shared" si="87"/>
        <v>125</v>
      </c>
      <c r="T289" s="359">
        <f>IF(E289="","",IF(OR(O289=0,S289=0),0,O289+S289))</f>
        <v>232</v>
      </c>
      <c r="U289" s="360" t="str">
        <f t="shared" si="88"/>
        <v>REG + 22</v>
      </c>
      <c r="V289" s="360" t="str">
        <f>IF(E289=0," ",IF(E289="H",IF(H289&lt;1999,VLOOKUP(K289,[3]Minimas!$A$15:$F$29,6),IF(AND(H289&gt;1998,H289&lt;2002),VLOOKUP(K289,[3]Minimas!$A$15:$F$29,5),IF(AND(H289&gt;2001,H289&lt;2004),VLOOKUP(K289,[3]Minimas!$A$15:$F$29,4),IF(AND(H289&gt;2003,H289&lt;2006),VLOOKUP(K289,[3]Minimas!$A$15:$F$29,3),VLOOKUP(K289,[3]Minimas!$A$15:$F$29,2))))),IF(H289&lt;1999,VLOOKUP(K289,[3]Minimas!$G$15:$L$29,6),IF(AND(H289&gt;1998,H289&lt;2002),VLOOKUP(K289,[3]Minimas!$G$15:$L$29,5),IF(AND(H289&gt;2001,H289&lt;2004),VLOOKUP(K289,[3]Minimas!$G$15:$L$29,4),IF(AND(H289&gt;2003,H289&lt;2006),VLOOKUP(K289,[3]Minimas!$G$15:$L$29,3),VLOOKUP(K289,[3]Minimas!$G$15:$L$29,2)))))))</f>
        <v>SE M102</v>
      </c>
      <c r="W289" s="361">
        <f t="shared" si="89"/>
        <v>256.69380778264525</v>
      </c>
      <c r="X289" s="257">
        <v>43610</v>
      </c>
      <c r="Y289" s="261" t="s">
        <v>892</v>
      </c>
      <c r="Z289" s="261" t="s">
        <v>829</v>
      </c>
      <c r="AA289" s="232"/>
      <c r="AB289" s="230">
        <f>T289-HLOOKUP(V289,[3]Minimas!$C$3:$CD$12,2,FALSE)</f>
        <v>72</v>
      </c>
      <c r="AC289" s="230">
        <f>T289-HLOOKUP(V289,[3]Minimas!$C$3:$CD$12,3,FALSE)</f>
        <v>47</v>
      </c>
      <c r="AD289" s="230">
        <f>T289-HLOOKUP(V289,[3]Minimas!$C$3:$CD$12,4,FALSE)</f>
        <v>22</v>
      </c>
      <c r="AE289" s="230">
        <f>T289-HLOOKUP(V289,[3]Minimas!$C$3:$CD$12,5,FALSE)</f>
        <v>-8</v>
      </c>
      <c r="AF289" s="230">
        <f>T289-HLOOKUP(V289,[3]Minimas!$C$3:$CD$12,6,FALSE)</f>
        <v>-38</v>
      </c>
      <c r="AG289" s="230">
        <f>T289-HLOOKUP(V289,[3]Minimas!$C$3:$CD$12,7,FALSE)</f>
        <v>-70</v>
      </c>
      <c r="AH289" s="230">
        <f>T289-HLOOKUP(V289,[3]Minimas!$C$3:$CD$12,8,FALSE)</f>
        <v>-98</v>
      </c>
      <c r="AI289" s="230">
        <f>T289-HLOOKUP(V289,[3]Minimas!$C$3:$CD$12,9,FALSE)</f>
        <v>-118</v>
      </c>
      <c r="AJ289" s="230">
        <f>T289-HLOOKUP(V289,[3]Minimas!$C$3:$CD$12,10,FALSE)</f>
        <v>-148</v>
      </c>
      <c r="AK289" s="231" t="str">
        <f t="shared" si="90"/>
        <v>REG +</v>
      </c>
      <c r="AL289" s="232"/>
      <c r="AM289" s="232" t="str">
        <f t="shared" si="91"/>
        <v>REG +</v>
      </c>
      <c r="AN289" s="232">
        <f t="shared" si="92"/>
        <v>22</v>
      </c>
      <c r="AO289" s="232"/>
      <c r="AP289" s="38"/>
      <c r="AQ289" s="38"/>
      <c r="AR289" s="38"/>
      <c r="AS289" s="38"/>
      <c r="AT289" s="38"/>
      <c r="AU289" s="38"/>
      <c r="AV289" s="38"/>
      <c r="AW289" s="38"/>
      <c r="AX289" s="38"/>
      <c r="AY289" s="38"/>
      <c r="AZ289" s="38"/>
      <c r="BA289" s="38"/>
      <c r="BB289" s="38"/>
      <c r="BC289" s="38"/>
      <c r="BD289" s="38"/>
      <c r="BE289" s="38"/>
      <c r="BF289" s="38"/>
      <c r="BG289" s="38"/>
      <c r="BH289" s="38"/>
      <c r="BI289" s="38"/>
      <c r="BJ289" s="38"/>
      <c r="BK289" s="38"/>
      <c r="BL289" s="38"/>
      <c r="BM289" s="38"/>
      <c r="BN289" s="38"/>
      <c r="BO289" s="38"/>
      <c r="BP289" s="38"/>
      <c r="BQ289" s="38"/>
      <c r="BR289" s="38"/>
      <c r="BS289" s="38"/>
      <c r="BT289" s="38"/>
      <c r="BU289" s="38"/>
      <c r="BV289" s="38"/>
      <c r="BW289" s="38"/>
      <c r="BX289" s="38"/>
      <c r="BY289" s="38"/>
      <c r="BZ289" s="38"/>
      <c r="CA289" s="38"/>
      <c r="CB289" s="38"/>
      <c r="CC289" s="38"/>
      <c r="CD289" s="38"/>
      <c r="CE289" s="38"/>
      <c r="CF289" s="38"/>
      <c r="CG289" s="38"/>
      <c r="CH289" s="38"/>
      <c r="CI289" s="38"/>
      <c r="CJ289" s="38"/>
      <c r="CK289" s="38"/>
      <c r="CL289" s="38"/>
      <c r="CM289" s="38"/>
      <c r="CN289" s="38"/>
      <c r="CO289" s="38"/>
      <c r="CP289" s="38"/>
      <c r="CQ289" s="38"/>
      <c r="CR289" s="38"/>
      <c r="CS289" s="38"/>
      <c r="CT289" s="38"/>
      <c r="CU289" s="38"/>
      <c r="CV289" s="38"/>
      <c r="CW289" s="38"/>
      <c r="CX289" s="38"/>
      <c r="CY289" s="38"/>
      <c r="CZ289" s="38"/>
      <c r="DA289" s="38"/>
      <c r="DB289" s="38"/>
      <c r="DC289" s="38"/>
      <c r="DD289" s="38"/>
      <c r="DE289" s="38"/>
      <c r="DF289" s="38"/>
      <c r="DG289" s="38"/>
      <c r="DH289" s="38"/>
      <c r="DI289" s="38"/>
      <c r="DJ289" s="38"/>
      <c r="DK289" s="38"/>
      <c r="DL289" s="38"/>
      <c r="DM289" s="38"/>
      <c r="DN289" s="38"/>
      <c r="DO289" s="38"/>
      <c r="DP289" s="38"/>
      <c r="DQ289" s="38"/>
      <c r="DR289" s="38"/>
      <c r="DS289" s="38"/>
      <c r="DT289" s="38"/>
    </row>
    <row r="290" spans="1:124" s="5" customFormat="1" ht="30" customHeight="1" x14ac:dyDescent="0.3">
      <c r="B290" s="515" t="s">
        <v>543</v>
      </c>
      <c r="C290" s="701">
        <v>383200</v>
      </c>
      <c r="D290" s="714"/>
      <c r="E290" s="406" t="s">
        <v>40</v>
      </c>
      <c r="F290" s="407" t="s">
        <v>236</v>
      </c>
      <c r="G290" s="408" t="s">
        <v>262</v>
      </c>
      <c r="H290" s="409">
        <v>1987</v>
      </c>
      <c r="I290" s="410" t="s">
        <v>214</v>
      </c>
      <c r="J290" s="379" t="s">
        <v>44</v>
      </c>
      <c r="K290" s="777">
        <v>101</v>
      </c>
      <c r="L290" s="452">
        <v>95</v>
      </c>
      <c r="M290" s="796">
        <v>-101</v>
      </c>
      <c r="N290" s="453">
        <v>101</v>
      </c>
      <c r="O290" s="490">
        <f t="shared" si="86"/>
        <v>101</v>
      </c>
      <c r="P290" s="452">
        <v>115</v>
      </c>
      <c r="Q290" s="453">
        <v>121</v>
      </c>
      <c r="R290" s="453">
        <v>125</v>
      </c>
      <c r="S290" s="490">
        <f t="shared" si="87"/>
        <v>125</v>
      </c>
      <c r="T290" s="489">
        <f>IF(E290="","",IF(OR(O290=0,S290=0),0,O290+S290))</f>
        <v>226</v>
      </c>
      <c r="U290" s="48" t="str">
        <f t="shared" si="88"/>
        <v>REG + 16</v>
      </c>
      <c r="V290" s="48" t="str">
        <f>IF(E290=0," ",IF(E290="H",IF(H290&lt;1999,VLOOKUP(K290,Minimas!$A$15:$F$29,6),IF(AND(H290&gt;1998,H290&lt;2002),VLOOKUP(K290,Minimas!$A$15:$F$29,5),IF(AND(H290&gt;2001,H290&lt;2004),VLOOKUP(K290,Minimas!$A$15:$F$29,4),IF(AND(H290&gt;2003,H290&lt;2006),VLOOKUP(K290,Minimas!$A$15:$F$29,3),VLOOKUP(K290,Minimas!$A$15:$F$29,2))))),IF(H290&lt;1999,VLOOKUP(K290,Minimas!$G$15:$L$29,6),IF(AND(H290&gt;1998,H290&lt;2002),VLOOKUP(K290,Minimas!$G$15:$L$29,5),IF(AND(H290&gt;2001,H290&lt;2004),VLOOKUP(K290,Minimas!$G$15:$L$29,4),IF(AND(H290&gt;2003,H290&lt;2006),VLOOKUP(K290,Minimas!$G$15:$L$29,3),VLOOKUP(K290,Minimas!$G$15:$L$29,2)))))))</f>
        <v>SE M102</v>
      </c>
      <c r="W290" s="49">
        <f t="shared" si="89"/>
        <v>249.69603501712348</v>
      </c>
      <c r="X290" s="184">
        <v>43435</v>
      </c>
      <c r="Y290" s="284" t="s">
        <v>509</v>
      </c>
      <c r="Z290" s="284" t="s">
        <v>511</v>
      </c>
      <c r="AA290" s="232"/>
      <c r="AB290" s="230">
        <f>T290-HLOOKUP(V290,Minimas!$C$3:$CD$12,2,FALSE)</f>
        <v>66</v>
      </c>
      <c r="AC290" s="230">
        <f>T290-HLOOKUP(V290,Minimas!$C$3:$CD$12,3,FALSE)</f>
        <v>41</v>
      </c>
      <c r="AD290" s="230">
        <f>T290-HLOOKUP(V290,Minimas!$C$3:$CD$12,4,FALSE)</f>
        <v>16</v>
      </c>
      <c r="AE290" s="230">
        <f>T290-HLOOKUP(V290,Minimas!$C$3:$CD$12,5,FALSE)</f>
        <v>-14</v>
      </c>
      <c r="AF290" s="230">
        <f>T290-HLOOKUP(V290,Minimas!$C$3:$CD$12,6,FALSE)</f>
        <v>-44</v>
      </c>
      <c r="AG290" s="230">
        <f>T290-HLOOKUP(V290,Minimas!$C$3:$CD$12,7,FALSE)</f>
        <v>-76</v>
      </c>
      <c r="AH290" s="230">
        <f>T290-HLOOKUP(V290,Minimas!$C$3:$CD$12,8,FALSE)</f>
        <v>-104</v>
      </c>
      <c r="AI290" s="230">
        <f>T290-HLOOKUP(V290,Minimas!$C$3:$CD$12,9,FALSE)</f>
        <v>-124</v>
      </c>
      <c r="AJ290" s="230">
        <f>T290-HLOOKUP(V290,Minimas!$C$3:$CD$12,10,FALSE)</f>
        <v>-154</v>
      </c>
      <c r="AK290" s="231" t="str">
        <f t="shared" si="90"/>
        <v>REG +</v>
      </c>
      <c r="AL290" s="232"/>
      <c r="AM290" s="232" t="str">
        <f t="shared" si="91"/>
        <v>REG +</v>
      </c>
      <c r="AN290" s="232">
        <f t="shared" si="92"/>
        <v>16</v>
      </c>
      <c r="AO290" s="232"/>
      <c r="AP290" s="38"/>
      <c r="AQ290" s="38"/>
      <c r="AR290" s="38"/>
      <c r="AS290" s="38"/>
      <c r="AT290" s="38"/>
      <c r="AU290" s="38"/>
      <c r="AV290" s="38"/>
      <c r="AW290" s="38"/>
      <c r="AX290" s="38"/>
      <c r="AY290" s="38"/>
      <c r="AZ290" s="38"/>
      <c r="BA290" s="38"/>
      <c r="BB290" s="38"/>
      <c r="BC290" s="38"/>
      <c r="BD290" s="38"/>
      <c r="BE290" s="38"/>
      <c r="BF290" s="38"/>
      <c r="BG290" s="38"/>
      <c r="BH290" s="38"/>
      <c r="BI290" s="38"/>
      <c r="BJ290" s="38"/>
      <c r="BK290" s="38"/>
      <c r="BL290" s="38"/>
      <c r="BM290" s="38"/>
      <c r="BN290" s="38"/>
      <c r="BO290" s="38"/>
      <c r="BP290" s="38"/>
      <c r="BQ290" s="38"/>
      <c r="BR290" s="38"/>
      <c r="BS290" s="38"/>
      <c r="BT290" s="38"/>
      <c r="BU290" s="38"/>
      <c r="BV290" s="38"/>
      <c r="BW290" s="38"/>
      <c r="BX290" s="38"/>
      <c r="BY290" s="38"/>
      <c r="BZ290" s="38"/>
      <c r="CA290" s="38"/>
      <c r="CB290" s="38"/>
      <c r="CC290" s="38"/>
      <c r="CD290" s="38"/>
      <c r="CE290" s="38"/>
      <c r="CF290" s="38"/>
      <c r="CG290" s="38"/>
      <c r="CH290" s="38"/>
      <c r="CI290" s="38"/>
      <c r="CJ290" s="38"/>
      <c r="CK290" s="38"/>
      <c r="CL290" s="38"/>
      <c r="CM290" s="38"/>
      <c r="CN290" s="38"/>
      <c r="CO290" s="38"/>
      <c r="CP290" s="38"/>
      <c r="CQ290" s="38"/>
      <c r="CR290" s="38"/>
      <c r="CS290" s="38"/>
      <c r="CT290" s="38"/>
      <c r="CU290" s="38"/>
      <c r="CV290" s="38"/>
      <c r="CW290" s="38"/>
      <c r="CX290" s="38"/>
      <c r="CY290" s="38"/>
      <c r="CZ290" s="38"/>
      <c r="DA290" s="38"/>
      <c r="DB290" s="38"/>
      <c r="DC290" s="38"/>
      <c r="DD290" s="38"/>
      <c r="DE290" s="38"/>
      <c r="DF290" s="38"/>
      <c r="DG290" s="38"/>
      <c r="DH290" s="38"/>
      <c r="DI290" s="38"/>
      <c r="DJ290" s="38"/>
      <c r="DK290" s="38"/>
      <c r="DL290" s="38"/>
      <c r="DM290" s="38"/>
      <c r="DN290" s="38"/>
      <c r="DO290" s="38"/>
      <c r="DP290" s="38"/>
      <c r="DQ290" s="38"/>
      <c r="DR290" s="38"/>
      <c r="DS290" s="38"/>
      <c r="DT290" s="38"/>
    </row>
    <row r="291" spans="1:124" s="5" customFormat="1" ht="30" customHeight="1" x14ac:dyDescent="0.25">
      <c r="A291" s="1"/>
      <c r="B291" s="515" t="s">
        <v>543</v>
      </c>
      <c r="C291" s="499">
        <v>445925</v>
      </c>
      <c r="D291" s="496"/>
      <c r="E291" s="323" t="s">
        <v>40</v>
      </c>
      <c r="F291" s="486" t="s">
        <v>528</v>
      </c>
      <c r="G291" s="487" t="s">
        <v>529</v>
      </c>
      <c r="H291" s="492">
        <v>1998</v>
      </c>
      <c r="I291" s="528" t="s">
        <v>129</v>
      </c>
      <c r="J291" s="493" t="s">
        <v>44</v>
      </c>
      <c r="K291" s="488">
        <v>96.6</v>
      </c>
      <c r="L291" s="300">
        <v>80</v>
      </c>
      <c r="M291" s="301">
        <v>85</v>
      </c>
      <c r="N291" s="301">
        <v>90</v>
      </c>
      <c r="O291" s="490">
        <f t="shared" si="86"/>
        <v>90</v>
      </c>
      <c r="P291" s="300">
        <v>110</v>
      </c>
      <c r="Q291" s="301">
        <v>115</v>
      </c>
      <c r="R291" s="449">
        <v>-120</v>
      </c>
      <c r="S291" s="490">
        <f t="shared" si="87"/>
        <v>115</v>
      </c>
      <c r="T291" s="489">
        <f>IF(E291="","",O291+S291)</f>
        <v>205</v>
      </c>
      <c r="U291" s="48" t="str">
        <f t="shared" si="88"/>
        <v>DPT + 20</v>
      </c>
      <c r="V291" s="48" t="str">
        <f>IF(E291=0," ",IF(E291="H",IF(H291&lt;1999,VLOOKUP(K291,[13]Minimas!$A$15:$F$29,6),IF(AND(H291&gt;1998,H291&lt;2002),VLOOKUP(K291,[13]Minimas!$A$15:$F$29,5),IF(AND(H291&gt;2001,H291&lt;2004),VLOOKUP(K291,[13]Minimas!$A$15:$F$29,4),IF(AND(H291&gt;2003,H291&lt;2006),VLOOKUP(K291,[13]Minimas!$A$15:$F$29,3),VLOOKUP(K291,[13]Minimas!$A$15:$F$29,2))))),IF(H291&lt;1999,VLOOKUP(K291,[13]Minimas!$G$15:$L$29,6),IF(AND(H291&gt;1998,H291&lt;2002),VLOOKUP(K291,[13]Minimas!$G$15:$L$29,5),IF(AND(H291&gt;2001,H291&lt;2004),VLOOKUP(K291,[13]Minimas!$G$15:$L$29,4),IF(AND(H291&gt;2003,H291&lt;2006),VLOOKUP(K291,[13]Minimas!$G$15:$L$29,3),VLOOKUP(K291,[13]Minimas!$G$15:$L$29,2)))))))</f>
        <v>SE M102</v>
      </c>
      <c r="W291" s="49">
        <f t="shared" si="89"/>
        <v>230.31367407035555</v>
      </c>
      <c r="X291" s="257">
        <v>43540</v>
      </c>
      <c r="Y291" s="261" t="s">
        <v>714</v>
      </c>
      <c r="Z291" s="261" t="s">
        <v>704</v>
      </c>
      <c r="AA291" s="463"/>
      <c r="AB291" s="230">
        <f>T291-HLOOKUP(V291,Minimas!$C$3:$CD$12,2,FALSE)</f>
        <v>45</v>
      </c>
      <c r="AC291" s="230">
        <f>T291-HLOOKUP(V291,Minimas!$C$3:$CD$12,3,FALSE)</f>
        <v>20</v>
      </c>
      <c r="AD291" s="230">
        <f>T291-HLOOKUP(V291,Minimas!$C$3:$CD$12,4,FALSE)</f>
        <v>-5</v>
      </c>
      <c r="AE291" s="230">
        <f>T291-HLOOKUP(V291,Minimas!$C$3:$CD$12,5,FALSE)</f>
        <v>-35</v>
      </c>
      <c r="AF291" s="230">
        <f>T291-HLOOKUP(V291,Minimas!$C$3:$CD$12,6,FALSE)</f>
        <v>-65</v>
      </c>
      <c r="AG291" s="230">
        <f>T291-HLOOKUP(V291,Minimas!$C$3:$CD$12,7,FALSE)</f>
        <v>-97</v>
      </c>
      <c r="AH291" s="230">
        <f>T291-HLOOKUP(V291,Minimas!$C$3:$CD$12,8,FALSE)</f>
        <v>-125</v>
      </c>
      <c r="AI291" s="230">
        <f>T291-HLOOKUP(V291,Minimas!$C$3:$CD$12,9,FALSE)</f>
        <v>-145</v>
      </c>
      <c r="AJ291" s="230">
        <f>T291-HLOOKUP(V291,Minimas!$C$3:$CD$12,10,FALSE)</f>
        <v>-175</v>
      </c>
      <c r="AK291" s="231" t="str">
        <f t="shared" si="90"/>
        <v>DPT +</v>
      </c>
      <c r="AL291" s="232"/>
      <c r="AM291" s="232" t="str">
        <f t="shared" si="91"/>
        <v>DPT +</v>
      </c>
      <c r="AN291" s="232">
        <f t="shared" si="92"/>
        <v>20</v>
      </c>
      <c r="AO291" s="463"/>
      <c r="AP291" s="34"/>
      <c r="AQ291" s="34"/>
      <c r="AR291" s="34"/>
      <c r="AS291" s="34"/>
      <c r="AT291" s="34"/>
      <c r="AU291" s="34"/>
      <c r="AV291" s="34"/>
      <c r="AW291" s="34"/>
      <c r="AX291" s="34"/>
      <c r="AY291" s="34"/>
      <c r="AZ291" s="34"/>
      <c r="BA291" s="34"/>
      <c r="BB291" s="34"/>
      <c r="BC291" s="34"/>
      <c r="BD291" s="34"/>
      <c r="BE291" s="34"/>
      <c r="BF291" s="34"/>
      <c r="BG291" s="34"/>
      <c r="BH291" s="34"/>
      <c r="BI291" s="34"/>
      <c r="BJ291" s="34"/>
      <c r="BK291" s="34"/>
      <c r="BL291" s="34"/>
      <c r="BM291" s="34"/>
      <c r="BN291" s="34"/>
      <c r="BO291" s="34"/>
      <c r="BP291" s="34"/>
      <c r="BQ291" s="34"/>
      <c r="BR291" s="34"/>
      <c r="BS291" s="34"/>
      <c r="BT291" s="34"/>
      <c r="BU291" s="34"/>
      <c r="BV291" s="34"/>
      <c r="BW291" s="34"/>
      <c r="BX291" s="34"/>
      <c r="BY291" s="34"/>
      <c r="BZ291" s="34"/>
      <c r="CA291" s="34"/>
      <c r="CB291" s="34"/>
      <c r="CC291" s="34"/>
      <c r="CD291" s="34"/>
      <c r="CE291" s="34"/>
      <c r="CF291" s="34"/>
      <c r="CG291" s="34"/>
      <c r="CH291" s="34"/>
      <c r="CI291" s="34"/>
      <c r="CJ291" s="34"/>
      <c r="CK291" s="34"/>
      <c r="CL291" s="34"/>
      <c r="CM291" s="34"/>
      <c r="CN291" s="34"/>
      <c r="CO291" s="34"/>
      <c r="CP291" s="34"/>
      <c r="CQ291" s="34"/>
      <c r="CR291" s="34"/>
      <c r="CS291" s="34"/>
      <c r="CT291" s="34"/>
      <c r="CU291" s="34"/>
      <c r="CV291" s="34"/>
      <c r="CW291" s="34"/>
      <c r="CX291" s="34"/>
      <c r="CY291" s="34"/>
      <c r="CZ291" s="34"/>
      <c r="DA291" s="34"/>
      <c r="DB291" s="34"/>
      <c r="DC291" s="34"/>
      <c r="DD291" s="34"/>
      <c r="DE291" s="34"/>
      <c r="DF291" s="34"/>
      <c r="DG291" s="34"/>
      <c r="DH291" s="34"/>
      <c r="DI291" s="34"/>
      <c r="DJ291" s="34"/>
      <c r="DK291" s="34"/>
      <c r="DL291" s="34"/>
      <c r="DM291" s="34"/>
      <c r="DN291" s="34"/>
      <c r="DO291" s="34"/>
      <c r="DP291" s="34"/>
      <c r="DQ291" s="34"/>
      <c r="DR291" s="34"/>
      <c r="DS291" s="34"/>
      <c r="DT291" s="34"/>
    </row>
    <row r="292" spans="1:124" s="5" customFormat="1" ht="30" customHeight="1" x14ac:dyDescent="0.25">
      <c r="B292" s="515" t="s">
        <v>543</v>
      </c>
      <c r="C292" s="525">
        <v>444750</v>
      </c>
      <c r="D292" s="539"/>
      <c r="E292" s="406" t="s">
        <v>40</v>
      </c>
      <c r="F292" s="423" t="s">
        <v>451</v>
      </c>
      <c r="G292" s="415" t="s">
        <v>452</v>
      </c>
      <c r="H292" s="380">
        <v>1994</v>
      </c>
      <c r="I292" s="425" t="s">
        <v>440</v>
      </c>
      <c r="J292" s="381" t="s">
        <v>41</v>
      </c>
      <c r="K292" s="585">
        <v>101</v>
      </c>
      <c r="L292" s="456">
        <v>85</v>
      </c>
      <c r="M292" s="457">
        <v>90</v>
      </c>
      <c r="N292" s="596">
        <v>-95</v>
      </c>
      <c r="O292" s="490">
        <f t="shared" si="86"/>
        <v>90</v>
      </c>
      <c r="P292" s="456">
        <v>110</v>
      </c>
      <c r="Q292" s="596">
        <v>-115</v>
      </c>
      <c r="R292" s="596">
        <v>-115</v>
      </c>
      <c r="S292" s="490">
        <f t="shared" si="87"/>
        <v>110</v>
      </c>
      <c r="T292" s="489">
        <f>IF(E292="","",IF(OR(O292=0,S292=0),0,O292+S292))</f>
        <v>200</v>
      </c>
      <c r="U292" s="48" t="str">
        <f t="shared" si="88"/>
        <v>DPT + 15</v>
      </c>
      <c r="V292" s="48" t="str">
        <f>IF(E292=0," ",IF(E292="H",IF(H292&lt;1999,VLOOKUP(K292,Minimas!$A$15:$F$29,6),IF(AND(H292&gt;1998,H292&lt;2002),VLOOKUP(K292,Minimas!$A$15:$F$29,5),IF(AND(H292&gt;2001,H292&lt;2004),VLOOKUP(K292,Minimas!$A$15:$F$29,4),IF(AND(H292&gt;2003,H292&lt;2006),VLOOKUP(K292,Minimas!$A$15:$F$29,3),VLOOKUP(K292,Minimas!$A$15:$F$29,2))))),IF(H292&lt;1999,VLOOKUP(K292,Minimas!$G$15:$L$29,6),IF(AND(H292&gt;1998,H292&lt;2002),VLOOKUP(K292,Minimas!$G$15:$L$29,5),IF(AND(H292&gt;2001,H292&lt;2004),VLOOKUP(K292,Minimas!$G$15:$L$29,4),IF(AND(H292&gt;2003,H292&lt;2006),VLOOKUP(K292,Minimas!$G$15:$L$29,3),VLOOKUP(K292,Minimas!$G$15:$L$29,2)))))))</f>
        <v>SE M102</v>
      </c>
      <c r="W292" s="49">
        <f t="shared" si="89"/>
        <v>220.96994249302963</v>
      </c>
      <c r="X292" s="257">
        <v>43484</v>
      </c>
      <c r="Y292" s="261" t="s">
        <v>630</v>
      </c>
      <c r="Z292" s="261" t="s">
        <v>581</v>
      </c>
      <c r="AA292" s="232"/>
      <c r="AB292" s="230">
        <f>T292-HLOOKUP(V292,Minimas!$C$3:$CD$12,2,FALSE)</f>
        <v>40</v>
      </c>
      <c r="AC292" s="230">
        <f>T292-HLOOKUP(V292,Minimas!$C$3:$CD$12,3,FALSE)</f>
        <v>15</v>
      </c>
      <c r="AD292" s="230">
        <f>T292-HLOOKUP(V292,Minimas!$C$3:$CD$12,4,FALSE)</f>
        <v>-10</v>
      </c>
      <c r="AE292" s="230">
        <f>T292-HLOOKUP(V292,Minimas!$C$3:$CD$12,5,FALSE)</f>
        <v>-40</v>
      </c>
      <c r="AF292" s="230">
        <f>T292-HLOOKUP(V292,Minimas!$C$3:$CD$12,6,FALSE)</f>
        <v>-70</v>
      </c>
      <c r="AG292" s="230">
        <f>T292-HLOOKUP(V292,Minimas!$C$3:$CD$12,7,FALSE)</f>
        <v>-102</v>
      </c>
      <c r="AH292" s="230">
        <f>T292-HLOOKUP(V292,Minimas!$C$3:$CD$12,8,FALSE)</f>
        <v>-130</v>
      </c>
      <c r="AI292" s="230">
        <f>T292-HLOOKUP(V292,Minimas!$C$3:$CD$12,9,FALSE)</f>
        <v>-150</v>
      </c>
      <c r="AJ292" s="230">
        <f>T292-HLOOKUP(V292,Minimas!$C$3:$CD$12,10,FALSE)</f>
        <v>-180</v>
      </c>
      <c r="AK292" s="231" t="str">
        <f t="shared" si="90"/>
        <v>DPT +</v>
      </c>
      <c r="AL292" s="232"/>
      <c r="AM292" s="232" t="str">
        <f t="shared" si="91"/>
        <v>DPT +</v>
      </c>
      <c r="AN292" s="232">
        <f t="shared" si="92"/>
        <v>15</v>
      </c>
      <c r="AO292" s="232"/>
      <c r="AP292" s="38"/>
      <c r="AQ292" s="38"/>
      <c r="AR292" s="38"/>
      <c r="AS292" s="38"/>
      <c r="AT292" s="38"/>
      <c r="AU292" s="38"/>
      <c r="AV292" s="38"/>
      <c r="AW292" s="38"/>
      <c r="AX292" s="38"/>
      <c r="AY292" s="38"/>
      <c r="AZ292" s="38"/>
      <c r="BA292" s="38"/>
      <c r="BB292" s="38"/>
      <c r="BC292" s="38"/>
      <c r="BD292" s="38"/>
      <c r="BE292" s="38"/>
      <c r="BF292" s="38"/>
      <c r="BG292" s="38"/>
      <c r="BH292" s="38"/>
      <c r="BI292" s="38"/>
      <c r="BJ292" s="38"/>
      <c r="BK292" s="38"/>
      <c r="BL292" s="38"/>
      <c r="BM292" s="38"/>
      <c r="BN292" s="38"/>
      <c r="BO292" s="38"/>
      <c r="BP292" s="38"/>
      <c r="BQ292" s="38"/>
      <c r="BR292" s="38"/>
      <c r="BS292" s="38"/>
      <c r="BT292" s="38"/>
      <c r="BU292" s="38"/>
      <c r="BV292" s="38"/>
      <c r="BW292" s="38"/>
      <c r="BX292" s="38"/>
      <c r="BY292" s="38"/>
      <c r="BZ292" s="38"/>
      <c r="CA292" s="38"/>
      <c r="CB292" s="38"/>
      <c r="CC292" s="38"/>
      <c r="CD292" s="38"/>
      <c r="CE292" s="38"/>
      <c r="CF292" s="38"/>
      <c r="CG292" s="38"/>
      <c r="CH292" s="38"/>
      <c r="CI292" s="38"/>
      <c r="CJ292" s="38"/>
      <c r="CK292" s="38"/>
      <c r="CL292" s="38"/>
      <c r="CM292" s="38"/>
      <c r="CN292" s="38"/>
      <c r="CO292" s="38"/>
      <c r="CP292" s="38"/>
      <c r="CQ292" s="38"/>
      <c r="CR292" s="38"/>
      <c r="CS292" s="38"/>
      <c r="CT292" s="38"/>
      <c r="CU292" s="38"/>
      <c r="CV292" s="38"/>
      <c r="CW292" s="38"/>
      <c r="CX292" s="38"/>
      <c r="CY292" s="38"/>
      <c r="CZ292" s="38"/>
      <c r="DA292" s="38"/>
      <c r="DB292" s="38"/>
      <c r="DC292" s="38"/>
      <c r="DD292" s="38"/>
      <c r="DE292" s="38"/>
      <c r="DF292" s="38"/>
      <c r="DG292" s="38"/>
      <c r="DH292" s="38"/>
      <c r="DI292" s="38"/>
      <c r="DJ292" s="38"/>
      <c r="DK292" s="38"/>
      <c r="DL292" s="38"/>
      <c r="DM292" s="38"/>
      <c r="DN292" s="38"/>
      <c r="DO292" s="38"/>
      <c r="DP292" s="38"/>
      <c r="DQ292" s="38"/>
      <c r="DR292" s="38"/>
      <c r="DS292" s="38"/>
      <c r="DT292" s="38"/>
    </row>
    <row r="293" spans="1:124" s="5" customFormat="1" ht="30" customHeight="1" x14ac:dyDescent="0.25">
      <c r="A293" s="387"/>
      <c r="B293" s="420" t="s">
        <v>543</v>
      </c>
      <c r="C293" s="421">
        <v>450540</v>
      </c>
      <c r="D293" s="422"/>
      <c r="E293" s="406" t="s">
        <v>40</v>
      </c>
      <c r="F293" s="423" t="s">
        <v>840</v>
      </c>
      <c r="G293" s="415" t="s">
        <v>841</v>
      </c>
      <c r="H293" s="380">
        <v>1986</v>
      </c>
      <c r="I293" s="425" t="s">
        <v>214</v>
      </c>
      <c r="J293" s="411" t="s">
        <v>44</v>
      </c>
      <c r="K293" s="412">
        <v>101.5</v>
      </c>
      <c r="L293" s="456">
        <v>80</v>
      </c>
      <c r="M293" s="457">
        <v>-85</v>
      </c>
      <c r="N293" s="457">
        <v>85</v>
      </c>
      <c r="O293" s="392">
        <v>85</v>
      </c>
      <c r="P293" s="456">
        <v>100</v>
      </c>
      <c r="Q293" s="457">
        <v>105</v>
      </c>
      <c r="R293" s="457">
        <v>110</v>
      </c>
      <c r="S293" s="392">
        <v>110</v>
      </c>
      <c r="T293" s="391">
        <v>195</v>
      </c>
      <c r="U293" s="389" t="s">
        <v>842</v>
      </c>
      <c r="V293" s="389" t="s">
        <v>82</v>
      </c>
      <c r="W293" s="390">
        <v>215.06377909400192</v>
      </c>
      <c r="X293" s="257">
        <v>43554</v>
      </c>
      <c r="Y293" s="261" t="s">
        <v>805</v>
      </c>
      <c r="Z293" s="261" t="s">
        <v>829</v>
      </c>
      <c r="AA293" s="464"/>
      <c r="AB293" s="465">
        <v>35</v>
      </c>
      <c r="AC293" s="465">
        <v>10</v>
      </c>
      <c r="AD293" s="465">
        <v>-15</v>
      </c>
      <c r="AE293" s="465">
        <v>-45</v>
      </c>
      <c r="AF293" s="465">
        <v>-75</v>
      </c>
      <c r="AG293" s="465">
        <v>-107</v>
      </c>
      <c r="AH293" s="465">
        <v>-135</v>
      </c>
      <c r="AI293" s="465">
        <v>-155</v>
      </c>
      <c r="AJ293" s="465">
        <v>-185</v>
      </c>
      <c r="AK293" s="466" t="s">
        <v>42</v>
      </c>
      <c r="AL293" s="464"/>
      <c r="AM293" s="464" t="s">
        <v>42</v>
      </c>
      <c r="AN293" s="464">
        <v>10</v>
      </c>
      <c r="AO293" s="464"/>
      <c r="AP293" s="388"/>
      <c r="AQ293" s="388"/>
      <c r="AR293" s="388"/>
      <c r="AS293" s="388"/>
      <c r="AT293" s="388"/>
      <c r="AU293" s="388"/>
      <c r="AV293" s="388"/>
      <c r="AW293" s="388"/>
      <c r="AX293" s="388"/>
      <c r="AY293" s="388"/>
      <c r="AZ293" s="388"/>
      <c r="BA293" s="388"/>
      <c r="BB293" s="388"/>
      <c r="BC293" s="388"/>
      <c r="BD293" s="388"/>
      <c r="BE293" s="388"/>
      <c r="BF293" s="388"/>
      <c r="BG293" s="388"/>
      <c r="BH293" s="388"/>
      <c r="BI293" s="388"/>
      <c r="BJ293" s="388"/>
      <c r="BK293" s="388"/>
      <c r="BL293" s="388"/>
      <c r="BM293" s="388"/>
      <c r="BN293" s="388"/>
      <c r="BO293" s="388"/>
      <c r="BP293" s="388"/>
      <c r="BQ293" s="388"/>
      <c r="BR293" s="388"/>
      <c r="BS293" s="388"/>
      <c r="BT293" s="388"/>
      <c r="BU293" s="388"/>
      <c r="BV293" s="388"/>
      <c r="BW293" s="388"/>
      <c r="BX293" s="388"/>
      <c r="BY293" s="388"/>
      <c r="BZ293" s="388"/>
      <c r="CA293" s="388"/>
      <c r="CB293" s="388"/>
      <c r="CC293" s="388"/>
      <c r="CD293" s="388"/>
      <c r="CE293" s="388"/>
      <c r="CF293" s="388"/>
      <c r="CG293" s="388"/>
      <c r="CH293" s="388"/>
      <c r="CI293" s="388"/>
      <c r="CJ293" s="388"/>
      <c r="CK293" s="388"/>
      <c r="CL293" s="388"/>
      <c r="CM293" s="388"/>
      <c r="CN293" s="388"/>
      <c r="CO293" s="388"/>
      <c r="CP293" s="388"/>
      <c r="CQ293" s="388"/>
      <c r="CR293" s="388"/>
      <c r="CS293" s="388"/>
      <c r="CT293" s="388"/>
      <c r="CU293" s="388"/>
      <c r="CV293" s="388"/>
      <c r="CW293" s="388"/>
      <c r="CX293" s="388"/>
      <c r="CY293" s="388"/>
      <c r="CZ293" s="388"/>
      <c r="DA293" s="388"/>
      <c r="DB293" s="388"/>
      <c r="DC293" s="388"/>
      <c r="DD293" s="388"/>
      <c r="DE293" s="388"/>
      <c r="DF293" s="388"/>
      <c r="DG293" s="388"/>
      <c r="DH293" s="388"/>
      <c r="DI293" s="388"/>
      <c r="DJ293" s="388"/>
      <c r="DK293" s="388"/>
      <c r="DL293" s="388"/>
      <c r="DM293" s="388"/>
      <c r="DN293" s="388"/>
      <c r="DO293" s="388"/>
      <c r="DP293" s="388"/>
      <c r="DQ293" s="388"/>
      <c r="DR293" s="388"/>
      <c r="DS293" s="388"/>
      <c r="DT293" s="388"/>
    </row>
    <row r="294" spans="1:124" s="5" customFormat="1" ht="30" customHeight="1" x14ac:dyDescent="0.25">
      <c r="B294" s="495" t="s">
        <v>543</v>
      </c>
      <c r="C294" s="499">
        <v>8004</v>
      </c>
      <c r="D294" s="496"/>
      <c r="E294" s="481" t="s">
        <v>40</v>
      </c>
      <c r="F294" s="369" t="s">
        <v>425</v>
      </c>
      <c r="G294" s="370" t="s">
        <v>426</v>
      </c>
      <c r="H294" s="371">
        <v>1962</v>
      </c>
      <c r="I294" s="375" t="s">
        <v>418</v>
      </c>
      <c r="J294" s="373" t="s">
        <v>557</v>
      </c>
      <c r="K294" s="374">
        <v>101</v>
      </c>
      <c r="L294" s="300">
        <v>75</v>
      </c>
      <c r="M294" s="301">
        <v>80</v>
      </c>
      <c r="N294" s="301">
        <v>83</v>
      </c>
      <c r="O294" s="490">
        <f>IF(E294="","",IF(MAXA(L294:N294)&lt;=0,0,MAXA(L294:N294)))</f>
        <v>83</v>
      </c>
      <c r="P294" s="300">
        <v>91</v>
      </c>
      <c r="Q294" s="301">
        <v>95</v>
      </c>
      <c r="R294" s="449">
        <v>-97</v>
      </c>
      <c r="S294" s="490">
        <f>IF(E294="","",IF(MAXA(P294:R294)&lt;=0,0,MAXA(P294:R294)))</f>
        <v>95</v>
      </c>
      <c r="T294" s="489">
        <f t="shared" ref="T294:T306" si="93">IF(E294="","",IF(OR(O294=0,S294=0),0,O294+S294))</f>
        <v>178</v>
      </c>
      <c r="U294" s="48" t="str">
        <f>+CONCATENATE(AM294," ",AN294)</f>
        <v>DEB 18</v>
      </c>
      <c r="V294" s="48" t="str">
        <f>IF(E294=0," ",IF(E294="H",IF(H294&lt;1999,VLOOKUP(K294,[10]Minimas!$A$15:$F$29,6),IF(AND(H294&gt;1998,H294&lt;2002),VLOOKUP(K294,[10]Minimas!$A$15:$F$29,5),IF(AND(H294&gt;2001,H294&lt;2004),VLOOKUP(K294,[10]Minimas!$A$15:$F$29,4),IF(AND(H294&gt;2003,H294&lt;2006),VLOOKUP(K294,[10]Minimas!$A$15:$F$29,3),VLOOKUP(K294,[10]Minimas!$A$15:$F$29,2))))),IF(H294&lt;1999,VLOOKUP(K294,[10]Minimas!$G$15:$L$29,6),IF(AND(H294&gt;1998,H294&lt;2002),VLOOKUP(K294,[10]Minimas!$G$15:$L$29,5),IF(AND(H294&gt;2001,H294&lt;2004),VLOOKUP(K294,[10]Minimas!$G$15:$L$29,4),IF(AND(H294&gt;2003,H294&lt;2006),VLOOKUP(K294,[10]Minimas!$G$15:$L$29,3),VLOOKUP(K294,[10]Minimas!$G$15:$L$29,2)))))))</f>
        <v>SE M102</v>
      </c>
      <c r="W294" s="49">
        <f t="shared" ref="W294:W306" si="94">IF(E294=" "," ",IF(E294="H",10^(0.75194503*LOG(K294/175.508)^2)*T294,IF(E294="F",10^(0.783497476* LOG(K294/153.655)^2)*T294,"")))</f>
        <v>196.66324881879638</v>
      </c>
      <c r="X294" s="257">
        <v>43555</v>
      </c>
      <c r="Y294" s="261" t="s">
        <v>805</v>
      </c>
      <c r="Z294" s="261" t="s">
        <v>661</v>
      </c>
      <c r="AA294" s="232"/>
      <c r="AB294" s="230">
        <f>T294-HLOOKUP(V294,[10]Minimas!$C$3:$CD$12,2,FALSE)</f>
        <v>18</v>
      </c>
      <c r="AC294" s="230">
        <f>T294-HLOOKUP(V294,[10]Minimas!$C$3:$CD$12,3,FALSE)</f>
        <v>-7</v>
      </c>
      <c r="AD294" s="230">
        <f>T294-HLOOKUP(V294,[10]Minimas!$C$3:$CD$12,4,FALSE)</f>
        <v>-32</v>
      </c>
      <c r="AE294" s="230">
        <f>T294-HLOOKUP(V294,[10]Minimas!$C$3:$CD$12,5,FALSE)</f>
        <v>-62</v>
      </c>
      <c r="AF294" s="230">
        <f>T294-HLOOKUP(V294,[10]Minimas!$C$3:$CD$12,6,FALSE)</f>
        <v>-92</v>
      </c>
      <c r="AG294" s="230">
        <f>T294-HLOOKUP(V294,[10]Minimas!$C$3:$CD$12,7,FALSE)</f>
        <v>-124</v>
      </c>
      <c r="AH294" s="230">
        <f>T294-HLOOKUP(V294,[10]Minimas!$C$3:$CD$12,8,FALSE)</f>
        <v>-152</v>
      </c>
      <c r="AI294" s="230">
        <f>T294-HLOOKUP(V294,[10]Minimas!$C$3:$CD$12,9,FALSE)</f>
        <v>-172</v>
      </c>
      <c r="AJ294" s="230">
        <f>T294-HLOOKUP(V294,[10]Minimas!$C$3:$CD$12,10,FALSE)</f>
        <v>-202</v>
      </c>
      <c r="AK294" s="231" t="str">
        <f t="shared" ref="AK294:AK306" si="95">IF(E294=0," ",IF(AJ294&gt;=0,$AJ$5,IF(AI294&gt;=0,$AI$5,IF(AH294&gt;=0,$AH$5,IF(AG294&gt;=0,$AG$5,IF(AF294&gt;=0,$AF$5,IF(AE294&gt;=0,$AE$5,IF(AD294&gt;=0,$AD$5,IF(AC294&gt;=0,$AC$5,$AB$5)))))))))</f>
        <v>DEB</v>
      </c>
      <c r="AL294" s="232"/>
      <c r="AM294" s="232" t="str">
        <f t="shared" ref="AM294:AM306" si="96">IF(AK294="","",AK294)</f>
        <v>DEB</v>
      </c>
      <c r="AN294" s="232">
        <f t="shared" ref="AN294:AN306" si="97">IF(E294=0," ",IF(AJ294&gt;=0,AJ294,IF(AI294&gt;=0,AI294,IF(AH294&gt;=0,AH294,IF(AG294&gt;=0,AG294,IF(AF294&gt;=0,AF294,IF(AE294&gt;=0,AE294,IF(AD294&gt;=0,AD294,IF(AC294&gt;=0,AC294,AB294)))))))))</f>
        <v>18</v>
      </c>
      <c r="AO294" s="232"/>
      <c r="AP294" s="38"/>
      <c r="AQ294" s="38"/>
      <c r="AR294" s="38"/>
      <c r="AS294" s="38"/>
      <c r="AT294" s="38"/>
      <c r="AU294" s="38"/>
      <c r="AV294" s="38"/>
      <c r="AW294" s="38"/>
      <c r="AX294" s="38"/>
      <c r="AY294" s="38"/>
      <c r="AZ294" s="38"/>
      <c r="BA294" s="38"/>
      <c r="BB294" s="38"/>
      <c r="BC294" s="38"/>
      <c r="BD294" s="38"/>
      <c r="BE294" s="38"/>
      <c r="BF294" s="38"/>
      <c r="BG294" s="38"/>
      <c r="BH294" s="38"/>
      <c r="BI294" s="38"/>
      <c r="BJ294" s="38"/>
      <c r="BK294" s="38"/>
      <c r="BL294" s="38"/>
      <c r="BM294" s="38"/>
      <c r="BN294" s="38"/>
      <c r="BO294" s="38"/>
      <c r="BP294" s="38"/>
      <c r="BQ294" s="38"/>
      <c r="BR294" s="38"/>
      <c r="BS294" s="38"/>
      <c r="BT294" s="38"/>
      <c r="BU294" s="38"/>
      <c r="BV294" s="38"/>
      <c r="BW294" s="38"/>
      <c r="BX294" s="38"/>
      <c r="BY294" s="38"/>
      <c r="BZ294" s="38"/>
      <c r="CA294" s="38"/>
      <c r="CB294" s="38"/>
      <c r="CC294" s="38"/>
      <c r="CD294" s="38"/>
      <c r="CE294" s="38"/>
      <c r="CF294" s="38"/>
      <c r="CG294" s="38"/>
      <c r="CH294" s="38"/>
      <c r="CI294" s="38"/>
      <c r="CJ294" s="38"/>
      <c r="CK294" s="38"/>
      <c r="CL294" s="38"/>
      <c r="CM294" s="38"/>
      <c r="CN294" s="38"/>
      <c r="CO294" s="38"/>
      <c r="CP294" s="38"/>
      <c r="CQ294" s="38"/>
      <c r="CR294" s="38"/>
      <c r="CS294" s="38"/>
      <c r="CT294" s="38"/>
      <c r="CU294" s="38"/>
      <c r="CV294" s="38"/>
      <c r="CW294" s="38"/>
      <c r="CX294" s="38"/>
      <c r="CY294" s="38"/>
      <c r="CZ294" s="38"/>
      <c r="DA294" s="38"/>
      <c r="DB294" s="38"/>
      <c r="DC294" s="38"/>
      <c r="DD294" s="38"/>
      <c r="DE294" s="38"/>
      <c r="DF294" s="38"/>
      <c r="DG294" s="38"/>
      <c r="DH294" s="38"/>
      <c r="DI294" s="38"/>
      <c r="DJ294" s="38"/>
      <c r="DK294" s="38"/>
      <c r="DL294" s="38"/>
      <c r="DM294" s="38"/>
      <c r="DN294" s="38"/>
      <c r="DO294" s="38"/>
      <c r="DP294" s="38"/>
      <c r="DQ294" s="38"/>
      <c r="DR294" s="38"/>
      <c r="DS294" s="38"/>
      <c r="DT294" s="38"/>
    </row>
    <row r="295" spans="1:124" s="484" customFormat="1" ht="30" customHeight="1" x14ac:dyDescent="0.25">
      <c r="B295" s="341" t="s">
        <v>543</v>
      </c>
      <c r="C295" s="499">
        <v>7988</v>
      </c>
      <c r="D295" s="290"/>
      <c r="E295" s="323" t="s">
        <v>40</v>
      </c>
      <c r="F295" s="486" t="s">
        <v>423</v>
      </c>
      <c r="G295" s="487" t="s">
        <v>424</v>
      </c>
      <c r="H295" s="492">
        <v>1977</v>
      </c>
      <c r="I295" s="572" t="s">
        <v>418</v>
      </c>
      <c r="J295" s="493" t="s">
        <v>44</v>
      </c>
      <c r="K295" s="850">
        <v>99.9</v>
      </c>
      <c r="L295" s="300">
        <v>76</v>
      </c>
      <c r="M295" s="301">
        <v>-80</v>
      </c>
      <c r="N295" s="301">
        <v>-80</v>
      </c>
      <c r="O295" s="338">
        <v>76</v>
      </c>
      <c r="P295" s="300">
        <v>96</v>
      </c>
      <c r="Q295" s="301">
        <v>-100</v>
      </c>
      <c r="R295" s="301">
        <v>0</v>
      </c>
      <c r="S295" s="607">
        <v>96</v>
      </c>
      <c r="T295" s="611">
        <f t="shared" si="93"/>
        <v>172</v>
      </c>
      <c r="U295" s="48" t="s">
        <v>672</v>
      </c>
      <c r="V295" s="48" t="s">
        <v>673</v>
      </c>
      <c r="W295" s="49">
        <f t="shared" si="94"/>
        <v>190.79414615198897</v>
      </c>
      <c r="X295" s="257">
        <v>43491</v>
      </c>
      <c r="Y295" s="261" t="s">
        <v>525</v>
      </c>
      <c r="Z295" s="261" t="s">
        <v>700</v>
      </c>
      <c r="AA295" s="232"/>
      <c r="AB295" s="230" t="e">
        <f>T295-HLOOKUP(V295,Minimas!$C$3:$CD$12,2,FALSE)</f>
        <v>#N/A</v>
      </c>
      <c r="AC295" s="230" t="e">
        <f>T295-HLOOKUP(V295,Minimas!$C$3:$CD$12,3,FALSE)</f>
        <v>#N/A</v>
      </c>
      <c r="AD295" s="230" t="e">
        <f>T295-HLOOKUP(V295,Minimas!$C$3:$CD$12,4,FALSE)</f>
        <v>#N/A</v>
      </c>
      <c r="AE295" s="230" t="e">
        <f>T295-HLOOKUP(V295,Minimas!$C$3:$CD$12,5,FALSE)</f>
        <v>#N/A</v>
      </c>
      <c r="AF295" s="230" t="e">
        <f>T295-HLOOKUP(V295,Minimas!$C$3:$CD$12,6,FALSE)</f>
        <v>#N/A</v>
      </c>
      <c r="AG295" s="230" t="e">
        <f>T295-HLOOKUP(V295,Minimas!$C$3:$CD$12,7,FALSE)</f>
        <v>#N/A</v>
      </c>
      <c r="AH295" s="230" t="e">
        <f>T295-HLOOKUP(V295,Minimas!$C$3:$CD$12,8,FALSE)</f>
        <v>#N/A</v>
      </c>
      <c r="AI295" s="230" t="e">
        <f>T295-HLOOKUP(V295,Minimas!$C$3:$CD$12,9,FALSE)</f>
        <v>#N/A</v>
      </c>
      <c r="AJ295" s="230" t="e">
        <f>T295-HLOOKUP(V295,Minimas!$C$3:$CD$12,10,FALSE)</f>
        <v>#N/A</v>
      </c>
      <c r="AK295" s="231" t="e">
        <f t="shared" si="95"/>
        <v>#N/A</v>
      </c>
      <c r="AL295" s="232"/>
      <c r="AM295" s="232" t="e">
        <f t="shared" si="96"/>
        <v>#N/A</v>
      </c>
      <c r="AN295" s="232" t="e">
        <f t="shared" si="97"/>
        <v>#N/A</v>
      </c>
      <c r="AO295" s="232"/>
      <c r="AP295" s="485"/>
      <c r="AQ295" s="485"/>
      <c r="AR295" s="485"/>
      <c r="AS295" s="485"/>
      <c r="AT295" s="485"/>
      <c r="AU295" s="485"/>
      <c r="AV295" s="485"/>
      <c r="AW295" s="485"/>
      <c r="AX295" s="485"/>
      <c r="AY295" s="485"/>
      <c r="AZ295" s="485"/>
      <c r="BA295" s="485"/>
      <c r="BB295" s="485"/>
      <c r="BC295" s="485"/>
      <c r="BD295" s="485"/>
      <c r="BE295" s="485"/>
      <c r="BF295" s="485"/>
      <c r="BG295" s="485"/>
      <c r="BH295" s="485"/>
      <c r="BI295" s="485"/>
      <c r="BJ295" s="485"/>
      <c r="BK295" s="485"/>
      <c r="BL295" s="485"/>
      <c r="BM295" s="485"/>
      <c r="BN295" s="485"/>
      <c r="BO295" s="485"/>
      <c r="BP295" s="485"/>
      <c r="BQ295" s="485"/>
      <c r="BR295" s="485"/>
      <c r="BS295" s="485"/>
      <c r="BT295" s="485"/>
      <c r="BU295" s="485"/>
      <c r="BV295" s="485"/>
      <c r="BW295" s="485"/>
      <c r="BX295" s="485"/>
      <c r="BY295" s="485"/>
      <c r="BZ295" s="485"/>
      <c r="CA295" s="485"/>
      <c r="CB295" s="485"/>
      <c r="CC295" s="485"/>
      <c r="CD295" s="485"/>
      <c r="CE295" s="485"/>
      <c r="CF295" s="485"/>
      <c r="CG295" s="485"/>
      <c r="CH295" s="485"/>
      <c r="CI295" s="485"/>
      <c r="CJ295" s="485"/>
      <c r="CK295" s="485"/>
      <c r="CL295" s="485"/>
      <c r="CM295" s="485"/>
      <c r="CN295" s="485"/>
      <c r="CO295" s="485"/>
      <c r="CP295" s="485"/>
      <c r="CQ295" s="485"/>
      <c r="CR295" s="485"/>
      <c r="CS295" s="485"/>
      <c r="CT295" s="485"/>
      <c r="CU295" s="485"/>
      <c r="CV295" s="485"/>
      <c r="CW295" s="485"/>
      <c r="CX295" s="485"/>
      <c r="CY295" s="485"/>
      <c r="CZ295" s="485"/>
      <c r="DA295" s="485"/>
      <c r="DB295" s="485"/>
      <c r="DC295" s="485"/>
      <c r="DD295" s="485"/>
      <c r="DE295" s="485"/>
      <c r="DF295" s="485"/>
      <c r="DG295" s="485"/>
      <c r="DH295" s="485"/>
      <c r="DI295" s="485"/>
      <c r="DJ295" s="485"/>
      <c r="DK295" s="485"/>
      <c r="DL295" s="485"/>
      <c r="DM295" s="485"/>
      <c r="DN295" s="485"/>
      <c r="DO295" s="485"/>
      <c r="DP295" s="485"/>
      <c r="DQ295" s="485"/>
      <c r="DR295" s="485"/>
      <c r="DS295" s="485"/>
      <c r="DT295" s="485"/>
    </row>
    <row r="296" spans="1:124" s="484" customFormat="1" ht="30" customHeight="1" x14ac:dyDescent="0.25">
      <c r="B296" s="515" t="s">
        <v>543</v>
      </c>
      <c r="C296" s="697">
        <v>2939</v>
      </c>
      <c r="D296" s="535"/>
      <c r="E296" s="721" t="s">
        <v>40</v>
      </c>
      <c r="F296" s="727" t="s">
        <v>427</v>
      </c>
      <c r="G296" s="734" t="s">
        <v>664</v>
      </c>
      <c r="H296" s="738">
        <v>1949</v>
      </c>
      <c r="I296" s="719" t="s">
        <v>314</v>
      </c>
      <c r="J296" s="762" t="s">
        <v>44</v>
      </c>
      <c r="K296" s="770">
        <v>102</v>
      </c>
      <c r="L296" s="781">
        <v>55</v>
      </c>
      <c r="M296" s="792">
        <v>60</v>
      </c>
      <c r="N296" s="800">
        <v>65</v>
      </c>
      <c r="O296" s="490">
        <f t="shared" ref="O296:O306" si="98">IF(E296="","",IF(MAXA(L296:N296)&lt;=0,0,MAXA(L296:N296)))</f>
        <v>65</v>
      </c>
      <c r="P296" s="806">
        <v>80</v>
      </c>
      <c r="Q296" s="800">
        <v>87</v>
      </c>
      <c r="R296" s="800">
        <v>91</v>
      </c>
      <c r="S296" s="490">
        <f t="shared" ref="S296:S306" si="99">IF(E296="","",IF(MAXA(P296:R296)&lt;=0,0,MAXA(P296:R296)))</f>
        <v>91</v>
      </c>
      <c r="T296" s="489">
        <f t="shared" si="93"/>
        <v>156</v>
      </c>
      <c r="U296" s="48" t="str">
        <f t="shared" ref="U296:U306" si="100">+CONCATENATE(AM296," ",AN296)</f>
        <v>DEB -4</v>
      </c>
      <c r="V296" s="48" t="str">
        <f>IF(E296=0," ",IF(E296="H",IF(H296&lt;1999,VLOOKUP(K296,Minimas!$A$15:$F$29,6),IF(AND(H296&gt;1998,H296&lt;2002),VLOOKUP(K296,Minimas!$A$15:$F$29,5),IF(AND(H296&gt;2001,H296&lt;2004),VLOOKUP(K296,Minimas!$A$15:$F$29,4),IF(AND(H296&gt;2003,H296&lt;2006),VLOOKUP(K296,Minimas!$A$15:$F$29,3),VLOOKUP(K296,Minimas!$A$15:$F$29,2))))),IF(H296&lt;1999,VLOOKUP(K296,Minimas!$G$15:$L$29,6),IF(AND(H296&gt;1998,H296&lt;2002),VLOOKUP(K296,Minimas!$G$15:$L$29,5),IF(AND(H296&gt;2001,H296&lt;2004),VLOOKUP(K296,Minimas!$G$15:$L$29,4),IF(AND(H296&gt;2003,H296&lt;2006),VLOOKUP(K296,Minimas!$G$15:$L$29,3),VLOOKUP(K296,Minimas!$G$15:$L$29,2)))))))</f>
        <v>SE M102</v>
      </c>
      <c r="W296" s="49">
        <f t="shared" si="94"/>
        <v>171.75024584895124</v>
      </c>
      <c r="X296" s="257">
        <v>43576</v>
      </c>
      <c r="Y296" s="261" t="s">
        <v>860</v>
      </c>
      <c r="Z296" s="261" t="s">
        <v>861</v>
      </c>
      <c r="AA296" s="232"/>
      <c r="AB296" s="230">
        <f>T296-HLOOKUP(V296,Minimas!$C$3:$CD$12,2,FALSE)</f>
        <v>-4</v>
      </c>
      <c r="AC296" s="230">
        <f>T296-HLOOKUP(V296,Minimas!$C$3:$CD$12,3,FALSE)</f>
        <v>-29</v>
      </c>
      <c r="AD296" s="230">
        <f>T296-HLOOKUP(V296,Minimas!$C$3:$CD$12,4,FALSE)</f>
        <v>-54</v>
      </c>
      <c r="AE296" s="230">
        <f>T296-HLOOKUP(V296,Minimas!$C$3:$CD$12,5,FALSE)</f>
        <v>-84</v>
      </c>
      <c r="AF296" s="230">
        <f>T296-HLOOKUP(V296,Minimas!$C$3:$CD$12,6,FALSE)</f>
        <v>-114</v>
      </c>
      <c r="AG296" s="230">
        <f>T296-HLOOKUP(V296,Minimas!$C$3:$CD$12,7,FALSE)</f>
        <v>-146</v>
      </c>
      <c r="AH296" s="230">
        <f>T296-HLOOKUP(V296,Minimas!$C$3:$CD$12,8,FALSE)</f>
        <v>-174</v>
      </c>
      <c r="AI296" s="230">
        <f>T296-HLOOKUP(V296,Minimas!$C$3:$CD$12,9,FALSE)</f>
        <v>-194</v>
      </c>
      <c r="AJ296" s="230">
        <f>T296-HLOOKUP(V296,Minimas!$C$3:$CD$12,10,FALSE)</f>
        <v>-224</v>
      </c>
      <c r="AK296" s="231" t="str">
        <f t="shared" si="95"/>
        <v>DEB</v>
      </c>
      <c r="AL296" s="232"/>
      <c r="AM296" s="232" t="str">
        <f t="shared" si="96"/>
        <v>DEB</v>
      </c>
      <c r="AN296" s="232">
        <f t="shared" si="97"/>
        <v>-4</v>
      </c>
      <c r="AO296" s="232"/>
      <c r="AP296" s="485"/>
      <c r="AQ296" s="485"/>
      <c r="AR296" s="485"/>
      <c r="AS296" s="485"/>
      <c r="AT296" s="485"/>
      <c r="AU296" s="485"/>
      <c r="AV296" s="485"/>
      <c r="AW296" s="485"/>
      <c r="AX296" s="485"/>
      <c r="AY296" s="485"/>
      <c r="AZ296" s="485"/>
      <c r="BA296" s="485"/>
      <c r="BB296" s="485"/>
      <c r="BC296" s="485"/>
      <c r="BD296" s="485"/>
      <c r="BE296" s="485"/>
      <c r="BF296" s="485"/>
      <c r="BG296" s="485"/>
      <c r="BH296" s="485"/>
      <c r="BI296" s="485"/>
      <c r="BJ296" s="485"/>
      <c r="BK296" s="485"/>
      <c r="BL296" s="485"/>
      <c r="BM296" s="485"/>
      <c r="BN296" s="485"/>
      <c r="BO296" s="485"/>
      <c r="BP296" s="485"/>
      <c r="BQ296" s="485"/>
      <c r="BR296" s="485"/>
      <c r="BS296" s="485"/>
      <c r="BT296" s="485"/>
      <c r="BU296" s="485"/>
      <c r="BV296" s="485"/>
      <c r="BW296" s="485"/>
      <c r="BX296" s="485"/>
      <c r="BY296" s="485"/>
      <c r="BZ296" s="485"/>
      <c r="CA296" s="485"/>
      <c r="CB296" s="485"/>
      <c r="CC296" s="485"/>
      <c r="CD296" s="485"/>
      <c r="CE296" s="485"/>
      <c r="CF296" s="485"/>
      <c r="CG296" s="485"/>
      <c r="CH296" s="485"/>
      <c r="CI296" s="485"/>
      <c r="CJ296" s="485"/>
      <c r="CK296" s="485"/>
      <c r="CL296" s="485"/>
      <c r="CM296" s="485"/>
      <c r="CN296" s="485"/>
      <c r="CO296" s="485"/>
      <c r="CP296" s="485"/>
      <c r="CQ296" s="485"/>
      <c r="CR296" s="485"/>
      <c r="CS296" s="485"/>
      <c r="CT296" s="485"/>
      <c r="CU296" s="485"/>
      <c r="CV296" s="485"/>
      <c r="CW296" s="485"/>
      <c r="CX296" s="485"/>
      <c r="CY296" s="485"/>
      <c r="CZ296" s="485"/>
      <c r="DA296" s="485"/>
      <c r="DB296" s="485"/>
      <c r="DC296" s="485"/>
      <c r="DD296" s="485"/>
      <c r="DE296" s="485"/>
      <c r="DF296" s="485"/>
      <c r="DG296" s="485"/>
      <c r="DH296" s="485"/>
      <c r="DI296" s="485"/>
      <c r="DJ296" s="485"/>
      <c r="DK296" s="485"/>
      <c r="DL296" s="485"/>
      <c r="DM296" s="485"/>
      <c r="DN296" s="485"/>
      <c r="DO296" s="485"/>
      <c r="DP296" s="485"/>
      <c r="DQ296" s="485"/>
      <c r="DR296" s="485"/>
      <c r="DS296" s="485"/>
      <c r="DT296" s="485"/>
    </row>
    <row r="297" spans="1:124" s="484" customFormat="1" ht="30" customHeight="1" x14ac:dyDescent="0.25">
      <c r="B297" s="495" t="s">
        <v>543</v>
      </c>
      <c r="C297" s="499">
        <v>238295</v>
      </c>
      <c r="D297" s="496"/>
      <c r="E297" s="323" t="s">
        <v>40</v>
      </c>
      <c r="F297" s="328" t="s">
        <v>803</v>
      </c>
      <c r="G297" s="487" t="s">
        <v>804</v>
      </c>
      <c r="H297" s="329">
        <v>1960</v>
      </c>
      <c r="I297" s="330" t="s">
        <v>440</v>
      </c>
      <c r="J297" s="331" t="s">
        <v>44</v>
      </c>
      <c r="K297" s="488">
        <v>98.2</v>
      </c>
      <c r="L297" s="300">
        <v>63</v>
      </c>
      <c r="M297" s="301">
        <v>65</v>
      </c>
      <c r="N297" s="449">
        <v>-67</v>
      </c>
      <c r="O297" s="490">
        <f t="shared" si="98"/>
        <v>65</v>
      </c>
      <c r="P297" s="300">
        <v>88</v>
      </c>
      <c r="Q297" s="449">
        <v>-91</v>
      </c>
      <c r="R297" s="449">
        <v>0</v>
      </c>
      <c r="S297" s="490">
        <f t="shared" si="99"/>
        <v>88</v>
      </c>
      <c r="T297" s="489">
        <f t="shared" si="93"/>
        <v>153</v>
      </c>
      <c r="U297" s="48" t="str">
        <f t="shared" si="100"/>
        <v>DEB -7</v>
      </c>
      <c r="V297" s="48" t="str">
        <f>IF(E297=0," ",IF(E297="H",IF(H297&lt;1999,VLOOKUP(K297,[5]Minimas!$A$15:$F$29,6),IF(AND(H297&gt;1998,H297&lt;2002),VLOOKUP(K297,[5]Minimas!$A$15:$F$29,5),IF(AND(H297&gt;2001,H297&lt;2004),VLOOKUP(K297,[5]Minimas!$A$15:$F$29,4),IF(AND(H297&gt;2003,H297&lt;2006),VLOOKUP(K297,[5]Minimas!$A$15:$F$29,3),VLOOKUP(K297,[5]Minimas!$A$15:$F$29,2))))),IF(H297&lt;1999,VLOOKUP(K297,[5]Minimas!$G$15:$L$29,6),IF(AND(H297&gt;1998,H297&lt;2002),VLOOKUP(K297,[5]Minimas!$G$15:$L$29,5),IF(AND(H297&gt;2001,H297&lt;2004),VLOOKUP(K297,[5]Minimas!$G$15:$L$29,4),IF(AND(H297&gt;2003,H297&lt;2006),VLOOKUP(K297,[5]Minimas!$G$15:$L$29,3),VLOOKUP(K297,[5]Minimas!$G$15:$L$29,2)))))))</f>
        <v>SE M102</v>
      </c>
      <c r="W297" s="49">
        <f t="shared" si="94"/>
        <v>170.80998241310203</v>
      </c>
      <c r="X297" s="257">
        <v>43555</v>
      </c>
      <c r="Y297" s="261" t="s">
        <v>805</v>
      </c>
      <c r="Z297" s="261" t="s">
        <v>806</v>
      </c>
      <c r="AA297" s="232"/>
      <c r="AB297" s="230">
        <f>T297-HLOOKUP(V297,[5]Minimas!$C$3:$CD$12,2,FALSE)</f>
        <v>-7</v>
      </c>
      <c r="AC297" s="230">
        <f>T297-HLOOKUP(V297,[5]Minimas!$C$3:$CD$12,3,FALSE)</f>
        <v>-32</v>
      </c>
      <c r="AD297" s="230">
        <f>T297-HLOOKUP(V297,[5]Minimas!$C$3:$CD$12,4,FALSE)</f>
        <v>-57</v>
      </c>
      <c r="AE297" s="230">
        <f>T297-HLOOKUP(V297,[5]Minimas!$C$3:$CD$12,5,FALSE)</f>
        <v>-87</v>
      </c>
      <c r="AF297" s="230">
        <f>T297-HLOOKUP(V297,[5]Minimas!$C$3:$CD$12,6,FALSE)</f>
        <v>-117</v>
      </c>
      <c r="AG297" s="230">
        <f>T297-HLOOKUP(V297,[5]Minimas!$C$3:$CD$12,7,FALSE)</f>
        <v>-149</v>
      </c>
      <c r="AH297" s="230">
        <f>T297-HLOOKUP(V297,[5]Minimas!$C$3:$CD$12,8,FALSE)</f>
        <v>-177</v>
      </c>
      <c r="AI297" s="230">
        <f>T297-HLOOKUP(V297,[5]Minimas!$C$3:$CD$12,9,FALSE)</f>
        <v>-197</v>
      </c>
      <c r="AJ297" s="230">
        <f>T297-HLOOKUP(V297,[5]Minimas!$C$3:$CD$12,10,FALSE)</f>
        <v>-227</v>
      </c>
      <c r="AK297" s="231" t="str">
        <f t="shared" si="95"/>
        <v>DEB</v>
      </c>
      <c r="AL297" s="232"/>
      <c r="AM297" s="232" t="str">
        <f t="shared" si="96"/>
        <v>DEB</v>
      </c>
      <c r="AN297" s="232">
        <f t="shared" si="97"/>
        <v>-7</v>
      </c>
      <c r="AO297" s="232"/>
      <c r="AP297" s="485"/>
      <c r="AQ297" s="485"/>
      <c r="AR297" s="485"/>
      <c r="AS297" s="485"/>
      <c r="AT297" s="485"/>
      <c r="AU297" s="485"/>
      <c r="AV297" s="485"/>
      <c r="AW297" s="485"/>
      <c r="AX297" s="485"/>
      <c r="AY297" s="485"/>
      <c r="AZ297" s="485"/>
      <c r="BA297" s="485"/>
      <c r="BB297" s="485"/>
      <c r="BC297" s="485"/>
      <c r="BD297" s="485"/>
      <c r="BE297" s="485"/>
      <c r="BF297" s="485"/>
      <c r="BG297" s="485"/>
      <c r="BH297" s="485"/>
      <c r="BI297" s="485"/>
      <c r="BJ297" s="485"/>
      <c r="BK297" s="485"/>
      <c r="BL297" s="485"/>
      <c r="BM297" s="485"/>
      <c r="BN297" s="485"/>
      <c r="BO297" s="485"/>
      <c r="BP297" s="485"/>
      <c r="BQ297" s="485"/>
      <c r="BR297" s="485"/>
      <c r="BS297" s="485"/>
      <c r="BT297" s="485"/>
      <c r="BU297" s="485"/>
      <c r="BV297" s="485"/>
      <c r="BW297" s="485"/>
      <c r="BX297" s="485"/>
      <c r="BY297" s="485"/>
      <c r="BZ297" s="485"/>
      <c r="CA297" s="485"/>
      <c r="CB297" s="485"/>
      <c r="CC297" s="485"/>
      <c r="CD297" s="485"/>
      <c r="CE297" s="485"/>
      <c r="CF297" s="485"/>
      <c r="CG297" s="485"/>
      <c r="CH297" s="485"/>
      <c r="CI297" s="485"/>
      <c r="CJ297" s="485"/>
      <c r="CK297" s="485"/>
      <c r="CL297" s="485"/>
      <c r="CM297" s="485"/>
      <c r="CN297" s="485"/>
      <c r="CO297" s="485"/>
      <c r="CP297" s="485"/>
      <c r="CQ297" s="485"/>
      <c r="CR297" s="485"/>
      <c r="CS297" s="485"/>
      <c r="CT297" s="485"/>
      <c r="CU297" s="485"/>
      <c r="CV297" s="485"/>
      <c r="CW297" s="485"/>
      <c r="CX297" s="485"/>
      <c r="CY297" s="485"/>
      <c r="CZ297" s="485"/>
      <c r="DA297" s="485"/>
      <c r="DB297" s="485"/>
      <c r="DC297" s="485"/>
      <c r="DD297" s="485"/>
      <c r="DE297" s="485"/>
      <c r="DF297" s="485"/>
      <c r="DG297" s="485"/>
      <c r="DH297" s="485"/>
      <c r="DI297" s="485"/>
      <c r="DJ297" s="485"/>
      <c r="DK297" s="485"/>
      <c r="DL297" s="485"/>
      <c r="DM297" s="485"/>
      <c r="DN297" s="485"/>
      <c r="DO297" s="485"/>
      <c r="DP297" s="485"/>
      <c r="DQ297" s="485"/>
      <c r="DR297" s="485"/>
      <c r="DS297" s="485"/>
      <c r="DT297" s="485"/>
    </row>
    <row r="298" spans="1:124" s="484" customFormat="1" ht="30" customHeight="1" x14ac:dyDescent="0.25">
      <c r="B298" s="433" t="s">
        <v>543</v>
      </c>
      <c r="C298" s="429">
        <v>636</v>
      </c>
      <c r="D298" s="507"/>
      <c r="E298" s="323" t="s">
        <v>40</v>
      </c>
      <c r="F298" s="319" t="s">
        <v>340</v>
      </c>
      <c r="G298" s="320" t="s">
        <v>378</v>
      </c>
      <c r="H298" s="305">
        <v>1947</v>
      </c>
      <c r="I298" s="324" t="s">
        <v>214</v>
      </c>
      <c r="J298" s="325"/>
      <c r="K298" s="326">
        <v>102</v>
      </c>
      <c r="L298" s="300">
        <v>50</v>
      </c>
      <c r="M298" s="301">
        <v>55</v>
      </c>
      <c r="N298" s="301">
        <v>-60</v>
      </c>
      <c r="O298" s="358">
        <f t="shared" si="98"/>
        <v>55</v>
      </c>
      <c r="P298" s="300">
        <v>70</v>
      </c>
      <c r="Q298" s="301">
        <v>80</v>
      </c>
      <c r="R298" s="301" t="s">
        <v>497</v>
      </c>
      <c r="S298" s="358">
        <f t="shared" si="99"/>
        <v>80</v>
      </c>
      <c r="T298" s="359">
        <f t="shared" si="93"/>
        <v>135</v>
      </c>
      <c r="U298" s="360" t="str">
        <f t="shared" si="100"/>
        <v>DEB -25</v>
      </c>
      <c r="V298" s="360" t="str">
        <f>IF(E298=0," ",IF(E298="H",IF(H298&lt;1999,VLOOKUP(K298,[3]Minimas!$A$15:$F$29,6),IF(AND(H298&gt;1998,H298&lt;2002),VLOOKUP(K298,[3]Minimas!$A$15:$F$29,5),IF(AND(H298&gt;2001,H298&lt;2004),VLOOKUP(K298,[3]Minimas!$A$15:$F$29,4),IF(AND(H298&gt;2003,H298&lt;2006),VLOOKUP(K298,[3]Minimas!$A$15:$F$29,3),VLOOKUP(K298,[3]Minimas!$A$15:$F$29,2))))),IF(H298&lt;1999,VLOOKUP(K298,[3]Minimas!$G$15:$L$29,6),IF(AND(H298&gt;1998,H298&lt;2002),VLOOKUP(K298,[3]Minimas!$G$15:$L$29,5),IF(AND(H298&gt;2001,H298&lt;2004),VLOOKUP(K298,[3]Minimas!$G$15:$L$29,4),IF(AND(H298&gt;2003,H298&lt;2006),VLOOKUP(K298,[3]Minimas!$G$15:$L$29,3),VLOOKUP(K298,[3]Minimas!$G$15:$L$29,2)))))))</f>
        <v>SE M102</v>
      </c>
      <c r="W298" s="361">
        <f t="shared" si="94"/>
        <v>148.63002044620779</v>
      </c>
      <c r="X298" s="257">
        <v>43610</v>
      </c>
      <c r="Y298" s="261" t="s">
        <v>892</v>
      </c>
      <c r="Z298" s="261" t="s">
        <v>829</v>
      </c>
      <c r="AA298" s="232"/>
      <c r="AB298" s="230">
        <f>T298-HLOOKUP(V298,[3]Minimas!$C$3:$CD$12,2,FALSE)</f>
        <v>-25</v>
      </c>
      <c r="AC298" s="230">
        <f>T298-HLOOKUP(V298,[3]Minimas!$C$3:$CD$12,3,FALSE)</f>
        <v>-50</v>
      </c>
      <c r="AD298" s="230">
        <f>T298-HLOOKUP(V298,[3]Minimas!$C$3:$CD$12,4,FALSE)</f>
        <v>-75</v>
      </c>
      <c r="AE298" s="230">
        <f>T298-HLOOKUP(V298,[3]Minimas!$C$3:$CD$12,5,FALSE)</f>
        <v>-105</v>
      </c>
      <c r="AF298" s="230">
        <f>T298-HLOOKUP(V298,[3]Minimas!$C$3:$CD$12,6,FALSE)</f>
        <v>-135</v>
      </c>
      <c r="AG298" s="230">
        <f>T298-HLOOKUP(V298,[3]Minimas!$C$3:$CD$12,7,FALSE)</f>
        <v>-167</v>
      </c>
      <c r="AH298" s="230">
        <f>T298-HLOOKUP(V298,[3]Minimas!$C$3:$CD$12,8,FALSE)</f>
        <v>-195</v>
      </c>
      <c r="AI298" s="230">
        <f>T298-HLOOKUP(V298,[3]Minimas!$C$3:$CD$12,9,FALSE)</f>
        <v>-215</v>
      </c>
      <c r="AJ298" s="230">
        <f>T298-HLOOKUP(V298,[3]Minimas!$C$3:$CD$12,10,FALSE)</f>
        <v>-245</v>
      </c>
      <c r="AK298" s="231" t="str">
        <f t="shared" si="95"/>
        <v>DEB</v>
      </c>
      <c r="AL298" s="232"/>
      <c r="AM298" s="232" t="str">
        <f t="shared" si="96"/>
        <v>DEB</v>
      </c>
      <c r="AN298" s="232">
        <f t="shared" si="97"/>
        <v>-25</v>
      </c>
      <c r="AO298" s="232"/>
      <c r="AP298" s="485"/>
      <c r="AQ298" s="485"/>
      <c r="AR298" s="485"/>
      <c r="AS298" s="485"/>
      <c r="AT298" s="485"/>
      <c r="AU298" s="485"/>
      <c r="AV298" s="485"/>
      <c r="AW298" s="485"/>
      <c r="AX298" s="485"/>
      <c r="AY298" s="485"/>
      <c r="AZ298" s="485"/>
      <c r="BA298" s="485"/>
      <c r="BB298" s="485"/>
      <c r="BC298" s="485"/>
      <c r="BD298" s="485"/>
      <c r="BE298" s="485"/>
      <c r="BF298" s="485"/>
      <c r="BG298" s="485"/>
      <c r="BH298" s="485"/>
      <c r="BI298" s="485"/>
      <c r="BJ298" s="485"/>
      <c r="BK298" s="485"/>
      <c r="BL298" s="485"/>
      <c r="BM298" s="485"/>
      <c r="BN298" s="485"/>
      <c r="BO298" s="485"/>
      <c r="BP298" s="485"/>
      <c r="BQ298" s="485"/>
      <c r="BR298" s="485"/>
      <c r="BS298" s="485"/>
      <c r="BT298" s="485"/>
      <c r="BU298" s="485"/>
      <c r="BV298" s="485"/>
      <c r="BW298" s="485"/>
      <c r="BX298" s="485"/>
      <c r="BY298" s="485"/>
      <c r="BZ298" s="485"/>
      <c r="CA298" s="485"/>
      <c r="CB298" s="485"/>
      <c r="CC298" s="485"/>
      <c r="CD298" s="485"/>
      <c r="CE298" s="485"/>
      <c r="CF298" s="485"/>
      <c r="CG298" s="485"/>
      <c r="CH298" s="485"/>
      <c r="CI298" s="485"/>
      <c r="CJ298" s="485"/>
      <c r="CK298" s="485"/>
      <c r="CL298" s="485"/>
      <c r="CM298" s="485"/>
      <c r="CN298" s="485"/>
      <c r="CO298" s="485"/>
      <c r="CP298" s="485"/>
      <c r="CQ298" s="485"/>
      <c r="CR298" s="485"/>
      <c r="CS298" s="485"/>
      <c r="CT298" s="485"/>
      <c r="CU298" s="485"/>
      <c r="CV298" s="485"/>
      <c r="CW298" s="485"/>
      <c r="CX298" s="485"/>
      <c r="CY298" s="485"/>
      <c r="CZ298" s="485"/>
      <c r="DA298" s="485"/>
      <c r="DB298" s="485"/>
      <c r="DC298" s="485"/>
      <c r="DD298" s="485"/>
      <c r="DE298" s="485"/>
      <c r="DF298" s="485"/>
      <c r="DG298" s="485"/>
      <c r="DH298" s="485"/>
      <c r="DI298" s="485"/>
      <c r="DJ298" s="485"/>
      <c r="DK298" s="485"/>
      <c r="DL298" s="485"/>
      <c r="DM298" s="485"/>
      <c r="DN298" s="485"/>
      <c r="DO298" s="485"/>
      <c r="DP298" s="485"/>
      <c r="DQ298" s="485"/>
      <c r="DR298" s="485"/>
      <c r="DS298" s="485"/>
      <c r="DT298" s="485"/>
    </row>
    <row r="299" spans="1:124" s="484" customFormat="1" ht="30" customHeight="1" x14ac:dyDescent="0.25">
      <c r="B299" s="515" t="s">
        <v>543</v>
      </c>
      <c r="C299" s="697">
        <v>246398</v>
      </c>
      <c r="D299" s="535"/>
      <c r="E299" s="719" t="s">
        <v>40</v>
      </c>
      <c r="F299" s="727" t="s">
        <v>228</v>
      </c>
      <c r="G299" s="734" t="s">
        <v>429</v>
      </c>
      <c r="H299" s="738">
        <v>1978</v>
      </c>
      <c r="I299" s="719" t="s">
        <v>219</v>
      </c>
      <c r="J299" s="762" t="s">
        <v>44</v>
      </c>
      <c r="K299" s="770">
        <v>106.2</v>
      </c>
      <c r="L299" s="781">
        <v>110</v>
      </c>
      <c r="M299" s="792">
        <v>120</v>
      </c>
      <c r="N299" s="800">
        <v>130</v>
      </c>
      <c r="O299" s="490">
        <f t="shared" si="98"/>
        <v>130</v>
      </c>
      <c r="P299" s="806">
        <v>155</v>
      </c>
      <c r="Q299" s="800">
        <v>165</v>
      </c>
      <c r="R299" s="801">
        <v>-172</v>
      </c>
      <c r="S299" s="490">
        <f t="shared" si="99"/>
        <v>165</v>
      </c>
      <c r="T299" s="489">
        <f t="shared" si="93"/>
        <v>295</v>
      </c>
      <c r="U299" s="48" t="str">
        <f t="shared" si="100"/>
        <v>FED + 20</v>
      </c>
      <c r="V299" s="48" t="str">
        <f>IF(E299=0," ",IF(E299="H",IF(H299&lt;1999,VLOOKUP(K299,Minimas!$A$15:$F$29,6),IF(AND(H299&gt;1998,H299&lt;2002),VLOOKUP(K299,Minimas!$A$15:$F$29,5),IF(AND(H299&gt;2001,H299&lt;2004),VLOOKUP(K299,Minimas!$A$15:$F$29,4),IF(AND(H299&gt;2003,H299&lt;2006),VLOOKUP(K299,Minimas!$A$15:$F$29,3),VLOOKUP(K299,Minimas!$A$15:$F$29,2))))),IF(H299&lt;1999,VLOOKUP(K299,Minimas!$G$15:$L$29,6),IF(AND(H299&gt;1998,H299&lt;2002),VLOOKUP(K299,Minimas!$G$15:$L$29,5),IF(AND(H299&gt;2001,H299&lt;2004),VLOOKUP(K299,Minimas!$G$15:$L$29,4),IF(AND(H299&gt;2003,H299&lt;2006),VLOOKUP(K299,Minimas!$G$15:$L$29,3),VLOOKUP(K299,Minimas!$G$15:$L$29,2)))))))</f>
        <v>SE M109</v>
      </c>
      <c r="W299" s="49">
        <f t="shared" si="94"/>
        <v>320.34208291293686</v>
      </c>
      <c r="X299" s="257">
        <v>43576</v>
      </c>
      <c r="Y299" s="261" t="s">
        <v>860</v>
      </c>
      <c r="Z299" s="261" t="s">
        <v>861</v>
      </c>
      <c r="AA299" s="232"/>
      <c r="AB299" s="230">
        <f>T299-HLOOKUP(V299,Minimas!$C$3:$CD$12,2,FALSE)</f>
        <v>130</v>
      </c>
      <c r="AC299" s="230">
        <f>T299-HLOOKUP(V299,Minimas!$C$3:$CD$12,3,FALSE)</f>
        <v>105</v>
      </c>
      <c r="AD299" s="230">
        <f>T299-HLOOKUP(V299,Minimas!$C$3:$CD$12,4,FALSE)</f>
        <v>80</v>
      </c>
      <c r="AE299" s="230">
        <f>T299-HLOOKUP(V299,Minimas!$C$3:$CD$12,5,FALSE)</f>
        <v>50</v>
      </c>
      <c r="AF299" s="230">
        <f>T299-HLOOKUP(V299,Minimas!$C$3:$CD$12,6,FALSE)</f>
        <v>20</v>
      </c>
      <c r="AG299" s="230">
        <f>T299-HLOOKUP(V299,Minimas!$C$3:$CD$12,7,FALSE)</f>
        <v>-15</v>
      </c>
      <c r="AH299" s="230">
        <f>T299-HLOOKUP(V299,Minimas!$C$3:$CD$12,8,FALSE)</f>
        <v>-40</v>
      </c>
      <c r="AI299" s="230">
        <f>T299-HLOOKUP(V299,Minimas!$C$3:$CD$12,9,FALSE)</f>
        <v>-65</v>
      </c>
      <c r="AJ299" s="230">
        <f>T299-HLOOKUP(V299,Minimas!$C$3:$CD$12,10,FALSE)</f>
        <v>-85</v>
      </c>
      <c r="AK299" s="231" t="str">
        <f t="shared" si="95"/>
        <v>FED +</v>
      </c>
      <c r="AL299" s="232"/>
      <c r="AM299" s="232" t="str">
        <f t="shared" si="96"/>
        <v>FED +</v>
      </c>
      <c r="AN299" s="232">
        <f t="shared" si="97"/>
        <v>20</v>
      </c>
      <c r="AO299" s="232"/>
      <c r="AP299" s="485"/>
      <c r="AQ299" s="485"/>
      <c r="AR299" s="485"/>
      <c r="AS299" s="485"/>
      <c r="AT299" s="485"/>
      <c r="AU299" s="485"/>
      <c r="AV299" s="485"/>
      <c r="AW299" s="485"/>
      <c r="AX299" s="485"/>
      <c r="AY299" s="485"/>
      <c r="AZ299" s="485"/>
      <c r="BA299" s="485"/>
      <c r="BB299" s="485"/>
      <c r="BC299" s="485"/>
      <c r="BD299" s="485"/>
      <c r="BE299" s="485"/>
      <c r="BF299" s="485"/>
      <c r="BG299" s="485"/>
      <c r="BH299" s="485"/>
      <c r="BI299" s="485"/>
      <c r="BJ299" s="485"/>
      <c r="BK299" s="485"/>
      <c r="BL299" s="485"/>
      <c r="BM299" s="485"/>
      <c r="BN299" s="485"/>
      <c r="BO299" s="485"/>
      <c r="BP299" s="485"/>
      <c r="BQ299" s="485"/>
      <c r="BR299" s="485"/>
      <c r="BS299" s="485"/>
      <c r="BT299" s="485"/>
      <c r="BU299" s="485"/>
      <c r="BV299" s="485"/>
      <c r="BW299" s="485"/>
      <c r="BX299" s="485"/>
      <c r="BY299" s="485"/>
      <c r="BZ299" s="485"/>
      <c r="CA299" s="485"/>
      <c r="CB299" s="485"/>
      <c r="CC299" s="485"/>
      <c r="CD299" s="485"/>
      <c r="CE299" s="485"/>
      <c r="CF299" s="485"/>
      <c r="CG299" s="485"/>
      <c r="CH299" s="485"/>
      <c r="CI299" s="485"/>
      <c r="CJ299" s="485"/>
      <c r="CK299" s="485"/>
      <c r="CL299" s="485"/>
      <c r="CM299" s="485"/>
      <c r="CN299" s="485"/>
      <c r="CO299" s="485"/>
      <c r="CP299" s="485"/>
      <c r="CQ299" s="485"/>
      <c r="CR299" s="485"/>
      <c r="CS299" s="485"/>
      <c r="CT299" s="485"/>
      <c r="CU299" s="485"/>
      <c r="CV299" s="485"/>
      <c r="CW299" s="485"/>
      <c r="CX299" s="485"/>
      <c r="CY299" s="485"/>
      <c r="CZ299" s="485"/>
      <c r="DA299" s="485"/>
      <c r="DB299" s="485"/>
      <c r="DC299" s="485"/>
      <c r="DD299" s="485"/>
      <c r="DE299" s="485"/>
      <c r="DF299" s="485"/>
      <c r="DG299" s="485"/>
      <c r="DH299" s="485"/>
      <c r="DI299" s="485"/>
      <c r="DJ299" s="485"/>
      <c r="DK299" s="485"/>
      <c r="DL299" s="485"/>
      <c r="DM299" s="485"/>
      <c r="DN299" s="485"/>
      <c r="DO299" s="485"/>
      <c r="DP299" s="485"/>
      <c r="DQ299" s="485"/>
      <c r="DR299" s="485"/>
      <c r="DS299" s="485"/>
      <c r="DT299" s="485"/>
    </row>
    <row r="300" spans="1:124" s="484" customFormat="1" ht="30" customHeight="1" x14ac:dyDescent="0.3">
      <c r="B300" s="515" t="s">
        <v>543</v>
      </c>
      <c r="C300" s="525">
        <v>47605</v>
      </c>
      <c r="D300" s="533"/>
      <c r="E300" s="399" t="s">
        <v>40</v>
      </c>
      <c r="F300" s="414" t="s">
        <v>430</v>
      </c>
      <c r="G300" s="415" t="s">
        <v>431</v>
      </c>
      <c r="H300" s="417">
        <v>1978</v>
      </c>
      <c r="I300" s="747" t="s">
        <v>173</v>
      </c>
      <c r="J300" s="379" t="s">
        <v>44</v>
      </c>
      <c r="K300" s="581">
        <v>103.76</v>
      </c>
      <c r="L300" s="452">
        <v>105</v>
      </c>
      <c r="M300" s="597">
        <v>-110</v>
      </c>
      <c r="N300" s="597">
        <v>-110</v>
      </c>
      <c r="O300" s="490">
        <f t="shared" si="98"/>
        <v>105</v>
      </c>
      <c r="P300" s="452">
        <v>140</v>
      </c>
      <c r="Q300" s="453">
        <v>143</v>
      </c>
      <c r="R300" s="597">
        <v>-150</v>
      </c>
      <c r="S300" s="490">
        <f t="shared" si="99"/>
        <v>143</v>
      </c>
      <c r="T300" s="489">
        <f t="shared" si="93"/>
        <v>248</v>
      </c>
      <c r="U300" s="48" t="str">
        <f t="shared" si="100"/>
        <v>IRG + 3</v>
      </c>
      <c r="V300" s="48" t="str">
        <f>IF(E300=0," ",IF(E300="H",IF(H300&lt;1999,VLOOKUP(K300,Minimas!$A$15:$F$29,6),IF(AND(H300&gt;1998,H300&lt;2002),VLOOKUP(K300,Minimas!$A$15:$F$29,5),IF(AND(H300&gt;2001,H300&lt;2004),VLOOKUP(K300,Minimas!$A$15:$F$29,4),IF(AND(H300&gt;2003,H300&lt;2006),VLOOKUP(K300,Minimas!$A$15:$F$29,3),VLOOKUP(K300,Minimas!$A$15:$F$29,2))))),IF(H300&lt;1999,VLOOKUP(K300,Minimas!$G$15:$L$29,6),IF(AND(H300&gt;1998,H300&lt;2002),VLOOKUP(K300,Minimas!$G$15:$L$29,5),IF(AND(H300&gt;2001,H300&lt;2004),VLOOKUP(K300,Minimas!$G$15:$L$29,4),IF(AND(H300&gt;2003,H300&lt;2006),VLOOKUP(K300,Minimas!$G$15:$L$29,3),VLOOKUP(K300,Minimas!$G$15:$L$29,2)))))))</f>
        <v>SE M109</v>
      </c>
      <c r="W300" s="49">
        <f t="shared" si="94"/>
        <v>271.41408399042956</v>
      </c>
      <c r="X300" s="184">
        <v>43401</v>
      </c>
      <c r="Y300" s="284" t="s">
        <v>507</v>
      </c>
      <c r="Z300" s="284" t="s">
        <v>506</v>
      </c>
      <c r="AA300" s="232"/>
      <c r="AB300" s="230">
        <f>T300-HLOOKUP(V300,Minimas!$C$3:$CD$12,2,FALSE)</f>
        <v>83</v>
      </c>
      <c r="AC300" s="230">
        <f>T300-HLOOKUP(V300,Minimas!$C$3:$CD$12,3,FALSE)</f>
        <v>58</v>
      </c>
      <c r="AD300" s="230">
        <f>T300-HLOOKUP(V300,Minimas!$C$3:$CD$12,4,FALSE)</f>
        <v>33</v>
      </c>
      <c r="AE300" s="230">
        <f>T300-HLOOKUP(V300,Minimas!$C$3:$CD$12,5,FALSE)</f>
        <v>3</v>
      </c>
      <c r="AF300" s="230">
        <f>T300-HLOOKUP(V300,Minimas!$C$3:$CD$12,6,FALSE)</f>
        <v>-27</v>
      </c>
      <c r="AG300" s="230">
        <f>T300-HLOOKUP(V300,Minimas!$C$3:$CD$12,7,FALSE)</f>
        <v>-62</v>
      </c>
      <c r="AH300" s="230">
        <f>T300-HLOOKUP(V300,Minimas!$C$3:$CD$12,8,FALSE)</f>
        <v>-87</v>
      </c>
      <c r="AI300" s="230">
        <f>T300-HLOOKUP(V300,Minimas!$C$3:$CD$12,9,FALSE)</f>
        <v>-112</v>
      </c>
      <c r="AJ300" s="230">
        <f>T300-HLOOKUP(V300,Minimas!$C$3:$CD$12,10,FALSE)</f>
        <v>-132</v>
      </c>
      <c r="AK300" s="231" t="str">
        <f t="shared" si="95"/>
        <v>IRG +</v>
      </c>
      <c r="AL300" s="232"/>
      <c r="AM300" s="232" t="str">
        <f t="shared" si="96"/>
        <v>IRG +</v>
      </c>
      <c r="AN300" s="232">
        <f t="shared" si="97"/>
        <v>3</v>
      </c>
      <c r="AO300" s="232"/>
      <c r="AP300" s="485"/>
      <c r="AQ300" s="485"/>
      <c r="AR300" s="485"/>
      <c r="AS300" s="485"/>
      <c r="AT300" s="485"/>
      <c r="AU300" s="485"/>
      <c r="AV300" s="485"/>
      <c r="AW300" s="485"/>
      <c r="AX300" s="485"/>
      <c r="AY300" s="485"/>
      <c r="AZ300" s="485"/>
      <c r="BA300" s="485"/>
      <c r="BB300" s="485"/>
      <c r="BC300" s="485"/>
      <c r="BD300" s="485"/>
      <c r="BE300" s="485"/>
      <c r="BF300" s="485"/>
      <c r="BG300" s="485"/>
      <c r="BH300" s="485"/>
      <c r="BI300" s="485"/>
      <c r="BJ300" s="485"/>
      <c r="BK300" s="485"/>
      <c r="BL300" s="485"/>
      <c r="BM300" s="485"/>
      <c r="BN300" s="485"/>
      <c r="BO300" s="485"/>
      <c r="BP300" s="485"/>
      <c r="BQ300" s="485"/>
      <c r="BR300" s="485"/>
      <c r="BS300" s="485"/>
      <c r="BT300" s="485"/>
      <c r="BU300" s="485"/>
      <c r="BV300" s="485"/>
      <c r="BW300" s="485"/>
      <c r="BX300" s="485"/>
      <c r="BY300" s="485"/>
      <c r="BZ300" s="485"/>
      <c r="CA300" s="485"/>
      <c r="CB300" s="485"/>
      <c r="CC300" s="485"/>
      <c r="CD300" s="485"/>
      <c r="CE300" s="485"/>
      <c r="CF300" s="485"/>
      <c r="CG300" s="485"/>
      <c r="CH300" s="485"/>
      <c r="CI300" s="485"/>
      <c r="CJ300" s="485"/>
      <c r="CK300" s="485"/>
      <c r="CL300" s="485"/>
      <c r="CM300" s="485"/>
      <c r="CN300" s="485"/>
      <c r="CO300" s="485"/>
      <c r="CP300" s="485"/>
      <c r="CQ300" s="485"/>
      <c r="CR300" s="485"/>
      <c r="CS300" s="485"/>
      <c r="CT300" s="485"/>
      <c r="CU300" s="485"/>
      <c r="CV300" s="485"/>
      <c r="CW300" s="485"/>
      <c r="CX300" s="485"/>
      <c r="CY300" s="485"/>
      <c r="CZ300" s="485"/>
      <c r="DA300" s="485"/>
      <c r="DB300" s="485"/>
      <c r="DC300" s="485"/>
      <c r="DD300" s="485"/>
      <c r="DE300" s="485"/>
      <c r="DF300" s="485"/>
      <c r="DG300" s="485"/>
      <c r="DH300" s="485"/>
      <c r="DI300" s="485"/>
      <c r="DJ300" s="485"/>
      <c r="DK300" s="485"/>
      <c r="DL300" s="485"/>
      <c r="DM300" s="485"/>
      <c r="DN300" s="485"/>
      <c r="DO300" s="485"/>
      <c r="DP300" s="485"/>
      <c r="DQ300" s="485"/>
      <c r="DR300" s="485"/>
      <c r="DS300" s="485"/>
      <c r="DT300" s="485"/>
    </row>
    <row r="301" spans="1:124" s="484" customFormat="1" ht="30" customHeight="1" x14ac:dyDescent="0.25">
      <c r="B301" s="433" t="s">
        <v>543</v>
      </c>
      <c r="C301" s="429">
        <v>383200</v>
      </c>
      <c r="D301" s="507"/>
      <c r="E301" s="315" t="s">
        <v>40</v>
      </c>
      <c r="F301" s="319" t="s">
        <v>236</v>
      </c>
      <c r="G301" s="320" t="s">
        <v>262</v>
      </c>
      <c r="H301" s="305">
        <v>1987</v>
      </c>
      <c r="I301" s="321" t="s">
        <v>214</v>
      </c>
      <c r="J301" s="322"/>
      <c r="K301" s="326">
        <v>104</v>
      </c>
      <c r="L301" s="300">
        <v>95</v>
      </c>
      <c r="M301" s="301">
        <v>100</v>
      </c>
      <c r="N301" s="301">
        <v>-105</v>
      </c>
      <c r="O301" s="358">
        <f t="shared" si="98"/>
        <v>100</v>
      </c>
      <c r="P301" s="300">
        <v>115</v>
      </c>
      <c r="Q301" s="301">
        <v>120</v>
      </c>
      <c r="R301" s="301">
        <v>125</v>
      </c>
      <c r="S301" s="358">
        <f t="shared" si="99"/>
        <v>125</v>
      </c>
      <c r="T301" s="359">
        <f t="shared" si="93"/>
        <v>225</v>
      </c>
      <c r="U301" s="360" t="str">
        <f t="shared" si="100"/>
        <v>REG + 10</v>
      </c>
      <c r="V301" s="360" t="str">
        <f>IF(E301=0," ",IF(E301="H",IF(H301&lt;1999,VLOOKUP(K301,[3]Minimas!$A$15:$F$29,6),IF(AND(H301&gt;1998,H301&lt;2002),VLOOKUP(K301,[3]Minimas!$A$15:$F$29,5),IF(AND(H301&gt;2001,H301&lt;2004),VLOOKUP(K301,[3]Minimas!$A$15:$F$29,4),IF(AND(H301&gt;2003,H301&lt;2006),VLOOKUP(K301,[3]Minimas!$A$15:$F$29,3),VLOOKUP(K301,[3]Minimas!$A$15:$F$29,2))))),IF(H301&lt;1999,VLOOKUP(K301,[3]Minimas!$G$15:$L$29,6),IF(AND(H301&gt;1998,H301&lt;2002),VLOOKUP(K301,[3]Minimas!$G$15:$L$29,5),IF(AND(H301&gt;2001,H301&lt;2004),VLOOKUP(K301,[3]Minimas!$G$15:$L$29,4),IF(AND(H301&gt;2003,H301&lt;2006),VLOOKUP(K301,[3]Minimas!$G$15:$L$29,3),VLOOKUP(K301,[3]Minimas!$G$15:$L$29,2)))))))</f>
        <v>SE M109</v>
      </c>
      <c r="W301" s="361">
        <f t="shared" si="94"/>
        <v>246.04782302330375</v>
      </c>
      <c r="X301" s="257">
        <v>43610</v>
      </c>
      <c r="Y301" s="261" t="s">
        <v>892</v>
      </c>
      <c r="Z301" s="261" t="s">
        <v>829</v>
      </c>
      <c r="AA301" s="232"/>
      <c r="AB301" s="230">
        <f>T301-HLOOKUP(V301,[3]Minimas!$C$3:$CD$12,2,FALSE)</f>
        <v>60</v>
      </c>
      <c r="AC301" s="230">
        <f>T301-HLOOKUP(V301,[3]Minimas!$C$3:$CD$12,3,FALSE)</f>
        <v>35</v>
      </c>
      <c r="AD301" s="230">
        <f>T301-HLOOKUP(V301,[3]Minimas!$C$3:$CD$12,4,FALSE)</f>
        <v>10</v>
      </c>
      <c r="AE301" s="230">
        <f>T301-HLOOKUP(V301,[3]Minimas!$C$3:$CD$12,5,FALSE)</f>
        <v>-20</v>
      </c>
      <c r="AF301" s="230">
        <f>T301-HLOOKUP(V301,[3]Minimas!$C$3:$CD$12,6,FALSE)</f>
        <v>-50</v>
      </c>
      <c r="AG301" s="230">
        <f>T301-HLOOKUP(V301,[3]Minimas!$C$3:$CD$12,7,FALSE)</f>
        <v>-85</v>
      </c>
      <c r="AH301" s="230">
        <f>T301-HLOOKUP(V301,[3]Minimas!$C$3:$CD$12,8,FALSE)</f>
        <v>-110</v>
      </c>
      <c r="AI301" s="230">
        <f>T301-HLOOKUP(V301,[3]Minimas!$C$3:$CD$12,9,FALSE)</f>
        <v>-135</v>
      </c>
      <c r="AJ301" s="230">
        <f>T301-HLOOKUP(V301,[3]Minimas!$C$3:$CD$12,10,FALSE)</f>
        <v>-155</v>
      </c>
      <c r="AK301" s="231" t="str">
        <f t="shared" si="95"/>
        <v>REG +</v>
      </c>
      <c r="AL301" s="232"/>
      <c r="AM301" s="232" t="str">
        <f t="shared" si="96"/>
        <v>REG +</v>
      </c>
      <c r="AN301" s="232">
        <f t="shared" si="97"/>
        <v>10</v>
      </c>
      <c r="AO301" s="232"/>
      <c r="AP301" s="485"/>
      <c r="AQ301" s="485"/>
      <c r="AR301" s="485"/>
      <c r="AS301" s="485"/>
      <c r="AT301" s="485"/>
      <c r="AU301" s="485"/>
      <c r="AV301" s="485"/>
      <c r="AW301" s="485"/>
      <c r="AX301" s="485"/>
      <c r="AY301" s="485"/>
      <c r="AZ301" s="485"/>
      <c r="BA301" s="485"/>
      <c r="BB301" s="485"/>
      <c r="BC301" s="485"/>
      <c r="BD301" s="485"/>
      <c r="BE301" s="485"/>
      <c r="BF301" s="485"/>
      <c r="BG301" s="485"/>
      <c r="BH301" s="485"/>
      <c r="BI301" s="485"/>
      <c r="BJ301" s="485"/>
      <c r="BK301" s="485"/>
      <c r="BL301" s="485"/>
      <c r="BM301" s="485"/>
      <c r="BN301" s="485"/>
      <c r="BO301" s="485"/>
      <c r="BP301" s="485"/>
      <c r="BQ301" s="485"/>
      <c r="BR301" s="485"/>
      <c r="BS301" s="485"/>
      <c r="BT301" s="485"/>
      <c r="BU301" s="485"/>
      <c r="BV301" s="485"/>
      <c r="BW301" s="485"/>
      <c r="BX301" s="485"/>
      <c r="BY301" s="485"/>
      <c r="BZ301" s="485"/>
      <c r="CA301" s="485"/>
      <c r="CB301" s="485"/>
      <c r="CC301" s="485"/>
      <c r="CD301" s="485"/>
      <c r="CE301" s="485"/>
      <c r="CF301" s="485"/>
      <c r="CG301" s="485"/>
      <c r="CH301" s="485"/>
      <c r="CI301" s="485"/>
      <c r="CJ301" s="485"/>
      <c r="CK301" s="485"/>
      <c r="CL301" s="485"/>
      <c r="CM301" s="485"/>
      <c r="CN301" s="485"/>
      <c r="CO301" s="485"/>
      <c r="CP301" s="485"/>
      <c r="CQ301" s="485"/>
      <c r="CR301" s="485"/>
      <c r="CS301" s="485"/>
      <c r="CT301" s="485"/>
      <c r="CU301" s="485"/>
      <c r="CV301" s="485"/>
      <c r="CW301" s="485"/>
      <c r="CX301" s="485"/>
      <c r="CY301" s="485"/>
      <c r="CZ301" s="485"/>
      <c r="DA301" s="485"/>
      <c r="DB301" s="485"/>
      <c r="DC301" s="485"/>
      <c r="DD301" s="485"/>
      <c r="DE301" s="485"/>
      <c r="DF301" s="485"/>
      <c r="DG301" s="485"/>
      <c r="DH301" s="485"/>
      <c r="DI301" s="485"/>
      <c r="DJ301" s="485"/>
      <c r="DK301" s="485"/>
      <c r="DL301" s="485"/>
      <c r="DM301" s="485"/>
      <c r="DN301" s="485"/>
      <c r="DO301" s="485"/>
      <c r="DP301" s="485"/>
      <c r="DQ301" s="485"/>
      <c r="DR301" s="485"/>
      <c r="DS301" s="485"/>
      <c r="DT301" s="485"/>
    </row>
    <row r="302" spans="1:124" s="484" customFormat="1" ht="30" customHeight="1" x14ac:dyDescent="0.3">
      <c r="B302" s="515" t="s">
        <v>543</v>
      </c>
      <c r="C302" s="525">
        <v>444750</v>
      </c>
      <c r="D302" s="532"/>
      <c r="E302" s="399" t="s">
        <v>40</v>
      </c>
      <c r="F302" s="414" t="s">
        <v>451</v>
      </c>
      <c r="G302" s="415" t="s">
        <v>452</v>
      </c>
      <c r="H302" s="417">
        <v>1994</v>
      </c>
      <c r="I302" s="425" t="s">
        <v>440</v>
      </c>
      <c r="J302" s="379" t="s">
        <v>44</v>
      </c>
      <c r="K302" s="581">
        <v>103.9</v>
      </c>
      <c r="L302" s="452">
        <v>75</v>
      </c>
      <c r="M302" s="453">
        <v>80</v>
      </c>
      <c r="N302" s="453">
        <v>85</v>
      </c>
      <c r="O302" s="490">
        <f t="shared" si="98"/>
        <v>85</v>
      </c>
      <c r="P302" s="452">
        <v>95</v>
      </c>
      <c r="Q302" s="453">
        <v>102</v>
      </c>
      <c r="R302" s="453">
        <v>109</v>
      </c>
      <c r="S302" s="490">
        <f t="shared" si="99"/>
        <v>109</v>
      </c>
      <c r="T302" s="489">
        <f t="shared" si="93"/>
        <v>194</v>
      </c>
      <c r="U302" s="48" t="str">
        <f t="shared" si="100"/>
        <v>DPT + 4</v>
      </c>
      <c r="V302" s="48" t="str">
        <f>IF(E302=0," ",IF(E302="H",IF(H302&lt;1999,VLOOKUP(K302,Minimas!$A$15:$F$29,6),IF(AND(H302&gt;1998,H302&lt;2002),VLOOKUP(K302,Minimas!$A$15:$F$29,5),IF(AND(H302&gt;2001,H302&lt;2004),VLOOKUP(K302,Minimas!$A$15:$F$29,4),IF(AND(H302&gt;2003,H302&lt;2006),VLOOKUP(K302,Minimas!$A$15:$F$29,3),VLOOKUP(K302,Minimas!$A$15:$F$29,2))))),IF(H302&lt;1999,VLOOKUP(K302,Minimas!$G$15:$L$29,6),IF(AND(H302&gt;1998,H302&lt;2002),VLOOKUP(K302,Minimas!$G$15:$L$29,5),IF(AND(H302&gt;2001,H302&lt;2004),VLOOKUP(K302,Minimas!$G$15:$L$29,4),IF(AND(H302&gt;2003,H302&lt;2006),VLOOKUP(K302,Minimas!$G$15:$L$29,3),VLOOKUP(K302,Minimas!$G$15:$L$29,2)))))))</f>
        <v>SE M109</v>
      </c>
      <c r="W302" s="49">
        <f t="shared" si="94"/>
        <v>212.21772891353427</v>
      </c>
      <c r="X302" s="184">
        <v>43429</v>
      </c>
      <c r="Y302" s="284" t="s">
        <v>509</v>
      </c>
      <c r="Z302" s="284" t="s">
        <v>510</v>
      </c>
      <c r="AA302" s="232"/>
      <c r="AB302" s="230">
        <f>T302-HLOOKUP(V302,Minimas!$C$3:$CD$12,2,FALSE)</f>
        <v>29</v>
      </c>
      <c r="AC302" s="230">
        <f>T302-HLOOKUP(V302,Minimas!$C$3:$CD$12,3,FALSE)</f>
        <v>4</v>
      </c>
      <c r="AD302" s="230">
        <f>T302-HLOOKUP(V302,Minimas!$C$3:$CD$12,4,FALSE)</f>
        <v>-21</v>
      </c>
      <c r="AE302" s="230">
        <f>T302-HLOOKUP(V302,Minimas!$C$3:$CD$12,5,FALSE)</f>
        <v>-51</v>
      </c>
      <c r="AF302" s="230">
        <f>T302-HLOOKUP(V302,Minimas!$C$3:$CD$12,6,FALSE)</f>
        <v>-81</v>
      </c>
      <c r="AG302" s="230">
        <f>T302-HLOOKUP(V302,Minimas!$C$3:$CD$12,7,FALSE)</f>
        <v>-116</v>
      </c>
      <c r="AH302" s="230">
        <f>T302-HLOOKUP(V302,Minimas!$C$3:$CD$12,8,FALSE)</f>
        <v>-141</v>
      </c>
      <c r="AI302" s="230">
        <f>T302-HLOOKUP(V302,Minimas!$C$3:$CD$12,9,FALSE)</f>
        <v>-166</v>
      </c>
      <c r="AJ302" s="230">
        <f>T302-HLOOKUP(V302,Minimas!$C$3:$CD$12,10,FALSE)</f>
        <v>-186</v>
      </c>
      <c r="AK302" s="231" t="str">
        <f t="shared" si="95"/>
        <v>DPT +</v>
      </c>
      <c r="AL302" s="232"/>
      <c r="AM302" s="232" t="str">
        <f t="shared" si="96"/>
        <v>DPT +</v>
      </c>
      <c r="AN302" s="232">
        <f t="shared" si="97"/>
        <v>4</v>
      </c>
      <c r="AO302" s="232"/>
      <c r="AP302" s="485"/>
      <c r="AQ302" s="485"/>
      <c r="AR302" s="485"/>
      <c r="AS302" s="485"/>
      <c r="AT302" s="485"/>
      <c r="AU302" s="485"/>
      <c r="AV302" s="485"/>
      <c r="AW302" s="485"/>
      <c r="AX302" s="485"/>
      <c r="AY302" s="485"/>
      <c r="AZ302" s="485"/>
      <c r="BA302" s="485"/>
      <c r="BB302" s="485"/>
      <c r="BC302" s="485"/>
      <c r="BD302" s="485"/>
      <c r="BE302" s="485"/>
      <c r="BF302" s="485"/>
      <c r="BG302" s="485"/>
      <c r="BH302" s="485"/>
      <c r="BI302" s="485"/>
      <c r="BJ302" s="485"/>
      <c r="BK302" s="485"/>
      <c r="BL302" s="485"/>
      <c r="BM302" s="485"/>
      <c r="BN302" s="485"/>
      <c r="BO302" s="485"/>
      <c r="BP302" s="485"/>
      <c r="BQ302" s="485"/>
      <c r="BR302" s="485"/>
      <c r="BS302" s="485"/>
      <c r="BT302" s="485"/>
      <c r="BU302" s="485"/>
      <c r="BV302" s="485"/>
      <c r="BW302" s="485"/>
      <c r="BX302" s="485"/>
      <c r="BY302" s="485"/>
      <c r="BZ302" s="485"/>
      <c r="CA302" s="485"/>
      <c r="CB302" s="485"/>
      <c r="CC302" s="485"/>
      <c r="CD302" s="485"/>
      <c r="CE302" s="485"/>
      <c r="CF302" s="485"/>
      <c r="CG302" s="485"/>
      <c r="CH302" s="485"/>
      <c r="CI302" s="485"/>
      <c r="CJ302" s="485"/>
      <c r="CK302" s="485"/>
      <c r="CL302" s="485"/>
      <c r="CM302" s="485"/>
      <c r="CN302" s="485"/>
      <c r="CO302" s="485"/>
      <c r="CP302" s="485"/>
      <c r="CQ302" s="485"/>
      <c r="CR302" s="485"/>
      <c r="CS302" s="485"/>
      <c r="CT302" s="485"/>
      <c r="CU302" s="485"/>
      <c r="CV302" s="485"/>
      <c r="CW302" s="485"/>
      <c r="CX302" s="485"/>
      <c r="CY302" s="485"/>
      <c r="CZ302" s="485"/>
      <c r="DA302" s="485"/>
      <c r="DB302" s="485"/>
      <c r="DC302" s="485"/>
      <c r="DD302" s="485"/>
      <c r="DE302" s="485"/>
      <c r="DF302" s="485"/>
      <c r="DG302" s="485"/>
      <c r="DH302" s="485"/>
      <c r="DI302" s="485"/>
      <c r="DJ302" s="485"/>
      <c r="DK302" s="485"/>
      <c r="DL302" s="485"/>
      <c r="DM302" s="485"/>
      <c r="DN302" s="485"/>
      <c r="DO302" s="485"/>
      <c r="DP302" s="485"/>
      <c r="DQ302" s="485"/>
      <c r="DR302" s="485"/>
      <c r="DS302" s="485"/>
      <c r="DT302" s="485"/>
    </row>
    <row r="303" spans="1:124" s="484" customFormat="1" ht="30" customHeight="1" x14ac:dyDescent="0.3">
      <c r="B303" s="515" t="s">
        <v>543</v>
      </c>
      <c r="C303" s="499">
        <v>445925</v>
      </c>
      <c r="D303" s="708"/>
      <c r="E303" s="825" t="s">
        <v>40</v>
      </c>
      <c r="F303" s="486" t="s">
        <v>528</v>
      </c>
      <c r="G303" s="487" t="s">
        <v>529</v>
      </c>
      <c r="H303" s="492">
        <v>1998</v>
      </c>
      <c r="I303" s="528" t="s">
        <v>254</v>
      </c>
      <c r="J303" s="379" t="s">
        <v>44</v>
      </c>
      <c r="K303" s="297">
        <v>102.7</v>
      </c>
      <c r="L303" s="852">
        <v>-78</v>
      </c>
      <c r="M303" s="793">
        <v>78</v>
      </c>
      <c r="N303" s="793">
        <v>83</v>
      </c>
      <c r="O303" s="802">
        <f t="shared" si="98"/>
        <v>83</v>
      </c>
      <c r="P303" s="782">
        <v>90</v>
      </c>
      <c r="Q303" s="793">
        <v>97</v>
      </c>
      <c r="R303" s="793">
        <v>102</v>
      </c>
      <c r="S303" s="490">
        <f t="shared" si="99"/>
        <v>102</v>
      </c>
      <c r="T303" s="489">
        <f t="shared" si="93"/>
        <v>185</v>
      </c>
      <c r="U303" s="48" t="str">
        <f t="shared" si="100"/>
        <v>DEB 20</v>
      </c>
      <c r="V303" s="48" t="str">
        <f>IF(E303=0," ",IF(E303="H",IF(H303&lt;1999,VLOOKUP(K303,Minimas!$A$15:$F$29,6),IF(AND(H303&gt;1998,H303&lt;2002),VLOOKUP(K303,Minimas!$A$15:$F$29,5),IF(AND(H303&gt;2001,H303&lt;2004),VLOOKUP(K303,Minimas!$A$15:$F$29,4),IF(AND(H303&gt;2003,H303&lt;2006),VLOOKUP(K303,Minimas!$A$15:$F$29,3),VLOOKUP(K303,Minimas!$A$15:$F$29,2))))),IF(H303&lt;1999,VLOOKUP(K303,Minimas!$G$15:$L$29,6),IF(AND(H303&gt;1998,H303&lt;2002),VLOOKUP(K303,Minimas!$G$15:$L$29,5),IF(AND(H303&gt;2001,H303&lt;2004),VLOOKUP(K303,Minimas!$G$15:$L$29,4),IF(AND(H303&gt;2003,H303&lt;2006),VLOOKUP(K303,Minimas!$G$15:$L$29,3),VLOOKUP(K303,Minimas!$G$15:$L$29,2)))))))</f>
        <v>SE M109</v>
      </c>
      <c r="W303" s="49">
        <f t="shared" si="94"/>
        <v>203.18810642540603</v>
      </c>
      <c r="X303" s="184">
        <v>43435</v>
      </c>
      <c r="Y303" s="284" t="s">
        <v>526</v>
      </c>
      <c r="Z303" s="284" t="s">
        <v>504</v>
      </c>
      <c r="AA303" s="232"/>
      <c r="AB303" s="230">
        <f>T303-HLOOKUP(V303,Minimas!$C$3:$CD$12,2,FALSE)</f>
        <v>20</v>
      </c>
      <c r="AC303" s="230">
        <f>T303-HLOOKUP(V303,Minimas!$C$3:$CD$12,3,FALSE)</f>
        <v>-5</v>
      </c>
      <c r="AD303" s="230">
        <f>T303-HLOOKUP(V303,Minimas!$C$3:$CD$12,4,FALSE)</f>
        <v>-30</v>
      </c>
      <c r="AE303" s="230">
        <f>T303-HLOOKUP(V303,Minimas!$C$3:$CD$12,5,FALSE)</f>
        <v>-60</v>
      </c>
      <c r="AF303" s="230">
        <f>T303-HLOOKUP(V303,Minimas!$C$3:$CD$12,6,FALSE)</f>
        <v>-90</v>
      </c>
      <c r="AG303" s="230">
        <f>T303-HLOOKUP(V303,Minimas!$C$3:$CD$12,7,FALSE)</f>
        <v>-125</v>
      </c>
      <c r="AH303" s="230">
        <f>T303-HLOOKUP(V303,Minimas!$C$3:$CD$12,8,FALSE)</f>
        <v>-150</v>
      </c>
      <c r="AI303" s="230">
        <f>T303-HLOOKUP(V303,Minimas!$C$3:$CD$12,9,FALSE)</f>
        <v>-175</v>
      </c>
      <c r="AJ303" s="230">
        <f>T303-HLOOKUP(V303,Minimas!$C$3:$CD$12,10,FALSE)</f>
        <v>-195</v>
      </c>
      <c r="AK303" s="231" t="str">
        <f t="shared" si="95"/>
        <v>DEB</v>
      </c>
      <c r="AL303" s="232"/>
      <c r="AM303" s="232" t="str">
        <f t="shared" si="96"/>
        <v>DEB</v>
      </c>
      <c r="AN303" s="232">
        <f t="shared" si="97"/>
        <v>20</v>
      </c>
      <c r="AO303" s="232"/>
      <c r="AP303" s="485"/>
      <c r="AQ303" s="485"/>
      <c r="AR303" s="485"/>
      <c r="AS303" s="485"/>
      <c r="AT303" s="485"/>
      <c r="AU303" s="485"/>
      <c r="AV303" s="485"/>
      <c r="AW303" s="485"/>
      <c r="AX303" s="485"/>
      <c r="AY303" s="485"/>
      <c r="AZ303" s="485"/>
      <c r="BA303" s="485"/>
      <c r="BB303" s="485"/>
      <c r="BC303" s="485"/>
      <c r="BD303" s="485"/>
      <c r="BE303" s="485"/>
      <c r="BF303" s="485"/>
      <c r="BG303" s="485"/>
      <c r="BH303" s="485"/>
      <c r="BI303" s="485"/>
      <c r="BJ303" s="485"/>
      <c r="BK303" s="485"/>
      <c r="BL303" s="485"/>
      <c r="BM303" s="485"/>
      <c r="BN303" s="485"/>
      <c r="BO303" s="485"/>
      <c r="BP303" s="485"/>
      <c r="BQ303" s="485"/>
      <c r="BR303" s="485"/>
      <c r="BS303" s="485"/>
      <c r="BT303" s="485"/>
      <c r="BU303" s="485"/>
      <c r="BV303" s="485"/>
      <c r="BW303" s="485"/>
      <c r="BX303" s="485"/>
      <c r="BY303" s="485"/>
      <c r="BZ303" s="485"/>
      <c r="CA303" s="485"/>
      <c r="CB303" s="485"/>
      <c r="CC303" s="485"/>
      <c r="CD303" s="485"/>
      <c r="CE303" s="485"/>
      <c r="CF303" s="485"/>
      <c r="CG303" s="485"/>
      <c r="CH303" s="485"/>
      <c r="CI303" s="485"/>
      <c r="CJ303" s="485"/>
      <c r="CK303" s="485"/>
      <c r="CL303" s="485"/>
      <c r="CM303" s="485"/>
      <c r="CN303" s="485"/>
      <c r="CO303" s="485"/>
      <c r="CP303" s="485"/>
      <c r="CQ303" s="485"/>
      <c r="CR303" s="485"/>
      <c r="CS303" s="485"/>
      <c r="CT303" s="485"/>
      <c r="CU303" s="485"/>
      <c r="CV303" s="485"/>
      <c r="CW303" s="485"/>
      <c r="CX303" s="485"/>
      <c r="CY303" s="485"/>
      <c r="CZ303" s="485"/>
      <c r="DA303" s="485"/>
      <c r="DB303" s="485"/>
      <c r="DC303" s="485"/>
      <c r="DD303" s="485"/>
      <c r="DE303" s="485"/>
      <c r="DF303" s="485"/>
      <c r="DG303" s="485"/>
      <c r="DH303" s="485"/>
      <c r="DI303" s="485"/>
      <c r="DJ303" s="485"/>
      <c r="DK303" s="485"/>
      <c r="DL303" s="485"/>
      <c r="DM303" s="485"/>
      <c r="DN303" s="485"/>
      <c r="DO303" s="485"/>
      <c r="DP303" s="485"/>
      <c r="DQ303" s="485"/>
      <c r="DR303" s="485"/>
      <c r="DS303" s="485"/>
      <c r="DT303" s="485"/>
    </row>
    <row r="304" spans="1:124" s="484" customFormat="1" ht="30" customHeight="1" x14ac:dyDescent="0.3">
      <c r="B304" s="515" t="s">
        <v>543</v>
      </c>
      <c r="C304" s="701">
        <v>2939</v>
      </c>
      <c r="D304" s="714"/>
      <c r="E304" s="399" t="s">
        <v>40</v>
      </c>
      <c r="F304" s="407" t="s">
        <v>427</v>
      </c>
      <c r="G304" s="408" t="s">
        <v>428</v>
      </c>
      <c r="H304" s="409">
        <v>1949</v>
      </c>
      <c r="I304" s="410" t="s">
        <v>474</v>
      </c>
      <c r="J304" s="379" t="s">
        <v>44</v>
      </c>
      <c r="K304" s="774">
        <v>102.7</v>
      </c>
      <c r="L304" s="452">
        <v>60</v>
      </c>
      <c r="M304" s="453">
        <v>65</v>
      </c>
      <c r="N304" s="796">
        <v>-67</v>
      </c>
      <c r="O304" s="490">
        <f t="shared" si="98"/>
        <v>65</v>
      </c>
      <c r="P304" s="452">
        <v>80</v>
      </c>
      <c r="Q304" s="453">
        <v>90</v>
      </c>
      <c r="R304" s="796">
        <v>-92</v>
      </c>
      <c r="S304" s="490">
        <f t="shared" si="99"/>
        <v>90</v>
      </c>
      <c r="T304" s="489">
        <f t="shared" si="93"/>
        <v>155</v>
      </c>
      <c r="U304" s="48" t="str">
        <f t="shared" si="100"/>
        <v>DEB -10</v>
      </c>
      <c r="V304" s="48" t="str">
        <f>IF(E304=0," ",IF(E304="H",IF(H304&lt;1999,VLOOKUP(K304,Minimas!$A$15:$F$29,6),IF(AND(H304&gt;1998,H304&lt;2002),VLOOKUP(K304,Minimas!$A$15:$F$29,5),IF(AND(H304&gt;2001,H304&lt;2004),VLOOKUP(K304,Minimas!$A$15:$F$29,4),IF(AND(H304&gt;2003,H304&lt;2006),VLOOKUP(K304,Minimas!$A$15:$F$29,3),VLOOKUP(K304,Minimas!$A$15:$F$29,2))))),IF(H304&lt;1999,VLOOKUP(K304,Minimas!$G$15:$L$29,6),IF(AND(H304&gt;1998,H304&lt;2002),VLOOKUP(K304,Minimas!$G$15:$L$29,5),IF(AND(H304&gt;2001,H304&lt;2004),VLOOKUP(K304,Minimas!$G$15:$L$29,4),IF(AND(H304&gt;2003,H304&lt;2006),VLOOKUP(K304,Minimas!$G$15:$L$29,3),VLOOKUP(K304,Minimas!$G$15:$L$29,2)))))))</f>
        <v>SE M109</v>
      </c>
      <c r="W304" s="49">
        <f t="shared" si="94"/>
        <v>170.23868376182668</v>
      </c>
      <c r="X304" s="184">
        <v>43435</v>
      </c>
      <c r="Y304" s="284" t="s">
        <v>525</v>
      </c>
      <c r="Z304" s="284" t="s">
        <v>511</v>
      </c>
      <c r="AA304" s="232"/>
      <c r="AB304" s="230">
        <f>T304-HLOOKUP(V304,Minimas!$C$3:$CD$12,2,FALSE)</f>
        <v>-10</v>
      </c>
      <c r="AC304" s="230">
        <f>T304-HLOOKUP(V304,Minimas!$C$3:$CD$12,3,FALSE)</f>
        <v>-35</v>
      </c>
      <c r="AD304" s="230">
        <f>T304-HLOOKUP(V304,Minimas!$C$3:$CD$12,4,FALSE)</f>
        <v>-60</v>
      </c>
      <c r="AE304" s="230">
        <f>T304-HLOOKUP(V304,Minimas!$C$3:$CD$12,5,FALSE)</f>
        <v>-90</v>
      </c>
      <c r="AF304" s="230">
        <f>T304-HLOOKUP(V304,Minimas!$C$3:$CD$12,6,FALSE)</f>
        <v>-120</v>
      </c>
      <c r="AG304" s="230">
        <f>T304-HLOOKUP(V304,Minimas!$C$3:$CD$12,7,FALSE)</f>
        <v>-155</v>
      </c>
      <c r="AH304" s="230">
        <f>T304-HLOOKUP(V304,Minimas!$C$3:$CD$12,8,FALSE)</f>
        <v>-180</v>
      </c>
      <c r="AI304" s="230">
        <f>T304-HLOOKUP(V304,Minimas!$C$3:$CD$12,9,FALSE)</f>
        <v>-205</v>
      </c>
      <c r="AJ304" s="230">
        <f>T304-HLOOKUP(V304,Minimas!$C$3:$CD$12,10,FALSE)</f>
        <v>-225</v>
      </c>
      <c r="AK304" s="231" t="str">
        <f t="shared" si="95"/>
        <v>DEB</v>
      </c>
      <c r="AL304" s="232"/>
      <c r="AM304" s="232" t="str">
        <f t="shared" si="96"/>
        <v>DEB</v>
      </c>
      <c r="AN304" s="232">
        <f t="shared" si="97"/>
        <v>-10</v>
      </c>
      <c r="AO304" s="232"/>
      <c r="AP304" s="485"/>
      <c r="AQ304" s="485"/>
      <c r="AR304" s="485"/>
      <c r="AS304" s="485"/>
      <c r="AT304" s="485"/>
      <c r="AU304" s="485"/>
      <c r="AV304" s="485"/>
      <c r="AW304" s="485"/>
      <c r="AX304" s="485"/>
      <c r="AY304" s="485"/>
      <c r="AZ304" s="485"/>
      <c r="BA304" s="485"/>
      <c r="BB304" s="485"/>
      <c r="BC304" s="485"/>
      <c r="BD304" s="485"/>
      <c r="BE304" s="485"/>
      <c r="BF304" s="485"/>
      <c r="BG304" s="485"/>
      <c r="BH304" s="485"/>
      <c r="BI304" s="485"/>
      <c r="BJ304" s="485"/>
      <c r="BK304" s="485"/>
      <c r="BL304" s="485"/>
      <c r="BM304" s="485"/>
      <c r="BN304" s="485"/>
      <c r="BO304" s="485"/>
      <c r="BP304" s="485"/>
      <c r="BQ304" s="485"/>
      <c r="BR304" s="485"/>
      <c r="BS304" s="485"/>
      <c r="BT304" s="485"/>
      <c r="BU304" s="485"/>
      <c r="BV304" s="485"/>
      <c r="BW304" s="485"/>
      <c r="BX304" s="485"/>
      <c r="BY304" s="485"/>
      <c r="BZ304" s="485"/>
      <c r="CA304" s="485"/>
      <c r="CB304" s="485"/>
      <c r="CC304" s="485"/>
      <c r="CD304" s="485"/>
      <c r="CE304" s="485"/>
      <c r="CF304" s="485"/>
      <c r="CG304" s="485"/>
      <c r="CH304" s="485"/>
      <c r="CI304" s="485"/>
      <c r="CJ304" s="485"/>
      <c r="CK304" s="485"/>
      <c r="CL304" s="485"/>
      <c r="CM304" s="485"/>
      <c r="CN304" s="485"/>
      <c r="CO304" s="485"/>
      <c r="CP304" s="485"/>
      <c r="CQ304" s="485"/>
      <c r="CR304" s="485"/>
      <c r="CS304" s="485"/>
      <c r="CT304" s="485"/>
      <c r="CU304" s="485"/>
      <c r="CV304" s="485"/>
      <c r="CW304" s="485"/>
      <c r="CX304" s="485"/>
      <c r="CY304" s="485"/>
      <c r="CZ304" s="485"/>
      <c r="DA304" s="485"/>
      <c r="DB304" s="485"/>
      <c r="DC304" s="485"/>
      <c r="DD304" s="485"/>
      <c r="DE304" s="485"/>
      <c r="DF304" s="485"/>
      <c r="DG304" s="485"/>
      <c r="DH304" s="485"/>
      <c r="DI304" s="485"/>
      <c r="DJ304" s="485"/>
      <c r="DK304" s="485"/>
      <c r="DL304" s="485"/>
      <c r="DM304" s="485"/>
      <c r="DN304" s="485"/>
      <c r="DO304" s="485"/>
      <c r="DP304" s="485"/>
      <c r="DQ304" s="485"/>
      <c r="DR304" s="485"/>
      <c r="DS304" s="485"/>
      <c r="DT304" s="485"/>
    </row>
    <row r="305" spans="2:124" s="5" customFormat="1" ht="30" customHeight="1" thickBot="1" x14ac:dyDescent="0.4">
      <c r="B305" s="515" t="s">
        <v>543</v>
      </c>
      <c r="C305" s="819">
        <v>239336</v>
      </c>
      <c r="D305" s="823"/>
      <c r="E305" s="534" t="s">
        <v>40</v>
      </c>
      <c r="F305" s="827" t="s">
        <v>234</v>
      </c>
      <c r="G305" s="831" t="s">
        <v>235</v>
      </c>
      <c r="H305" s="832">
        <v>1997</v>
      </c>
      <c r="I305" s="837" t="s">
        <v>214</v>
      </c>
      <c r="J305" s="841" t="s">
        <v>44</v>
      </c>
      <c r="K305" s="845">
        <v>142.25</v>
      </c>
      <c r="L305" s="851">
        <v>157</v>
      </c>
      <c r="M305" s="854">
        <v>162</v>
      </c>
      <c r="N305" s="855">
        <v>-166</v>
      </c>
      <c r="O305" s="490">
        <f t="shared" si="98"/>
        <v>162</v>
      </c>
      <c r="P305" s="851">
        <v>205</v>
      </c>
      <c r="Q305" s="854">
        <v>216</v>
      </c>
      <c r="R305" s="855">
        <v>-225</v>
      </c>
      <c r="S305" s="490">
        <f t="shared" si="99"/>
        <v>216</v>
      </c>
      <c r="T305" s="489">
        <f t="shared" si="93"/>
        <v>378</v>
      </c>
      <c r="U305" s="48" t="str">
        <f t="shared" si="100"/>
        <v>INTA + 13</v>
      </c>
      <c r="V305" s="48" t="str">
        <f>IF(E305=0," ",IF(E305="H",IF(H305&lt;1999,VLOOKUP(K305,Minimas!$A$15:$F$29,6),IF(AND(H305&gt;1998,H305&lt;2002),VLOOKUP(K305,Minimas!$A$15:$F$29,5),IF(AND(H305&gt;2001,H305&lt;2004),VLOOKUP(K305,Minimas!$A$15:$F$29,4),IF(AND(H305&gt;2003,H305&lt;2006),VLOOKUP(K305,Minimas!$A$15:$F$29,3),VLOOKUP(K305,Minimas!$A$15:$F$29,2))))),IF(H305&lt;1999,VLOOKUP(K305,Minimas!$G$15:$L$29,6),IF(AND(H305&gt;1998,H305&lt;2002),VLOOKUP(K305,Minimas!$G$15:$L$29,5),IF(AND(H305&gt;2001,H305&lt;2004),VLOOKUP(K305,Minimas!$G$15:$L$29,4),IF(AND(H305&gt;2003,H305&lt;2006),VLOOKUP(K305,Minimas!$G$15:$L$29,3),VLOOKUP(K305,Minimas!$G$15:$L$29,2)))))))</f>
        <v>SE M&gt;109</v>
      </c>
      <c r="W305" s="49">
        <f t="shared" si="94"/>
        <v>383.48835604836751</v>
      </c>
      <c r="X305" s="184">
        <v>43372</v>
      </c>
      <c r="Y305" s="186" t="s">
        <v>515</v>
      </c>
      <c r="Z305" s="286" t="s">
        <v>516</v>
      </c>
      <c r="AA305" s="232"/>
      <c r="AB305" s="230">
        <f>T305-HLOOKUP(V305,Minimas!$C$3:$CD$12,2,FALSE)</f>
        <v>208</v>
      </c>
      <c r="AC305" s="230">
        <f>T305-HLOOKUP(V305,Minimas!$C$3:$CD$12,3,FALSE)</f>
        <v>183</v>
      </c>
      <c r="AD305" s="230">
        <f>T305-HLOOKUP(V305,Minimas!$C$3:$CD$12,4,FALSE)</f>
        <v>158</v>
      </c>
      <c r="AE305" s="230">
        <f>T305-HLOOKUP(V305,Minimas!$C$3:$CD$12,5,FALSE)</f>
        <v>128</v>
      </c>
      <c r="AF305" s="230">
        <f>T305-HLOOKUP(V305,Minimas!$C$3:$CD$12,6,FALSE)</f>
        <v>98</v>
      </c>
      <c r="AG305" s="230">
        <f>T305-HLOOKUP(V305,Minimas!$C$3:$CD$12,7,FALSE)</f>
        <v>63</v>
      </c>
      <c r="AH305" s="230">
        <f>T305-HLOOKUP(V305,Minimas!$C$3:$CD$12,8,FALSE)</f>
        <v>38</v>
      </c>
      <c r="AI305" s="230">
        <f>T305-HLOOKUP(V305,Minimas!$C$3:$CD$12,9,FALSE)</f>
        <v>13</v>
      </c>
      <c r="AJ305" s="230">
        <f>T305-HLOOKUP(V305,Minimas!$C$3:$CD$12,10,FALSE)</f>
        <v>-7</v>
      </c>
      <c r="AK305" s="231" t="str">
        <f t="shared" si="95"/>
        <v>INTA +</v>
      </c>
      <c r="AL305" s="232"/>
      <c r="AM305" s="232" t="str">
        <f t="shared" si="96"/>
        <v>INTA +</v>
      </c>
      <c r="AN305" s="232">
        <f t="shared" si="97"/>
        <v>13</v>
      </c>
      <c r="AO305" s="232"/>
      <c r="AP305" s="38"/>
      <c r="AQ305" s="38"/>
      <c r="AR305" s="38"/>
      <c r="AS305" s="38"/>
      <c r="AT305" s="38"/>
      <c r="AU305" s="38"/>
      <c r="AV305" s="38"/>
      <c r="AW305" s="38"/>
      <c r="AX305" s="38"/>
      <c r="AY305" s="38"/>
      <c r="AZ305" s="38"/>
      <c r="BA305" s="38"/>
      <c r="BB305" s="38"/>
      <c r="BC305" s="38"/>
      <c r="BD305" s="38"/>
      <c r="BE305" s="38"/>
      <c r="BF305" s="38"/>
      <c r="BG305" s="38"/>
      <c r="BH305" s="38"/>
      <c r="BI305" s="38"/>
      <c r="BJ305" s="38"/>
      <c r="BK305" s="38"/>
      <c r="BL305" s="38"/>
      <c r="BM305" s="38"/>
      <c r="BN305" s="38"/>
      <c r="BO305" s="38"/>
      <c r="BP305" s="38"/>
      <c r="BQ305" s="38"/>
      <c r="BR305" s="38"/>
      <c r="BS305" s="38"/>
      <c r="BT305" s="38"/>
      <c r="BU305" s="38"/>
      <c r="BV305" s="38"/>
      <c r="BW305" s="38"/>
      <c r="BX305" s="38"/>
      <c r="BY305" s="38"/>
      <c r="BZ305" s="38"/>
      <c r="CA305" s="38"/>
      <c r="CB305" s="38"/>
      <c r="CC305" s="38"/>
      <c r="CD305" s="38"/>
      <c r="CE305" s="38"/>
      <c r="CF305" s="38"/>
      <c r="CG305" s="38"/>
      <c r="CH305" s="38"/>
      <c r="CI305" s="38"/>
      <c r="CJ305" s="38"/>
      <c r="CK305" s="38"/>
      <c r="CL305" s="38"/>
      <c r="CM305" s="38"/>
      <c r="CN305" s="38"/>
      <c r="CO305" s="38"/>
      <c r="CP305" s="38"/>
      <c r="CQ305" s="38"/>
      <c r="CR305" s="38"/>
      <c r="CS305" s="38"/>
      <c r="CT305" s="38"/>
      <c r="CU305" s="38"/>
      <c r="CV305" s="38"/>
      <c r="CW305" s="38"/>
      <c r="CX305" s="38"/>
      <c r="CY305" s="38"/>
      <c r="CZ305" s="38"/>
      <c r="DA305" s="38"/>
      <c r="DB305" s="38"/>
      <c r="DC305" s="38"/>
      <c r="DD305" s="38"/>
      <c r="DE305" s="38"/>
      <c r="DF305" s="38"/>
      <c r="DG305" s="38"/>
      <c r="DH305" s="38"/>
      <c r="DI305" s="38"/>
      <c r="DJ305" s="38"/>
      <c r="DK305" s="38"/>
      <c r="DL305" s="38"/>
      <c r="DM305" s="38"/>
      <c r="DN305" s="38"/>
      <c r="DO305" s="38"/>
      <c r="DP305" s="38"/>
      <c r="DQ305" s="38"/>
      <c r="DR305" s="38"/>
      <c r="DS305" s="38"/>
      <c r="DT305" s="38"/>
    </row>
    <row r="306" spans="2:124" s="5" customFormat="1" ht="30" customHeight="1" thickBot="1" x14ac:dyDescent="0.35">
      <c r="B306" s="515" t="s">
        <v>543</v>
      </c>
      <c r="C306" s="529">
        <v>439591</v>
      </c>
      <c r="D306" s="822"/>
      <c r="E306" s="543" t="s">
        <v>40</v>
      </c>
      <c r="F306" s="733" t="s">
        <v>432</v>
      </c>
      <c r="G306" s="639" t="s">
        <v>433</v>
      </c>
      <c r="H306" s="745">
        <v>1978</v>
      </c>
      <c r="I306" s="836" t="s">
        <v>214</v>
      </c>
      <c r="J306" s="840" t="s">
        <v>44</v>
      </c>
      <c r="K306" s="844">
        <v>117.5</v>
      </c>
      <c r="L306" s="452">
        <v>75</v>
      </c>
      <c r="M306" s="453">
        <v>80</v>
      </c>
      <c r="N306" s="597">
        <v>-85</v>
      </c>
      <c r="O306" s="490">
        <f t="shared" si="98"/>
        <v>80</v>
      </c>
      <c r="P306" s="452">
        <v>100</v>
      </c>
      <c r="Q306" s="453">
        <v>105</v>
      </c>
      <c r="R306" s="453">
        <v>110</v>
      </c>
      <c r="S306" s="490">
        <f t="shared" si="99"/>
        <v>110</v>
      </c>
      <c r="T306" s="489">
        <f t="shared" si="93"/>
        <v>190</v>
      </c>
      <c r="U306" s="48" t="str">
        <f t="shared" si="100"/>
        <v>DEB 20</v>
      </c>
      <c r="V306" s="48" t="str">
        <f>IF(E306=0," ",IF(E306="H",IF(H306&lt;1999,VLOOKUP(K306,Minimas!$A$15:$F$29,6),IF(AND(H306&gt;1998,H306&lt;2002),VLOOKUP(K306,Minimas!$A$15:$F$29,5),IF(AND(H306&gt;2001,H306&lt;2004),VLOOKUP(K306,Minimas!$A$15:$F$29,4),IF(AND(H306&gt;2003,H306&lt;2006),VLOOKUP(K306,Minimas!$A$15:$F$29,3),VLOOKUP(K306,Minimas!$A$15:$F$29,2))))),IF(H306&lt;1999,VLOOKUP(K306,Minimas!$G$15:$L$29,6),IF(AND(H306&gt;1998,H306&lt;2002),VLOOKUP(K306,Minimas!$G$15:$L$29,5),IF(AND(H306&gt;2001,H306&lt;2004),VLOOKUP(K306,Minimas!$G$15:$L$29,4),IF(AND(H306&gt;2003,H306&lt;2006),VLOOKUP(K306,Minimas!$G$15:$L$29,3),VLOOKUP(K306,Minimas!$G$15:$L$29,2)))))))</f>
        <v>SE M&gt;109</v>
      </c>
      <c r="W306" s="49">
        <f t="shared" si="94"/>
        <v>200.25682518557184</v>
      </c>
      <c r="X306" s="184">
        <v>43401</v>
      </c>
      <c r="Y306" s="284" t="s">
        <v>507</v>
      </c>
      <c r="Z306" s="284" t="s">
        <v>506</v>
      </c>
      <c r="AA306" s="232"/>
      <c r="AB306" s="230">
        <f>T306-HLOOKUP(V306,Minimas!$C$3:$CD$12,2,FALSE)</f>
        <v>20</v>
      </c>
      <c r="AC306" s="230">
        <f>T306-HLOOKUP(V306,Minimas!$C$3:$CD$12,3,FALSE)</f>
        <v>-5</v>
      </c>
      <c r="AD306" s="230">
        <f>T306-HLOOKUP(V306,Minimas!$C$3:$CD$12,4,FALSE)</f>
        <v>-30</v>
      </c>
      <c r="AE306" s="230">
        <f>T306-HLOOKUP(V306,Minimas!$C$3:$CD$12,5,FALSE)</f>
        <v>-60</v>
      </c>
      <c r="AF306" s="230">
        <f>T306-HLOOKUP(V306,Minimas!$C$3:$CD$12,6,FALSE)</f>
        <v>-90</v>
      </c>
      <c r="AG306" s="230">
        <f>T306-HLOOKUP(V306,Minimas!$C$3:$CD$12,7,FALSE)</f>
        <v>-125</v>
      </c>
      <c r="AH306" s="230">
        <f>T306-HLOOKUP(V306,Minimas!$C$3:$CD$12,8,FALSE)</f>
        <v>-150</v>
      </c>
      <c r="AI306" s="230">
        <f>T306-HLOOKUP(V306,Minimas!$C$3:$CD$12,9,FALSE)</f>
        <v>-175</v>
      </c>
      <c r="AJ306" s="230">
        <f>T306-HLOOKUP(V306,Minimas!$C$3:$CD$12,10,FALSE)</f>
        <v>-195</v>
      </c>
      <c r="AK306" s="231" t="str">
        <f t="shared" si="95"/>
        <v>DEB</v>
      </c>
      <c r="AL306" s="232"/>
      <c r="AM306" s="232" t="str">
        <f t="shared" si="96"/>
        <v>DEB</v>
      </c>
      <c r="AN306" s="232">
        <f t="shared" si="97"/>
        <v>20</v>
      </c>
      <c r="AO306" s="232"/>
      <c r="AP306" s="38"/>
      <c r="AQ306" s="38"/>
      <c r="AR306" s="38"/>
      <c r="AS306" s="38"/>
      <c r="AT306" s="38"/>
      <c r="AU306" s="38"/>
      <c r="AV306" s="38"/>
      <c r="AW306" s="38"/>
      <c r="AX306" s="38"/>
      <c r="AY306" s="38"/>
      <c r="AZ306" s="38"/>
      <c r="BA306" s="38"/>
      <c r="BB306" s="38"/>
      <c r="BC306" s="38"/>
      <c r="BD306" s="38"/>
      <c r="BE306" s="38"/>
      <c r="BF306" s="38"/>
      <c r="BG306" s="38"/>
      <c r="BH306" s="38"/>
      <c r="BI306" s="38"/>
      <c r="BJ306" s="38"/>
      <c r="BK306" s="38"/>
      <c r="BL306" s="38"/>
      <c r="BM306" s="38"/>
      <c r="BN306" s="38"/>
      <c r="BO306" s="38"/>
      <c r="BP306" s="38"/>
      <c r="BQ306" s="38"/>
      <c r="BR306" s="38"/>
      <c r="BS306" s="38"/>
      <c r="BT306" s="38"/>
      <c r="BU306" s="38"/>
      <c r="BV306" s="38"/>
      <c r="BW306" s="38"/>
      <c r="BX306" s="38"/>
      <c r="BY306" s="38"/>
      <c r="BZ306" s="38"/>
      <c r="CA306" s="38"/>
      <c r="CB306" s="38"/>
      <c r="CC306" s="38"/>
      <c r="CD306" s="38"/>
      <c r="CE306" s="38"/>
      <c r="CF306" s="38"/>
      <c r="CG306" s="38"/>
      <c r="CH306" s="38"/>
      <c r="CI306" s="38"/>
      <c r="CJ306" s="38"/>
      <c r="CK306" s="38"/>
      <c r="CL306" s="38"/>
      <c r="CM306" s="38"/>
      <c r="CN306" s="38"/>
      <c r="CO306" s="38"/>
      <c r="CP306" s="38"/>
      <c r="CQ306" s="38"/>
      <c r="CR306" s="38"/>
      <c r="CS306" s="38"/>
      <c r="CT306" s="38"/>
      <c r="CU306" s="38"/>
      <c r="CV306" s="38"/>
      <c r="CW306" s="38"/>
      <c r="CX306" s="38"/>
      <c r="CY306" s="38"/>
      <c r="CZ306" s="38"/>
      <c r="DA306" s="38"/>
      <c r="DB306" s="38"/>
      <c r="DC306" s="38"/>
      <c r="DD306" s="38"/>
      <c r="DE306" s="38"/>
      <c r="DF306" s="38"/>
      <c r="DG306" s="38"/>
      <c r="DH306" s="38"/>
      <c r="DI306" s="38"/>
      <c r="DJ306" s="38"/>
      <c r="DK306" s="38"/>
      <c r="DL306" s="38"/>
      <c r="DM306" s="38"/>
      <c r="DN306" s="38"/>
      <c r="DO306" s="38"/>
      <c r="DP306" s="38"/>
      <c r="DQ306" s="38"/>
      <c r="DR306" s="38"/>
      <c r="DS306" s="38"/>
      <c r="DT306" s="38"/>
    </row>
    <row r="307" spans="2:124" s="5" customFormat="1" ht="30" customHeight="1" x14ac:dyDescent="0.25">
      <c r="B307" s="355" t="s">
        <v>543</v>
      </c>
      <c r="C307" s="429"/>
      <c r="D307" s="430"/>
      <c r="E307" s="323"/>
      <c r="F307" s="439"/>
      <c r="G307" s="440"/>
      <c r="H307" s="305"/>
      <c r="I307" s="321"/>
      <c r="J307" s="431"/>
      <c r="K307" s="293"/>
      <c r="L307" s="300"/>
      <c r="M307" s="301"/>
      <c r="N307" s="301"/>
      <c r="O307" s="358"/>
      <c r="P307" s="300"/>
      <c r="Q307" s="301"/>
      <c r="R307" s="301"/>
      <c r="S307" s="358"/>
      <c r="T307" s="359"/>
      <c r="U307" s="360" t="str">
        <f t="shared" ref="U307:U309" si="101">+CONCATENATE(AM307," ",AN307)</f>
        <v xml:space="preserve">   </v>
      </c>
      <c r="V307" s="360" t="str">
        <f>IF(E307=0," ",IF(E307="H",IF(H307&lt;1999,VLOOKUP(K307,[3]Minimas!$A$15:$F$29,6),IF(AND(H307&gt;1998,H307&lt;2002),VLOOKUP(K307,[3]Minimas!$A$15:$F$29,5),IF(AND(H307&gt;2001,H307&lt;2004),VLOOKUP(K307,[3]Minimas!$A$15:$F$29,4),IF(AND(H307&gt;2003,H307&lt;2006),VLOOKUP(K307,[3]Minimas!$A$15:$F$29,3),VLOOKUP(K307,[3]Minimas!$A$15:$F$29,2))))),IF(H307&lt;1999,VLOOKUP(K307,[3]Minimas!$G$15:$L$29,6),IF(AND(H307&gt;1998,H307&lt;2002),VLOOKUP(K307,[3]Minimas!$G$15:$L$29,5),IF(AND(H307&gt;2001,H307&lt;2004),VLOOKUP(K307,[3]Minimas!$G$15:$L$29,4),IF(AND(H307&gt;2003,H307&lt;2006),VLOOKUP(K307,[3]Minimas!$G$15:$L$29,3),VLOOKUP(K307,[3]Minimas!$G$15:$L$29,2)))))))</f>
        <v xml:space="preserve"> </v>
      </c>
      <c r="W307" s="361" t="str">
        <f t="shared" ref="W307:W309" si="102">IF(E307=" "," ",IF(E307="H",10^(0.75194503*LOG(K307/175.508)^2)*T307,IF(E307="F",10^(0.783497476* LOG(K307/153.655)^2)*T307,"")))</f>
        <v/>
      </c>
      <c r="X307" s="257"/>
      <c r="Y307" s="261"/>
      <c r="Z307" s="261"/>
      <c r="AA307" s="232"/>
      <c r="AB307" s="230" t="e">
        <f>T307-HLOOKUP(V307,[3]Minimas!$C$3:$CD$12,2,FALSE)</f>
        <v>#N/A</v>
      </c>
      <c r="AC307" s="230" t="e">
        <f>T307-HLOOKUP(V307,[3]Minimas!$C$3:$CD$12,3,FALSE)</f>
        <v>#N/A</v>
      </c>
      <c r="AD307" s="230" t="e">
        <f>T307-HLOOKUP(V307,[3]Minimas!$C$3:$CD$12,4,FALSE)</f>
        <v>#N/A</v>
      </c>
      <c r="AE307" s="230" t="e">
        <f>T307-HLOOKUP(V307,[3]Minimas!$C$3:$CD$12,5,FALSE)</f>
        <v>#N/A</v>
      </c>
      <c r="AF307" s="230" t="e">
        <f>T307-HLOOKUP(V307,[3]Minimas!$C$3:$CD$12,6,FALSE)</f>
        <v>#N/A</v>
      </c>
      <c r="AG307" s="230" t="e">
        <f>T307-HLOOKUP(V307,[3]Minimas!$C$3:$CD$12,7,FALSE)</f>
        <v>#N/A</v>
      </c>
      <c r="AH307" s="230" t="e">
        <f>T307-HLOOKUP(V307,[3]Minimas!$C$3:$CD$12,8,FALSE)</f>
        <v>#N/A</v>
      </c>
      <c r="AI307" s="230" t="e">
        <f>T307-HLOOKUP(V307,[3]Minimas!$C$3:$CD$12,9,FALSE)</f>
        <v>#N/A</v>
      </c>
      <c r="AJ307" s="230" t="e">
        <f>T307-HLOOKUP(V307,[3]Minimas!$C$3:$CD$12,10,FALSE)</f>
        <v>#N/A</v>
      </c>
      <c r="AK307" s="231" t="str">
        <f t="shared" ref="AK307:AK309" si="103">IF(E307=0," ",IF(AJ307&gt;=0,$AJ$5,IF(AI307&gt;=0,$AI$5,IF(AH307&gt;=0,$AH$5,IF(AG307&gt;=0,$AG$5,IF(AF307&gt;=0,$AF$5,IF(AE307&gt;=0,$AE$5,IF(AD307&gt;=0,$AD$5,IF(AC307&gt;=0,$AC$5,$AB$5)))))))))</f>
        <v xml:space="preserve"> </v>
      </c>
      <c r="AL307" s="232"/>
      <c r="AM307" s="232" t="str">
        <f t="shared" ref="AM307:AM309" si="104">IF(AK307="","",AK307)</f>
        <v xml:space="preserve"> </v>
      </c>
      <c r="AN307" s="232" t="str">
        <f t="shared" ref="AN307:AN309" si="105">IF(E307=0," ",IF(AJ307&gt;=0,AJ307,IF(AI307&gt;=0,AI307,IF(AH307&gt;=0,AH307,IF(AG307&gt;=0,AG307,IF(AF307&gt;=0,AF307,IF(AE307&gt;=0,AE307,IF(AD307&gt;=0,AD307,IF(AC307&gt;=0,AC307,AB307)))))))))</f>
        <v xml:space="preserve"> </v>
      </c>
      <c r="AO307" s="232"/>
      <c r="AP307" s="38"/>
      <c r="AQ307" s="38"/>
      <c r="AR307" s="38"/>
      <c r="AS307" s="38"/>
      <c r="AT307" s="38"/>
      <c r="AU307" s="38"/>
      <c r="AV307" s="38"/>
      <c r="AW307" s="38"/>
      <c r="AX307" s="38"/>
      <c r="AY307" s="38"/>
      <c r="AZ307" s="38"/>
      <c r="BA307" s="38"/>
      <c r="BB307" s="38"/>
      <c r="BC307" s="38"/>
      <c r="BD307" s="38"/>
      <c r="BE307" s="38"/>
      <c r="BF307" s="38"/>
      <c r="BG307" s="38"/>
      <c r="BH307" s="38"/>
      <c r="BI307" s="38"/>
      <c r="BJ307" s="38"/>
      <c r="BK307" s="38"/>
      <c r="BL307" s="38"/>
      <c r="BM307" s="38"/>
      <c r="BN307" s="38"/>
      <c r="BO307" s="38"/>
      <c r="BP307" s="38"/>
      <c r="BQ307" s="38"/>
      <c r="BR307" s="38"/>
      <c r="BS307" s="38"/>
      <c r="BT307" s="38"/>
      <c r="BU307" s="38"/>
      <c r="BV307" s="38"/>
      <c r="BW307" s="38"/>
      <c r="BX307" s="38"/>
      <c r="BY307" s="38"/>
      <c r="BZ307" s="38"/>
      <c r="CA307" s="38"/>
      <c r="CB307" s="38"/>
      <c r="CC307" s="38"/>
      <c r="CD307" s="38"/>
      <c r="CE307" s="38"/>
      <c r="CF307" s="38"/>
      <c r="CG307" s="38"/>
      <c r="CH307" s="38"/>
      <c r="CI307" s="38"/>
      <c r="CJ307" s="38"/>
      <c r="CK307" s="38"/>
      <c r="CL307" s="38"/>
      <c r="CM307" s="38"/>
      <c r="CN307" s="38"/>
      <c r="CO307" s="38"/>
      <c r="CP307" s="38"/>
      <c r="CQ307" s="38"/>
      <c r="CR307" s="38"/>
      <c r="CS307" s="38"/>
      <c r="CT307" s="38"/>
      <c r="CU307" s="38"/>
      <c r="CV307" s="38"/>
      <c r="CW307" s="38"/>
      <c r="CX307" s="38"/>
      <c r="CY307" s="38"/>
      <c r="CZ307" s="38"/>
      <c r="DA307" s="38"/>
      <c r="DB307" s="38"/>
      <c r="DC307" s="38"/>
      <c r="DD307" s="38"/>
      <c r="DE307" s="38"/>
      <c r="DF307" s="38"/>
      <c r="DG307" s="38"/>
      <c r="DH307" s="38"/>
      <c r="DI307" s="38"/>
      <c r="DJ307" s="38"/>
      <c r="DK307" s="38"/>
      <c r="DL307" s="38"/>
      <c r="DM307" s="38"/>
      <c r="DN307" s="38"/>
      <c r="DO307" s="38"/>
      <c r="DP307" s="38"/>
      <c r="DQ307" s="38"/>
      <c r="DR307" s="38"/>
      <c r="DS307" s="38"/>
      <c r="DT307" s="38"/>
    </row>
    <row r="308" spans="2:124" s="5" customFormat="1" ht="30" customHeight="1" x14ac:dyDescent="0.25">
      <c r="B308" s="355" t="s">
        <v>543</v>
      </c>
      <c r="C308" s="429"/>
      <c r="D308" s="430"/>
      <c r="E308" s="323"/>
      <c r="F308" s="439"/>
      <c r="G308" s="440"/>
      <c r="H308" s="305"/>
      <c r="I308" s="321"/>
      <c r="J308" s="431"/>
      <c r="K308" s="293"/>
      <c r="L308" s="300"/>
      <c r="M308" s="301"/>
      <c r="N308" s="301"/>
      <c r="O308" s="358"/>
      <c r="P308" s="300"/>
      <c r="Q308" s="301"/>
      <c r="R308" s="301"/>
      <c r="S308" s="358"/>
      <c r="T308" s="359"/>
      <c r="U308" s="360" t="str">
        <f t="shared" si="101"/>
        <v xml:space="preserve">   </v>
      </c>
      <c r="V308" s="360" t="str">
        <f>IF(E308=0," ",IF(E308="H",IF(H308&lt;1999,VLOOKUP(K308,[3]Minimas!$A$15:$F$29,6),IF(AND(H308&gt;1998,H308&lt;2002),VLOOKUP(K308,[3]Minimas!$A$15:$F$29,5),IF(AND(H308&gt;2001,H308&lt;2004),VLOOKUP(K308,[3]Minimas!$A$15:$F$29,4),IF(AND(H308&gt;2003,H308&lt;2006),VLOOKUP(K308,[3]Minimas!$A$15:$F$29,3),VLOOKUP(K308,[3]Minimas!$A$15:$F$29,2))))),IF(H308&lt;1999,VLOOKUP(K308,[3]Minimas!$G$15:$L$29,6),IF(AND(H308&gt;1998,H308&lt;2002),VLOOKUP(K308,[3]Minimas!$G$15:$L$29,5),IF(AND(H308&gt;2001,H308&lt;2004),VLOOKUP(K308,[3]Minimas!$G$15:$L$29,4),IF(AND(H308&gt;2003,H308&lt;2006),VLOOKUP(K308,[3]Minimas!$G$15:$L$29,3),VLOOKUP(K308,[3]Minimas!$G$15:$L$29,2)))))))</f>
        <v xml:space="preserve"> </v>
      </c>
      <c r="W308" s="361" t="str">
        <f t="shared" si="102"/>
        <v/>
      </c>
      <c r="X308" s="257"/>
      <c r="Y308" s="261"/>
      <c r="Z308" s="261"/>
      <c r="AA308" s="232"/>
      <c r="AB308" s="230" t="e">
        <f>T308-HLOOKUP(V308,[3]Minimas!$C$3:$CD$12,2,FALSE)</f>
        <v>#N/A</v>
      </c>
      <c r="AC308" s="230" t="e">
        <f>T308-HLOOKUP(V308,[3]Minimas!$C$3:$CD$12,3,FALSE)</f>
        <v>#N/A</v>
      </c>
      <c r="AD308" s="230" t="e">
        <f>T308-HLOOKUP(V308,[3]Minimas!$C$3:$CD$12,4,FALSE)</f>
        <v>#N/A</v>
      </c>
      <c r="AE308" s="230" t="e">
        <f>T308-HLOOKUP(V308,[3]Minimas!$C$3:$CD$12,5,FALSE)</f>
        <v>#N/A</v>
      </c>
      <c r="AF308" s="230" t="e">
        <f>T308-HLOOKUP(V308,[3]Minimas!$C$3:$CD$12,6,FALSE)</f>
        <v>#N/A</v>
      </c>
      <c r="AG308" s="230" t="e">
        <f>T308-HLOOKUP(V308,[3]Minimas!$C$3:$CD$12,7,FALSE)</f>
        <v>#N/A</v>
      </c>
      <c r="AH308" s="230" t="e">
        <f>T308-HLOOKUP(V308,[3]Minimas!$C$3:$CD$12,8,FALSE)</f>
        <v>#N/A</v>
      </c>
      <c r="AI308" s="230" t="e">
        <f>T308-HLOOKUP(V308,[3]Minimas!$C$3:$CD$12,9,FALSE)</f>
        <v>#N/A</v>
      </c>
      <c r="AJ308" s="230" t="e">
        <f>T308-HLOOKUP(V308,[3]Minimas!$C$3:$CD$12,10,FALSE)</f>
        <v>#N/A</v>
      </c>
      <c r="AK308" s="231" t="str">
        <f t="shared" si="103"/>
        <v xml:space="preserve"> </v>
      </c>
      <c r="AL308" s="232"/>
      <c r="AM308" s="232" t="str">
        <f t="shared" si="104"/>
        <v xml:space="preserve"> </v>
      </c>
      <c r="AN308" s="232" t="str">
        <f t="shared" si="105"/>
        <v xml:space="preserve"> </v>
      </c>
      <c r="AO308" s="232"/>
      <c r="AP308" s="38"/>
      <c r="AQ308" s="38"/>
      <c r="AR308" s="38"/>
      <c r="AS308" s="38"/>
      <c r="AT308" s="38"/>
      <c r="AU308" s="38"/>
      <c r="AV308" s="38"/>
      <c r="AW308" s="38"/>
      <c r="AX308" s="38"/>
      <c r="AY308" s="38"/>
      <c r="AZ308" s="38"/>
      <c r="BA308" s="38"/>
      <c r="BB308" s="38"/>
      <c r="BC308" s="38"/>
      <c r="BD308" s="38"/>
      <c r="BE308" s="38"/>
      <c r="BF308" s="38"/>
      <c r="BG308" s="38"/>
      <c r="BH308" s="38"/>
      <c r="BI308" s="38"/>
      <c r="BJ308" s="38"/>
      <c r="BK308" s="38"/>
      <c r="BL308" s="38"/>
      <c r="BM308" s="38"/>
      <c r="BN308" s="38"/>
      <c r="BO308" s="38"/>
      <c r="BP308" s="38"/>
      <c r="BQ308" s="38"/>
      <c r="BR308" s="38"/>
      <c r="BS308" s="38"/>
      <c r="BT308" s="38"/>
      <c r="BU308" s="38"/>
      <c r="BV308" s="38"/>
      <c r="BW308" s="38"/>
      <c r="BX308" s="38"/>
      <c r="BY308" s="38"/>
      <c r="BZ308" s="38"/>
      <c r="CA308" s="38"/>
      <c r="CB308" s="38"/>
      <c r="CC308" s="38"/>
      <c r="CD308" s="38"/>
      <c r="CE308" s="38"/>
      <c r="CF308" s="38"/>
      <c r="CG308" s="38"/>
      <c r="CH308" s="38"/>
      <c r="CI308" s="38"/>
      <c r="CJ308" s="38"/>
      <c r="CK308" s="38"/>
      <c r="CL308" s="38"/>
      <c r="CM308" s="38"/>
      <c r="CN308" s="38"/>
      <c r="CO308" s="38"/>
      <c r="CP308" s="38"/>
      <c r="CQ308" s="38"/>
      <c r="CR308" s="38"/>
      <c r="CS308" s="38"/>
      <c r="CT308" s="38"/>
      <c r="CU308" s="38"/>
      <c r="CV308" s="38"/>
      <c r="CW308" s="38"/>
      <c r="CX308" s="38"/>
      <c r="CY308" s="38"/>
      <c r="CZ308" s="38"/>
      <c r="DA308" s="38"/>
      <c r="DB308" s="38"/>
      <c r="DC308" s="38"/>
      <c r="DD308" s="38"/>
      <c r="DE308" s="38"/>
      <c r="DF308" s="38"/>
      <c r="DG308" s="38"/>
      <c r="DH308" s="38"/>
      <c r="DI308" s="38"/>
      <c r="DJ308" s="38"/>
      <c r="DK308" s="38"/>
      <c r="DL308" s="38"/>
      <c r="DM308" s="38"/>
      <c r="DN308" s="38"/>
      <c r="DO308" s="38"/>
      <c r="DP308" s="38"/>
      <c r="DQ308" s="38"/>
      <c r="DR308" s="38"/>
      <c r="DS308" s="38"/>
      <c r="DT308" s="38"/>
    </row>
    <row r="309" spans="2:124" s="5" customFormat="1" ht="30" customHeight="1" x14ac:dyDescent="0.25">
      <c r="B309" s="355" t="s">
        <v>543</v>
      </c>
      <c r="C309" s="429"/>
      <c r="D309" s="430"/>
      <c r="E309" s="323"/>
      <c r="F309" s="439"/>
      <c r="G309" s="440"/>
      <c r="H309" s="305"/>
      <c r="I309" s="321"/>
      <c r="J309" s="431"/>
      <c r="K309" s="293"/>
      <c r="L309" s="300"/>
      <c r="M309" s="301"/>
      <c r="N309" s="301"/>
      <c r="O309" s="358"/>
      <c r="P309" s="300"/>
      <c r="Q309" s="335"/>
      <c r="R309" s="335"/>
      <c r="S309" s="358"/>
      <c r="T309" s="359"/>
      <c r="U309" s="360" t="str">
        <f t="shared" si="101"/>
        <v xml:space="preserve">   </v>
      </c>
      <c r="V309" s="360" t="str">
        <f>IF(E309=0," ",IF(E309="H",IF(H309&lt;1999,VLOOKUP(K309,[3]Minimas!$A$15:$F$29,6),IF(AND(H309&gt;1998,H309&lt;2002),VLOOKUP(K309,[3]Minimas!$A$15:$F$29,5),IF(AND(H309&gt;2001,H309&lt;2004),VLOOKUP(K309,[3]Minimas!$A$15:$F$29,4),IF(AND(H309&gt;2003,H309&lt;2006),VLOOKUP(K309,[3]Minimas!$A$15:$F$29,3),VLOOKUP(K309,[3]Minimas!$A$15:$F$29,2))))),IF(H309&lt;1999,VLOOKUP(K309,[3]Minimas!$G$15:$L$29,6),IF(AND(H309&gt;1998,H309&lt;2002),VLOOKUP(K309,[3]Minimas!$G$15:$L$29,5),IF(AND(H309&gt;2001,H309&lt;2004),VLOOKUP(K309,[3]Minimas!$G$15:$L$29,4),IF(AND(H309&gt;2003,H309&lt;2006),VLOOKUP(K309,[3]Minimas!$G$15:$L$29,3),VLOOKUP(K309,[3]Minimas!$G$15:$L$29,2)))))))</f>
        <v xml:space="preserve"> </v>
      </c>
      <c r="W309" s="361" t="str">
        <f t="shared" si="102"/>
        <v/>
      </c>
      <c r="X309" s="257"/>
      <c r="Y309" s="261"/>
      <c r="Z309" s="261"/>
      <c r="AA309" s="232"/>
      <c r="AB309" s="230" t="e">
        <f>T309-HLOOKUP(V309,[3]Minimas!$C$3:$CD$12,2,FALSE)</f>
        <v>#N/A</v>
      </c>
      <c r="AC309" s="230" t="e">
        <f>T309-HLOOKUP(V309,[3]Minimas!$C$3:$CD$12,3,FALSE)</f>
        <v>#N/A</v>
      </c>
      <c r="AD309" s="230" t="e">
        <f>T309-HLOOKUP(V309,[3]Minimas!$C$3:$CD$12,4,FALSE)</f>
        <v>#N/A</v>
      </c>
      <c r="AE309" s="230" t="e">
        <f>T309-HLOOKUP(V309,[3]Minimas!$C$3:$CD$12,5,FALSE)</f>
        <v>#N/A</v>
      </c>
      <c r="AF309" s="230" t="e">
        <f>T309-HLOOKUP(V309,[3]Minimas!$C$3:$CD$12,6,FALSE)</f>
        <v>#N/A</v>
      </c>
      <c r="AG309" s="230" t="e">
        <f>T309-HLOOKUP(V309,[3]Minimas!$C$3:$CD$12,7,FALSE)</f>
        <v>#N/A</v>
      </c>
      <c r="AH309" s="230" t="e">
        <f>T309-HLOOKUP(V309,[3]Minimas!$C$3:$CD$12,8,FALSE)</f>
        <v>#N/A</v>
      </c>
      <c r="AI309" s="230" t="e">
        <f>T309-HLOOKUP(V309,[3]Minimas!$C$3:$CD$12,9,FALSE)</f>
        <v>#N/A</v>
      </c>
      <c r="AJ309" s="230" t="e">
        <f>T309-HLOOKUP(V309,[3]Minimas!$C$3:$CD$12,10,FALSE)</f>
        <v>#N/A</v>
      </c>
      <c r="AK309" s="231" t="str">
        <f t="shared" si="103"/>
        <v xml:space="preserve"> </v>
      </c>
      <c r="AL309" s="232"/>
      <c r="AM309" s="232" t="str">
        <f t="shared" si="104"/>
        <v xml:space="preserve"> </v>
      </c>
      <c r="AN309" s="232" t="str">
        <f t="shared" si="105"/>
        <v xml:space="preserve"> </v>
      </c>
      <c r="AO309" s="232"/>
      <c r="AP309" s="38"/>
      <c r="AQ309" s="38"/>
      <c r="AR309" s="38"/>
      <c r="AS309" s="38"/>
      <c r="AT309" s="38"/>
      <c r="AU309" s="38"/>
      <c r="AV309" s="38"/>
      <c r="AW309" s="38"/>
      <c r="AX309" s="38"/>
      <c r="AY309" s="38"/>
      <c r="AZ309" s="38"/>
      <c r="BA309" s="38"/>
      <c r="BB309" s="38"/>
      <c r="BC309" s="38"/>
      <c r="BD309" s="38"/>
      <c r="BE309" s="38"/>
      <c r="BF309" s="38"/>
      <c r="BG309" s="38"/>
      <c r="BH309" s="38"/>
      <c r="BI309" s="38"/>
      <c r="BJ309" s="38"/>
      <c r="BK309" s="38"/>
      <c r="BL309" s="38"/>
      <c r="BM309" s="38"/>
      <c r="BN309" s="38"/>
      <c r="BO309" s="38"/>
      <c r="BP309" s="38"/>
      <c r="BQ309" s="38"/>
      <c r="BR309" s="38"/>
      <c r="BS309" s="38"/>
      <c r="BT309" s="38"/>
      <c r="BU309" s="38"/>
      <c r="BV309" s="38"/>
      <c r="BW309" s="38"/>
      <c r="BX309" s="38"/>
      <c r="BY309" s="38"/>
      <c r="BZ309" s="38"/>
      <c r="CA309" s="38"/>
      <c r="CB309" s="38"/>
      <c r="CC309" s="38"/>
      <c r="CD309" s="38"/>
      <c r="CE309" s="38"/>
      <c r="CF309" s="38"/>
      <c r="CG309" s="38"/>
      <c r="CH309" s="38"/>
      <c r="CI309" s="38"/>
      <c r="CJ309" s="38"/>
      <c r="CK309" s="38"/>
      <c r="CL309" s="38"/>
      <c r="CM309" s="38"/>
      <c r="CN309" s="38"/>
      <c r="CO309" s="38"/>
      <c r="CP309" s="38"/>
      <c r="CQ309" s="38"/>
      <c r="CR309" s="38"/>
      <c r="CS309" s="38"/>
      <c r="CT309" s="38"/>
      <c r="CU309" s="38"/>
      <c r="CV309" s="38"/>
      <c r="CW309" s="38"/>
      <c r="CX309" s="38"/>
      <c r="CY309" s="38"/>
      <c r="CZ309" s="38"/>
      <c r="DA309" s="38"/>
      <c r="DB309" s="38"/>
      <c r="DC309" s="38"/>
      <c r="DD309" s="38"/>
      <c r="DE309" s="38"/>
      <c r="DF309" s="38"/>
      <c r="DG309" s="38"/>
      <c r="DH309" s="38"/>
      <c r="DI309" s="38"/>
      <c r="DJ309" s="38"/>
      <c r="DK309" s="38"/>
      <c r="DL309" s="38"/>
      <c r="DM309" s="38"/>
      <c r="DN309" s="38"/>
      <c r="DO309" s="38"/>
      <c r="DP309" s="38"/>
      <c r="DQ309" s="38"/>
      <c r="DR309" s="38"/>
      <c r="DS309" s="38"/>
      <c r="DT309" s="38"/>
    </row>
    <row r="310" spans="2:124" ht="14" x14ac:dyDescent="0.25">
      <c r="AB310" s="230" t="e">
        <f>T310-HLOOKUP(V310,Minimas!$C$3:$CD$12,2,FALSE)</f>
        <v>#N/A</v>
      </c>
      <c r="AC310" s="230" t="e">
        <f>T310-HLOOKUP(V310,Minimas!$C$3:$CD$12,3,FALSE)</f>
        <v>#N/A</v>
      </c>
      <c r="AD310" s="230" t="e">
        <f>T310-HLOOKUP(V310,Minimas!$C$3:$CD$12,4,FALSE)</f>
        <v>#N/A</v>
      </c>
      <c r="AE310" s="230" t="e">
        <f>T310-HLOOKUP(V310,Minimas!$C$3:$CD$12,5,FALSE)</f>
        <v>#N/A</v>
      </c>
      <c r="AF310" s="230" t="e">
        <f>T310-HLOOKUP(V310,Minimas!$C$3:$CD$12,6,FALSE)</f>
        <v>#N/A</v>
      </c>
      <c r="AG310" s="230" t="e">
        <f>T310-HLOOKUP(V310,Minimas!$C$3:$CD$12,7,FALSE)</f>
        <v>#N/A</v>
      </c>
      <c r="AH310" s="230" t="e">
        <f>T310-HLOOKUP(V310,Minimas!$C$3:$CD$12,8,FALSE)</f>
        <v>#N/A</v>
      </c>
      <c r="AI310" s="230" t="e">
        <f>T310-HLOOKUP(V310,Minimas!$C$3:$CD$12,9,FALSE)</f>
        <v>#N/A</v>
      </c>
      <c r="AJ310" s="230" t="e">
        <f>T310-HLOOKUP(V310,Minimas!$C$3:$CD$12,10,FALSE)</f>
        <v>#N/A</v>
      </c>
      <c r="AK310" s="231" t="str">
        <f t="shared" ref="AK310:AK314" si="106">IF(E310=0," ",IF(AJ310&gt;=0,$AJ$5,IF(AI310&gt;=0,$AI$5,IF(AH310&gt;=0,$AH$5,IF(AG310&gt;=0,$AG$5,IF(AF310&gt;=0,$AF$5,IF(AE310&gt;=0,$AE$5,IF(AD310&gt;=0,$AD$5,IF(AC310&gt;=0,$AC$5,$AB$5)))))))))</f>
        <v xml:space="preserve"> </v>
      </c>
      <c r="AL310" s="232"/>
      <c r="AM310" s="232" t="str">
        <f t="shared" ref="AM310:AM314" si="107">IF(AK310="","",AK310)</f>
        <v xml:space="preserve"> </v>
      </c>
      <c r="AN310" s="232" t="str">
        <f t="shared" ref="AN310:AN314" si="108">IF(E310=0," ",IF(AJ310&gt;=0,AJ310,IF(AI310&gt;=0,AI310,IF(AH310&gt;=0,AH310,IF(AG310&gt;=0,AG310,IF(AF310&gt;=0,AF310,IF(AE310&gt;=0,AE310,IF(AD310&gt;=0,AD310,IF(AC310&gt;=0,AC310,AB310)))))))))</f>
        <v xml:space="preserve"> </v>
      </c>
    </row>
    <row r="311" spans="2:124" ht="14" x14ac:dyDescent="0.25">
      <c r="AB311" s="230" t="e">
        <f>T311-HLOOKUP(V311,Minimas!$C$3:$CD$12,2,FALSE)</f>
        <v>#N/A</v>
      </c>
      <c r="AC311" s="230" t="e">
        <f>T311-HLOOKUP(V311,Minimas!$C$3:$CD$12,3,FALSE)</f>
        <v>#N/A</v>
      </c>
      <c r="AD311" s="230" t="e">
        <f>T311-HLOOKUP(V311,Minimas!$C$3:$CD$12,4,FALSE)</f>
        <v>#N/A</v>
      </c>
      <c r="AE311" s="230" t="e">
        <f>T311-HLOOKUP(V311,Minimas!$C$3:$CD$12,5,FALSE)</f>
        <v>#N/A</v>
      </c>
      <c r="AF311" s="230" t="e">
        <f>T311-HLOOKUP(V311,Minimas!$C$3:$CD$12,6,FALSE)</f>
        <v>#N/A</v>
      </c>
      <c r="AG311" s="230" t="e">
        <f>T311-HLOOKUP(V311,Minimas!$C$3:$CD$12,7,FALSE)</f>
        <v>#N/A</v>
      </c>
      <c r="AH311" s="230" t="e">
        <f>T311-HLOOKUP(V311,Minimas!$C$3:$CD$12,8,FALSE)</f>
        <v>#N/A</v>
      </c>
      <c r="AI311" s="230" t="e">
        <f>T311-HLOOKUP(V311,Minimas!$C$3:$CD$12,9,FALSE)</f>
        <v>#N/A</v>
      </c>
      <c r="AJ311" s="230" t="e">
        <f>T311-HLOOKUP(V311,Minimas!$C$3:$CD$12,10,FALSE)</f>
        <v>#N/A</v>
      </c>
      <c r="AK311" s="231" t="str">
        <f t="shared" si="106"/>
        <v xml:space="preserve"> </v>
      </c>
      <c r="AL311" s="232"/>
      <c r="AM311" s="232" t="str">
        <f t="shared" si="107"/>
        <v xml:space="preserve"> </v>
      </c>
      <c r="AN311" s="232" t="str">
        <f t="shared" si="108"/>
        <v xml:space="preserve"> </v>
      </c>
    </row>
    <row r="312" spans="2:124" ht="14" x14ac:dyDescent="0.25">
      <c r="AB312" s="230" t="e">
        <f>T312-HLOOKUP(V312,Minimas!$C$3:$CD$12,2,FALSE)</f>
        <v>#N/A</v>
      </c>
      <c r="AC312" s="230" t="e">
        <f>T312-HLOOKUP(V312,Minimas!$C$3:$CD$12,3,FALSE)</f>
        <v>#N/A</v>
      </c>
      <c r="AD312" s="230" t="e">
        <f>T312-HLOOKUP(V312,Minimas!$C$3:$CD$12,4,FALSE)</f>
        <v>#N/A</v>
      </c>
      <c r="AE312" s="230" t="e">
        <f>T312-HLOOKUP(V312,Minimas!$C$3:$CD$12,5,FALSE)</f>
        <v>#N/A</v>
      </c>
      <c r="AF312" s="230" t="e">
        <f>T312-HLOOKUP(V312,Minimas!$C$3:$CD$12,6,FALSE)</f>
        <v>#N/A</v>
      </c>
      <c r="AG312" s="230" t="e">
        <f>T312-HLOOKUP(V312,Minimas!$C$3:$CD$12,7,FALSE)</f>
        <v>#N/A</v>
      </c>
      <c r="AH312" s="230" t="e">
        <f>T312-HLOOKUP(V312,Minimas!$C$3:$CD$12,8,FALSE)</f>
        <v>#N/A</v>
      </c>
      <c r="AI312" s="230" t="e">
        <f>T312-HLOOKUP(V312,Minimas!$C$3:$CD$12,9,FALSE)</f>
        <v>#N/A</v>
      </c>
      <c r="AJ312" s="230" t="e">
        <f>T312-HLOOKUP(V312,Minimas!$C$3:$CD$12,10,FALSE)</f>
        <v>#N/A</v>
      </c>
      <c r="AK312" s="231" t="str">
        <f t="shared" si="106"/>
        <v xml:space="preserve"> </v>
      </c>
      <c r="AL312" s="232"/>
      <c r="AM312" s="232" t="str">
        <f t="shared" si="107"/>
        <v xml:space="preserve"> </v>
      </c>
      <c r="AN312" s="232" t="str">
        <f t="shared" si="108"/>
        <v xml:space="preserve"> </v>
      </c>
    </row>
    <row r="313" spans="2:124" ht="14" x14ac:dyDescent="0.25">
      <c r="AB313" s="230" t="e">
        <f>T313-HLOOKUP(V313,Minimas!$C$3:$CD$12,2,FALSE)</f>
        <v>#N/A</v>
      </c>
      <c r="AC313" s="230" t="e">
        <f>T313-HLOOKUP(V313,Minimas!$C$3:$CD$12,3,FALSE)</f>
        <v>#N/A</v>
      </c>
      <c r="AD313" s="230" t="e">
        <f>T313-HLOOKUP(V313,Minimas!$C$3:$CD$12,4,FALSE)</f>
        <v>#N/A</v>
      </c>
      <c r="AE313" s="230" t="e">
        <f>T313-HLOOKUP(V313,Minimas!$C$3:$CD$12,5,FALSE)</f>
        <v>#N/A</v>
      </c>
      <c r="AF313" s="230" t="e">
        <f>T313-HLOOKUP(V313,Minimas!$C$3:$CD$12,6,FALSE)</f>
        <v>#N/A</v>
      </c>
      <c r="AG313" s="230" t="e">
        <f>T313-HLOOKUP(V313,Minimas!$C$3:$CD$12,7,FALSE)</f>
        <v>#N/A</v>
      </c>
      <c r="AH313" s="230" t="e">
        <f>T313-HLOOKUP(V313,Minimas!$C$3:$CD$12,8,FALSE)</f>
        <v>#N/A</v>
      </c>
      <c r="AI313" s="230" t="e">
        <f>T313-HLOOKUP(V313,Minimas!$C$3:$CD$12,9,FALSE)</f>
        <v>#N/A</v>
      </c>
      <c r="AJ313" s="230" t="e">
        <f>T313-HLOOKUP(V313,Minimas!$C$3:$CD$12,10,FALSE)</f>
        <v>#N/A</v>
      </c>
      <c r="AK313" s="231" t="str">
        <f t="shared" si="106"/>
        <v xml:space="preserve"> </v>
      </c>
      <c r="AL313" s="232"/>
      <c r="AM313" s="232" t="str">
        <f t="shared" si="107"/>
        <v xml:space="preserve"> </v>
      </c>
      <c r="AN313" s="232" t="str">
        <f t="shared" si="108"/>
        <v xml:space="preserve"> </v>
      </c>
    </row>
    <row r="314" spans="2:124" ht="14" x14ac:dyDescent="0.25">
      <c r="AB314" s="230" t="e">
        <f>T314-HLOOKUP(V314,Minimas!$C$3:$CD$12,2,FALSE)</f>
        <v>#N/A</v>
      </c>
      <c r="AC314" s="230" t="e">
        <f>T314-HLOOKUP(V314,Minimas!$C$3:$CD$12,3,FALSE)</f>
        <v>#N/A</v>
      </c>
      <c r="AD314" s="230" t="e">
        <f>T314-HLOOKUP(V314,Minimas!$C$3:$CD$12,4,FALSE)</f>
        <v>#N/A</v>
      </c>
      <c r="AE314" s="230" t="e">
        <f>T314-HLOOKUP(V314,Minimas!$C$3:$CD$12,5,FALSE)</f>
        <v>#N/A</v>
      </c>
      <c r="AF314" s="230" t="e">
        <f>T314-HLOOKUP(V314,Minimas!$C$3:$CD$12,6,FALSE)</f>
        <v>#N/A</v>
      </c>
      <c r="AG314" s="230" t="e">
        <f>T314-HLOOKUP(V314,Minimas!$C$3:$CD$12,7,FALSE)</f>
        <v>#N/A</v>
      </c>
      <c r="AH314" s="230" t="e">
        <f>T314-HLOOKUP(V314,Minimas!$C$3:$CD$12,8,FALSE)</f>
        <v>#N/A</v>
      </c>
      <c r="AI314" s="230" t="e">
        <f>T314-HLOOKUP(V314,Minimas!$C$3:$CD$12,9,FALSE)</f>
        <v>#N/A</v>
      </c>
      <c r="AJ314" s="230" t="e">
        <f>T314-HLOOKUP(V314,Minimas!$C$3:$CD$12,10,FALSE)</f>
        <v>#N/A</v>
      </c>
      <c r="AK314" s="231" t="str">
        <f t="shared" si="106"/>
        <v xml:space="preserve"> </v>
      </c>
      <c r="AL314" s="232"/>
      <c r="AM314" s="232" t="str">
        <f t="shared" si="107"/>
        <v xml:space="preserve"> </v>
      </c>
      <c r="AN314" s="232" t="str">
        <f t="shared" si="108"/>
        <v xml:space="preserve"> </v>
      </c>
    </row>
    <row r="315" spans="2:124" ht="14" x14ac:dyDescent="0.25">
      <c r="AB315" s="230" t="e">
        <f>T315-HLOOKUP(V315,Minimas!$C$3:$CD$12,2,FALSE)</f>
        <v>#N/A</v>
      </c>
      <c r="AC315" s="230" t="e">
        <f>T315-HLOOKUP(V315,Minimas!$C$3:$CD$12,3,FALSE)</f>
        <v>#N/A</v>
      </c>
      <c r="AD315" s="230" t="e">
        <f>T315-HLOOKUP(V315,Minimas!$C$3:$CD$12,4,FALSE)</f>
        <v>#N/A</v>
      </c>
      <c r="AE315" s="230" t="e">
        <f>T315-HLOOKUP(V315,Minimas!$C$3:$CD$12,5,FALSE)</f>
        <v>#N/A</v>
      </c>
      <c r="AF315" s="230" t="e">
        <f>T315-HLOOKUP(V315,Minimas!$C$3:$CD$12,6,FALSE)</f>
        <v>#N/A</v>
      </c>
      <c r="AG315" s="230" t="e">
        <f>T315-HLOOKUP(V315,Minimas!$C$3:$CD$12,7,FALSE)</f>
        <v>#N/A</v>
      </c>
      <c r="AH315" s="230" t="e">
        <f>T315-HLOOKUP(V315,Minimas!$C$3:$CD$12,8,FALSE)</f>
        <v>#N/A</v>
      </c>
      <c r="AI315" s="230" t="e">
        <f>T315-HLOOKUP(V315,Minimas!$C$3:$CD$12,9,FALSE)</f>
        <v>#N/A</v>
      </c>
      <c r="AJ315" s="230" t="e">
        <f>T315-HLOOKUP(V315,Minimas!$C$3:$CD$12,10,FALSE)</f>
        <v>#N/A</v>
      </c>
      <c r="AK315" s="231" t="str">
        <f t="shared" ref="AK315:AK378" si="109">IF(E315=0," ",IF(AJ315&gt;=0,$AJ$5,IF(AI315&gt;=0,$AI$5,IF(AH315&gt;=0,$AH$5,IF(AG315&gt;=0,$AG$5,IF(AF315&gt;=0,$AF$5,IF(AE315&gt;=0,$AE$5,IF(AD315&gt;=0,$AD$5,IF(AC315&gt;=0,$AC$5,$AB$5)))))))))</f>
        <v xml:space="preserve"> </v>
      </c>
      <c r="AL315" s="232"/>
      <c r="AM315" s="232" t="str">
        <f t="shared" ref="AM315:AM378" si="110">IF(AK315="","",AK315)</f>
        <v xml:space="preserve"> </v>
      </c>
      <c r="AN315" s="232" t="str">
        <f t="shared" ref="AN315:AN378" si="111">IF(E315=0," ",IF(AJ315&gt;=0,AJ315,IF(AI315&gt;=0,AI315,IF(AH315&gt;=0,AH315,IF(AG315&gt;=0,AG315,IF(AF315&gt;=0,AF315,IF(AE315&gt;=0,AE315,IF(AD315&gt;=0,AD315,IF(AC315&gt;=0,AC315,AB315)))))))))</f>
        <v xml:space="preserve"> </v>
      </c>
    </row>
    <row r="316" spans="2:124" ht="14" x14ac:dyDescent="0.25">
      <c r="AB316" s="230" t="e">
        <f>T316-HLOOKUP(V316,Minimas!$C$3:$CD$12,2,FALSE)</f>
        <v>#N/A</v>
      </c>
      <c r="AC316" s="230" t="e">
        <f>T316-HLOOKUP(V316,Minimas!$C$3:$CD$12,3,FALSE)</f>
        <v>#N/A</v>
      </c>
      <c r="AD316" s="230" t="e">
        <f>T316-HLOOKUP(V316,Minimas!$C$3:$CD$12,4,FALSE)</f>
        <v>#N/A</v>
      </c>
      <c r="AE316" s="230" t="e">
        <f>T316-HLOOKUP(V316,Minimas!$C$3:$CD$12,5,FALSE)</f>
        <v>#N/A</v>
      </c>
      <c r="AF316" s="230" t="e">
        <f>T316-HLOOKUP(V316,Minimas!$C$3:$CD$12,6,FALSE)</f>
        <v>#N/A</v>
      </c>
      <c r="AG316" s="230" t="e">
        <f>T316-HLOOKUP(V316,Minimas!$C$3:$CD$12,7,FALSE)</f>
        <v>#N/A</v>
      </c>
      <c r="AH316" s="230" t="e">
        <f>T316-HLOOKUP(V316,Minimas!$C$3:$CD$12,8,FALSE)</f>
        <v>#N/A</v>
      </c>
      <c r="AI316" s="230" t="e">
        <f>T316-HLOOKUP(V316,Minimas!$C$3:$CD$12,9,FALSE)</f>
        <v>#N/A</v>
      </c>
      <c r="AJ316" s="230" t="e">
        <f>T316-HLOOKUP(V316,Minimas!$C$3:$CD$12,10,FALSE)</f>
        <v>#N/A</v>
      </c>
      <c r="AK316" s="231" t="str">
        <f t="shared" si="109"/>
        <v xml:space="preserve"> </v>
      </c>
      <c r="AL316" s="232"/>
      <c r="AM316" s="232" t="str">
        <f t="shared" si="110"/>
        <v xml:space="preserve"> </v>
      </c>
      <c r="AN316" s="232" t="str">
        <f t="shared" si="111"/>
        <v xml:space="preserve"> </v>
      </c>
    </row>
    <row r="317" spans="2:124" ht="14" x14ac:dyDescent="0.25">
      <c r="AB317" s="230" t="e">
        <f>T317-HLOOKUP(V317,Minimas!$C$3:$CD$12,2,FALSE)</f>
        <v>#N/A</v>
      </c>
      <c r="AC317" s="230" t="e">
        <f>T317-HLOOKUP(V317,Minimas!$C$3:$CD$12,3,FALSE)</f>
        <v>#N/A</v>
      </c>
      <c r="AD317" s="230" t="e">
        <f>T317-HLOOKUP(V317,Minimas!$C$3:$CD$12,4,FALSE)</f>
        <v>#N/A</v>
      </c>
      <c r="AE317" s="230" t="e">
        <f>T317-HLOOKUP(V317,Minimas!$C$3:$CD$12,5,FALSE)</f>
        <v>#N/A</v>
      </c>
      <c r="AF317" s="230" t="e">
        <f>T317-HLOOKUP(V317,Minimas!$C$3:$CD$12,6,FALSE)</f>
        <v>#N/A</v>
      </c>
      <c r="AG317" s="230" t="e">
        <f>T317-HLOOKUP(V317,Minimas!$C$3:$CD$12,7,FALSE)</f>
        <v>#N/A</v>
      </c>
      <c r="AH317" s="230" t="e">
        <f>T317-HLOOKUP(V317,Minimas!$C$3:$CD$12,8,FALSE)</f>
        <v>#N/A</v>
      </c>
      <c r="AI317" s="230" t="e">
        <f>T317-HLOOKUP(V317,Minimas!$C$3:$CD$12,9,FALSE)</f>
        <v>#N/A</v>
      </c>
      <c r="AJ317" s="230" t="e">
        <f>T317-HLOOKUP(V317,Minimas!$C$3:$CD$12,10,FALSE)</f>
        <v>#N/A</v>
      </c>
      <c r="AK317" s="231" t="str">
        <f t="shared" si="109"/>
        <v xml:space="preserve"> </v>
      </c>
      <c r="AL317" s="232"/>
      <c r="AM317" s="232" t="str">
        <f t="shared" si="110"/>
        <v xml:space="preserve"> </v>
      </c>
      <c r="AN317" s="232" t="str">
        <f t="shared" si="111"/>
        <v xml:space="preserve"> </v>
      </c>
    </row>
    <row r="318" spans="2:124" ht="14" x14ac:dyDescent="0.25">
      <c r="AB318" s="230" t="e">
        <f>T318-HLOOKUP(V318,Minimas!$C$3:$CD$12,2,FALSE)</f>
        <v>#N/A</v>
      </c>
      <c r="AC318" s="230" t="e">
        <f>T318-HLOOKUP(V318,Minimas!$C$3:$CD$12,3,FALSE)</f>
        <v>#N/A</v>
      </c>
      <c r="AD318" s="230" t="e">
        <f>T318-HLOOKUP(V318,Minimas!$C$3:$CD$12,4,FALSE)</f>
        <v>#N/A</v>
      </c>
      <c r="AE318" s="230" t="e">
        <f>T318-HLOOKUP(V318,Minimas!$C$3:$CD$12,5,FALSE)</f>
        <v>#N/A</v>
      </c>
      <c r="AF318" s="230" t="e">
        <f>T318-HLOOKUP(V318,Minimas!$C$3:$CD$12,6,FALSE)</f>
        <v>#N/A</v>
      </c>
      <c r="AG318" s="230" t="e">
        <f>T318-HLOOKUP(V318,Minimas!$C$3:$CD$12,7,FALSE)</f>
        <v>#N/A</v>
      </c>
      <c r="AH318" s="230" t="e">
        <f>T318-HLOOKUP(V318,Minimas!$C$3:$CD$12,8,FALSE)</f>
        <v>#N/A</v>
      </c>
      <c r="AI318" s="230" t="e">
        <f>T318-HLOOKUP(V318,Minimas!$C$3:$CD$12,9,FALSE)</f>
        <v>#N/A</v>
      </c>
      <c r="AJ318" s="230" t="e">
        <f>T318-HLOOKUP(V318,Minimas!$C$3:$CD$12,10,FALSE)</f>
        <v>#N/A</v>
      </c>
      <c r="AK318" s="231" t="str">
        <f t="shared" si="109"/>
        <v xml:space="preserve"> </v>
      </c>
      <c r="AL318" s="232"/>
      <c r="AM318" s="232" t="str">
        <f t="shared" si="110"/>
        <v xml:space="preserve"> </v>
      </c>
      <c r="AN318" s="232" t="str">
        <f t="shared" si="111"/>
        <v xml:space="preserve"> </v>
      </c>
    </row>
    <row r="319" spans="2:124" ht="14" x14ac:dyDescent="0.25">
      <c r="AB319" s="230" t="e">
        <f>T319-HLOOKUP(V319,Minimas!$C$3:$CD$12,2,FALSE)</f>
        <v>#N/A</v>
      </c>
      <c r="AC319" s="230" t="e">
        <f>T319-HLOOKUP(V319,Minimas!$C$3:$CD$12,3,FALSE)</f>
        <v>#N/A</v>
      </c>
      <c r="AD319" s="230" t="e">
        <f>T319-HLOOKUP(V319,Minimas!$C$3:$CD$12,4,FALSE)</f>
        <v>#N/A</v>
      </c>
      <c r="AE319" s="230" t="e">
        <f>T319-HLOOKUP(V319,Minimas!$C$3:$CD$12,5,FALSE)</f>
        <v>#N/A</v>
      </c>
      <c r="AF319" s="230" t="e">
        <f>T319-HLOOKUP(V319,Minimas!$C$3:$CD$12,6,FALSE)</f>
        <v>#N/A</v>
      </c>
      <c r="AG319" s="230" t="e">
        <f>T319-HLOOKUP(V319,Minimas!$C$3:$CD$12,7,FALSE)</f>
        <v>#N/A</v>
      </c>
      <c r="AH319" s="230" t="e">
        <f>T319-HLOOKUP(V319,Minimas!$C$3:$CD$12,8,FALSE)</f>
        <v>#N/A</v>
      </c>
      <c r="AI319" s="230" t="e">
        <f>T319-HLOOKUP(V319,Minimas!$C$3:$CD$12,9,FALSE)</f>
        <v>#N/A</v>
      </c>
      <c r="AJ319" s="230" t="e">
        <f>T319-HLOOKUP(V319,Minimas!$C$3:$CD$12,10,FALSE)</f>
        <v>#N/A</v>
      </c>
      <c r="AK319" s="231" t="str">
        <f t="shared" si="109"/>
        <v xml:space="preserve"> </v>
      </c>
      <c r="AL319" s="232"/>
      <c r="AM319" s="232" t="str">
        <f t="shared" si="110"/>
        <v xml:space="preserve"> </v>
      </c>
      <c r="AN319" s="232" t="str">
        <f t="shared" si="111"/>
        <v xml:space="preserve"> </v>
      </c>
    </row>
    <row r="320" spans="2:124" ht="14" x14ac:dyDescent="0.25">
      <c r="AB320" s="230" t="e">
        <f>T320-HLOOKUP(V320,Minimas!$C$3:$CD$12,2,FALSE)</f>
        <v>#N/A</v>
      </c>
      <c r="AC320" s="230" t="e">
        <f>T320-HLOOKUP(V320,Minimas!$C$3:$CD$12,3,FALSE)</f>
        <v>#N/A</v>
      </c>
      <c r="AD320" s="230" t="e">
        <f>T320-HLOOKUP(V320,Minimas!$C$3:$CD$12,4,FALSE)</f>
        <v>#N/A</v>
      </c>
      <c r="AE320" s="230" t="e">
        <f>T320-HLOOKUP(V320,Minimas!$C$3:$CD$12,5,FALSE)</f>
        <v>#N/A</v>
      </c>
      <c r="AF320" s="230" t="e">
        <f>T320-HLOOKUP(V320,Minimas!$C$3:$CD$12,6,FALSE)</f>
        <v>#N/A</v>
      </c>
      <c r="AG320" s="230" t="e">
        <f>T320-HLOOKUP(V320,Minimas!$C$3:$CD$12,7,FALSE)</f>
        <v>#N/A</v>
      </c>
      <c r="AH320" s="230" t="e">
        <f>T320-HLOOKUP(V320,Minimas!$C$3:$CD$12,8,FALSE)</f>
        <v>#N/A</v>
      </c>
      <c r="AI320" s="230" t="e">
        <f>T320-HLOOKUP(V320,Minimas!$C$3:$CD$12,9,FALSE)</f>
        <v>#N/A</v>
      </c>
      <c r="AJ320" s="230" t="e">
        <f>T320-HLOOKUP(V320,Minimas!$C$3:$CD$12,10,FALSE)</f>
        <v>#N/A</v>
      </c>
      <c r="AK320" s="231" t="str">
        <f t="shared" si="109"/>
        <v xml:space="preserve"> </v>
      </c>
      <c r="AL320" s="232"/>
      <c r="AM320" s="232" t="str">
        <f t="shared" si="110"/>
        <v xml:space="preserve"> </v>
      </c>
      <c r="AN320" s="232" t="str">
        <f t="shared" si="111"/>
        <v xml:space="preserve"> </v>
      </c>
    </row>
    <row r="321" spans="28:40" ht="14" x14ac:dyDescent="0.25">
      <c r="AB321" s="230" t="e">
        <f>T321-HLOOKUP(V321,Minimas!$C$3:$CD$12,2,FALSE)</f>
        <v>#N/A</v>
      </c>
      <c r="AC321" s="230" t="e">
        <f>T321-HLOOKUP(V321,Minimas!$C$3:$CD$12,3,FALSE)</f>
        <v>#N/A</v>
      </c>
      <c r="AD321" s="230" t="e">
        <f>T321-HLOOKUP(V321,Minimas!$C$3:$CD$12,4,FALSE)</f>
        <v>#N/A</v>
      </c>
      <c r="AE321" s="230" t="e">
        <f>T321-HLOOKUP(V321,Minimas!$C$3:$CD$12,5,FALSE)</f>
        <v>#N/A</v>
      </c>
      <c r="AF321" s="230" t="e">
        <f>T321-HLOOKUP(V321,Minimas!$C$3:$CD$12,6,FALSE)</f>
        <v>#N/A</v>
      </c>
      <c r="AG321" s="230" t="e">
        <f>T321-HLOOKUP(V321,Minimas!$C$3:$CD$12,7,FALSE)</f>
        <v>#N/A</v>
      </c>
      <c r="AH321" s="230" t="e">
        <f>T321-HLOOKUP(V321,Minimas!$C$3:$CD$12,8,FALSE)</f>
        <v>#N/A</v>
      </c>
      <c r="AI321" s="230" t="e">
        <f>T321-HLOOKUP(V321,Minimas!$C$3:$CD$12,9,FALSE)</f>
        <v>#N/A</v>
      </c>
      <c r="AJ321" s="230" t="e">
        <f>T321-HLOOKUP(V321,Minimas!$C$3:$CD$12,10,FALSE)</f>
        <v>#N/A</v>
      </c>
      <c r="AK321" s="231" t="str">
        <f t="shared" si="109"/>
        <v xml:space="preserve"> </v>
      </c>
      <c r="AL321" s="232"/>
      <c r="AM321" s="232" t="str">
        <f t="shared" si="110"/>
        <v xml:space="preserve"> </v>
      </c>
      <c r="AN321" s="232" t="str">
        <f t="shared" si="111"/>
        <v xml:space="preserve"> </v>
      </c>
    </row>
    <row r="322" spans="28:40" ht="14" x14ac:dyDescent="0.25">
      <c r="AB322" s="230" t="e">
        <f>T322-HLOOKUP(V322,Minimas!$C$3:$CD$12,2,FALSE)</f>
        <v>#N/A</v>
      </c>
      <c r="AC322" s="230" t="e">
        <f>T322-HLOOKUP(V322,Minimas!$C$3:$CD$12,3,FALSE)</f>
        <v>#N/A</v>
      </c>
      <c r="AD322" s="230" t="e">
        <f>T322-HLOOKUP(V322,Minimas!$C$3:$CD$12,4,FALSE)</f>
        <v>#N/A</v>
      </c>
      <c r="AE322" s="230" t="e">
        <f>T322-HLOOKUP(V322,Minimas!$C$3:$CD$12,5,FALSE)</f>
        <v>#N/A</v>
      </c>
      <c r="AF322" s="230" t="e">
        <f>T322-HLOOKUP(V322,Minimas!$C$3:$CD$12,6,FALSE)</f>
        <v>#N/A</v>
      </c>
      <c r="AG322" s="230" t="e">
        <f>T322-HLOOKUP(V322,Minimas!$C$3:$CD$12,7,FALSE)</f>
        <v>#N/A</v>
      </c>
      <c r="AH322" s="230" t="e">
        <f>T322-HLOOKUP(V322,Minimas!$C$3:$CD$12,8,FALSE)</f>
        <v>#N/A</v>
      </c>
      <c r="AI322" s="230" t="e">
        <f>T322-HLOOKUP(V322,Minimas!$C$3:$CD$12,9,FALSE)</f>
        <v>#N/A</v>
      </c>
      <c r="AJ322" s="230" t="e">
        <f>T322-HLOOKUP(V322,Minimas!$C$3:$CD$12,10,FALSE)</f>
        <v>#N/A</v>
      </c>
      <c r="AK322" s="231" t="str">
        <f t="shared" si="109"/>
        <v xml:space="preserve"> </v>
      </c>
      <c r="AL322" s="232"/>
      <c r="AM322" s="232" t="str">
        <f t="shared" si="110"/>
        <v xml:space="preserve"> </v>
      </c>
      <c r="AN322" s="232" t="str">
        <f t="shared" si="111"/>
        <v xml:space="preserve"> </v>
      </c>
    </row>
    <row r="323" spans="28:40" ht="14" x14ac:dyDescent="0.25">
      <c r="AB323" s="230" t="e">
        <f>T323-HLOOKUP(V323,Minimas!$C$3:$CD$12,2,FALSE)</f>
        <v>#N/A</v>
      </c>
      <c r="AC323" s="230" t="e">
        <f>T323-HLOOKUP(V323,Minimas!$C$3:$CD$12,3,FALSE)</f>
        <v>#N/A</v>
      </c>
      <c r="AD323" s="230" t="e">
        <f>T323-HLOOKUP(V323,Minimas!$C$3:$CD$12,4,FALSE)</f>
        <v>#N/A</v>
      </c>
      <c r="AE323" s="230" t="e">
        <f>T323-HLOOKUP(V323,Minimas!$C$3:$CD$12,5,FALSE)</f>
        <v>#N/A</v>
      </c>
      <c r="AF323" s="230" t="e">
        <f>T323-HLOOKUP(V323,Minimas!$C$3:$CD$12,6,FALSE)</f>
        <v>#N/A</v>
      </c>
      <c r="AG323" s="230" t="e">
        <f>T323-HLOOKUP(V323,Minimas!$C$3:$CD$12,7,FALSE)</f>
        <v>#N/A</v>
      </c>
      <c r="AH323" s="230" t="e">
        <f>T323-HLOOKUP(V323,Minimas!$C$3:$CD$12,8,FALSE)</f>
        <v>#N/A</v>
      </c>
      <c r="AI323" s="230" t="e">
        <f>T323-HLOOKUP(V323,Minimas!$C$3:$CD$12,9,FALSE)</f>
        <v>#N/A</v>
      </c>
      <c r="AJ323" s="230" t="e">
        <f>T323-HLOOKUP(V323,Minimas!$C$3:$CD$12,10,FALSE)</f>
        <v>#N/A</v>
      </c>
      <c r="AK323" s="231" t="str">
        <f t="shared" si="109"/>
        <v xml:space="preserve"> </v>
      </c>
      <c r="AL323" s="232"/>
      <c r="AM323" s="232" t="str">
        <f t="shared" si="110"/>
        <v xml:space="preserve"> </v>
      </c>
      <c r="AN323" s="232" t="str">
        <f t="shared" si="111"/>
        <v xml:space="preserve"> </v>
      </c>
    </row>
    <row r="324" spans="28:40" ht="14" x14ac:dyDescent="0.25">
      <c r="AB324" s="230" t="e">
        <f>T324-HLOOKUP(V324,Minimas!$C$3:$CD$12,2,FALSE)</f>
        <v>#N/A</v>
      </c>
      <c r="AC324" s="230" t="e">
        <f>T324-HLOOKUP(V324,Minimas!$C$3:$CD$12,3,FALSE)</f>
        <v>#N/A</v>
      </c>
      <c r="AD324" s="230" t="e">
        <f>T324-HLOOKUP(V324,Minimas!$C$3:$CD$12,4,FALSE)</f>
        <v>#N/A</v>
      </c>
      <c r="AE324" s="230" t="e">
        <f>T324-HLOOKUP(V324,Minimas!$C$3:$CD$12,5,FALSE)</f>
        <v>#N/A</v>
      </c>
      <c r="AF324" s="230" t="e">
        <f>T324-HLOOKUP(V324,Minimas!$C$3:$CD$12,6,FALSE)</f>
        <v>#N/A</v>
      </c>
      <c r="AG324" s="230" t="e">
        <f>T324-HLOOKUP(V324,Minimas!$C$3:$CD$12,7,FALSE)</f>
        <v>#N/A</v>
      </c>
      <c r="AH324" s="230" t="e">
        <f>T324-HLOOKUP(V324,Minimas!$C$3:$CD$12,8,FALSE)</f>
        <v>#N/A</v>
      </c>
      <c r="AI324" s="230" t="e">
        <f>T324-HLOOKUP(V324,Minimas!$C$3:$CD$12,9,FALSE)</f>
        <v>#N/A</v>
      </c>
      <c r="AJ324" s="230" t="e">
        <f>T324-HLOOKUP(V324,Minimas!$C$3:$CD$12,10,FALSE)</f>
        <v>#N/A</v>
      </c>
      <c r="AK324" s="231" t="str">
        <f t="shared" si="109"/>
        <v xml:space="preserve"> </v>
      </c>
      <c r="AL324" s="232"/>
      <c r="AM324" s="232" t="str">
        <f t="shared" si="110"/>
        <v xml:space="preserve"> </v>
      </c>
      <c r="AN324" s="232" t="str">
        <f t="shared" si="111"/>
        <v xml:space="preserve"> </v>
      </c>
    </row>
    <row r="325" spans="28:40" ht="14" x14ac:dyDescent="0.25">
      <c r="AB325" s="230" t="e">
        <f>T325-HLOOKUP(V325,Minimas!$C$3:$CD$12,2,FALSE)</f>
        <v>#N/A</v>
      </c>
      <c r="AC325" s="230" t="e">
        <f>T325-HLOOKUP(V325,Minimas!$C$3:$CD$12,3,FALSE)</f>
        <v>#N/A</v>
      </c>
      <c r="AD325" s="230" t="e">
        <f>T325-HLOOKUP(V325,Minimas!$C$3:$CD$12,4,FALSE)</f>
        <v>#N/A</v>
      </c>
      <c r="AE325" s="230" t="e">
        <f>T325-HLOOKUP(V325,Minimas!$C$3:$CD$12,5,FALSE)</f>
        <v>#N/A</v>
      </c>
      <c r="AF325" s="230" t="e">
        <f>T325-HLOOKUP(V325,Minimas!$C$3:$CD$12,6,FALSE)</f>
        <v>#N/A</v>
      </c>
      <c r="AG325" s="230" t="e">
        <f>T325-HLOOKUP(V325,Minimas!$C$3:$CD$12,7,FALSE)</f>
        <v>#N/A</v>
      </c>
      <c r="AH325" s="230" t="e">
        <f>T325-HLOOKUP(V325,Minimas!$C$3:$CD$12,8,FALSE)</f>
        <v>#N/A</v>
      </c>
      <c r="AI325" s="230" t="e">
        <f>T325-HLOOKUP(V325,Minimas!$C$3:$CD$12,9,FALSE)</f>
        <v>#N/A</v>
      </c>
      <c r="AJ325" s="230" t="e">
        <f>T325-HLOOKUP(V325,Minimas!$C$3:$CD$12,10,FALSE)</f>
        <v>#N/A</v>
      </c>
      <c r="AK325" s="231" t="str">
        <f t="shared" si="109"/>
        <v xml:space="preserve"> </v>
      </c>
      <c r="AL325" s="232"/>
      <c r="AM325" s="232" t="str">
        <f t="shared" si="110"/>
        <v xml:space="preserve"> </v>
      </c>
      <c r="AN325" s="232" t="str">
        <f t="shared" si="111"/>
        <v xml:space="preserve"> </v>
      </c>
    </row>
    <row r="326" spans="28:40" ht="14" x14ac:dyDescent="0.25">
      <c r="AB326" s="230" t="e">
        <f>T326-HLOOKUP(V326,Minimas!$C$3:$CD$12,2,FALSE)</f>
        <v>#N/A</v>
      </c>
      <c r="AC326" s="230" t="e">
        <f>T326-HLOOKUP(V326,Minimas!$C$3:$CD$12,3,FALSE)</f>
        <v>#N/A</v>
      </c>
      <c r="AD326" s="230" t="e">
        <f>T326-HLOOKUP(V326,Minimas!$C$3:$CD$12,4,FALSE)</f>
        <v>#N/A</v>
      </c>
      <c r="AE326" s="230" t="e">
        <f>T326-HLOOKUP(V326,Minimas!$C$3:$CD$12,5,FALSE)</f>
        <v>#N/A</v>
      </c>
      <c r="AF326" s="230" t="e">
        <f>T326-HLOOKUP(V326,Minimas!$C$3:$CD$12,6,FALSE)</f>
        <v>#N/A</v>
      </c>
      <c r="AG326" s="230" t="e">
        <f>T326-HLOOKUP(V326,Minimas!$C$3:$CD$12,7,FALSE)</f>
        <v>#N/A</v>
      </c>
      <c r="AH326" s="230" t="e">
        <f>T326-HLOOKUP(V326,Minimas!$C$3:$CD$12,8,FALSE)</f>
        <v>#N/A</v>
      </c>
      <c r="AI326" s="230" t="e">
        <f>T326-HLOOKUP(V326,Minimas!$C$3:$CD$12,9,FALSE)</f>
        <v>#N/A</v>
      </c>
      <c r="AJ326" s="230" t="e">
        <f>T326-HLOOKUP(V326,Minimas!$C$3:$CD$12,10,FALSE)</f>
        <v>#N/A</v>
      </c>
      <c r="AK326" s="231" t="str">
        <f t="shared" si="109"/>
        <v xml:space="preserve"> </v>
      </c>
      <c r="AL326" s="232"/>
      <c r="AM326" s="232" t="str">
        <f t="shared" si="110"/>
        <v xml:space="preserve"> </v>
      </c>
      <c r="AN326" s="232" t="str">
        <f t="shared" si="111"/>
        <v xml:space="preserve"> </v>
      </c>
    </row>
    <row r="327" spans="28:40" ht="14" x14ac:dyDescent="0.25">
      <c r="AB327" s="230" t="e">
        <f>T327-HLOOKUP(V327,Minimas!$C$3:$CD$12,2,FALSE)</f>
        <v>#N/A</v>
      </c>
      <c r="AC327" s="230" t="e">
        <f>T327-HLOOKUP(V327,Minimas!$C$3:$CD$12,3,FALSE)</f>
        <v>#N/A</v>
      </c>
      <c r="AD327" s="230" t="e">
        <f>T327-HLOOKUP(V327,Minimas!$C$3:$CD$12,4,FALSE)</f>
        <v>#N/A</v>
      </c>
      <c r="AE327" s="230" t="e">
        <f>T327-HLOOKUP(V327,Minimas!$C$3:$CD$12,5,FALSE)</f>
        <v>#N/A</v>
      </c>
      <c r="AF327" s="230" t="e">
        <f>T327-HLOOKUP(V327,Minimas!$C$3:$CD$12,6,FALSE)</f>
        <v>#N/A</v>
      </c>
      <c r="AG327" s="230" t="e">
        <f>T327-HLOOKUP(V327,Minimas!$C$3:$CD$12,7,FALSE)</f>
        <v>#N/A</v>
      </c>
      <c r="AH327" s="230" t="e">
        <f>T327-HLOOKUP(V327,Minimas!$C$3:$CD$12,8,FALSE)</f>
        <v>#N/A</v>
      </c>
      <c r="AI327" s="230" t="e">
        <f>T327-HLOOKUP(V327,Minimas!$C$3:$CD$12,9,FALSE)</f>
        <v>#N/A</v>
      </c>
      <c r="AJ327" s="230" t="e">
        <f>T327-HLOOKUP(V327,Minimas!$C$3:$CD$12,10,FALSE)</f>
        <v>#N/A</v>
      </c>
      <c r="AK327" s="231" t="str">
        <f t="shared" si="109"/>
        <v xml:space="preserve"> </v>
      </c>
      <c r="AL327" s="232"/>
      <c r="AM327" s="232" t="str">
        <f t="shared" si="110"/>
        <v xml:space="preserve"> </v>
      </c>
      <c r="AN327" s="232" t="str">
        <f t="shared" si="111"/>
        <v xml:space="preserve"> </v>
      </c>
    </row>
    <row r="328" spans="28:40" ht="14" x14ac:dyDescent="0.25">
      <c r="AB328" s="230" t="e">
        <f>T328-HLOOKUP(V328,Minimas!$C$3:$CD$12,2,FALSE)</f>
        <v>#N/A</v>
      </c>
      <c r="AC328" s="230" t="e">
        <f>T328-HLOOKUP(V328,Minimas!$C$3:$CD$12,3,FALSE)</f>
        <v>#N/A</v>
      </c>
      <c r="AD328" s="230" t="e">
        <f>T328-HLOOKUP(V328,Minimas!$C$3:$CD$12,4,FALSE)</f>
        <v>#N/A</v>
      </c>
      <c r="AE328" s="230" t="e">
        <f>T328-HLOOKUP(V328,Minimas!$C$3:$CD$12,5,FALSE)</f>
        <v>#N/A</v>
      </c>
      <c r="AF328" s="230" t="e">
        <f>T328-HLOOKUP(V328,Minimas!$C$3:$CD$12,6,FALSE)</f>
        <v>#N/A</v>
      </c>
      <c r="AG328" s="230" t="e">
        <f>T328-HLOOKUP(V328,Minimas!$C$3:$CD$12,7,FALSE)</f>
        <v>#N/A</v>
      </c>
      <c r="AH328" s="230" t="e">
        <f>T328-HLOOKUP(V328,Minimas!$C$3:$CD$12,8,FALSE)</f>
        <v>#N/A</v>
      </c>
      <c r="AI328" s="230" t="e">
        <f>T328-HLOOKUP(V328,Minimas!$C$3:$CD$12,9,FALSE)</f>
        <v>#N/A</v>
      </c>
      <c r="AJ328" s="230" t="e">
        <f>T328-HLOOKUP(V328,Minimas!$C$3:$CD$12,10,FALSE)</f>
        <v>#N/A</v>
      </c>
      <c r="AK328" s="231" t="str">
        <f t="shared" si="109"/>
        <v xml:space="preserve"> </v>
      </c>
      <c r="AL328" s="232"/>
      <c r="AM328" s="232" t="str">
        <f t="shared" si="110"/>
        <v xml:space="preserve"> </v>
      </c>
      <c r="AN328" s="232" t="str">
        <f t="shared" si="111"/>
        <v xml:space="preserve"> </v>
      </c>
    </row>
    <row r="329" spans="28:40" ht="14" x14ac:dyDescent="0.25">
      <c r="AB329" s="230" t="e">
        <f>T329-HLOOKUP(V329,Minimas!$C$3:$CD$12,2,FALSE)</f>
        <v>#N/A</v>
      </c>
      <c r="AC329" s="230" t="e">
        <f>T329-HLOOKUP(V329,Minimas!$C$3:$CD$12,3,FALSE)</f>
        <v>#N/A</v>
      </c>
      <c r="AD329" s="230" t="e">
        <f>T329-HLOOKUP(V329,Minimas!$C$3:$CD$12,4,FALSE)</f>
        <v>#N/A</v>
      </c>
      <c r="AE329" s="230" t="e">
        <f>T329-HLOOKUP(V329,Minimas!$C$3:$CD$12,5,FALSE)</f>
        <v>#N/A</v>
      </c>
      <c r="AF329" s="230" t="e">
        <f>T329-HLOOKUP(V329,Minimas!$C$3:$CD$12,6,FALSE)</f>
        <v>#N/A</v>
      </c>
      <c r="AG329" s="230" t="e">
        <f>T329-HLOOKUP(V329,Minimas!$C$3:$CD$12,7,FALSE)</f>
        <v>#N/A</v>
      </c>
      <c r="AH329" s="230" t="e">
        <f>T329-HLOOKUP(V329,Minimas!$C$3:$CD$12,8,FALSE)</f>
        <v>#N/A</v>
      </c>
      <c r="AI329" s="230" t="e">
        <f>T329-HLOOKUP(V329,Minimas!$C$3:$CD$12,9,FALSE)</f>
        <v>#N/A</v>
      </c>
      <c r="AJ329" s="230" t="e">
        <f>T329-HLOOKUP(V329,Minimas!$C$3:$CD$12,10,FALSE)</f>
        <v>#N/A</v>
      </c>
      <c r="AK329" s="231" t="str">
        <f t="shared" si="109"/>
        <v xml:space="preserve"> </v>
      </c>
      <c r="AL329" s="232"/>
      <c r="AM329" s="232" t="str">
        <f t="shared" si="110"/>
        <v xml:space="preserve"> </v>
      </c>
      <c r="AN329" s="232" t="str">
        <f t="shared" si="111"/>
        <v xml:space="preserve"> </v>
      </c>
    </row>
    <row r="330" spans="28:40" ht="14" x14ac:dyDescent="0.25">
      <c r="AB330" s="230" t="e">
        <f>T330-HLOOKUP(V330,Minimas!$C$3:$CD$12,2,FALSE)</f>
        <v>#N/A</v>
      </c>
      <c r="AC330" s="230" t="e">
        <f>T330-HLOOKUP(V330,Minimas!$C$3:$CD$12,3,FALSE)</f>
        <v>#N/A</v>
      </c>
      <c r="AD330" s="230" t="e">
        <f>T330-HLOOKUP(V330,Minimas!$C$3:$CD$12,4,FALSE)</f>
        <v>#N/A</v>
      </c>
      <c r="AE330" s="230" t="e">
        <f>T330-HLOOKUP(V330,Minimas!$C$3:$CD$12,5,FALSE)</f>
        <v>#N/A</v>
      </c>
      <c r="AF330" s="230" t="e">
        <f>T330-HLOOKUP(V330,Minimas!$C$3:$CD$12,6,FALSE)</f>
        <v>#N/A</v>
      </c>
      <c r="AG330" s="230" t="e">
        <f>T330-HLOOKUP(V330,Minimas!$C$3:$CD$12,7,FALSE)</f>
        <v>#N/A</v>
      </c>
      <c r="AH330" s="230" t="e">
        <f>T330-HLOOKUP(V330,Minimas!$C$3:$CD$12,8,FALSE)</f>
        <v>#N/A</v>
      </c>
      <c r="AI330" s="230" t="e">
        <f>T330-HLOOKUP(V330,Minimas!$C$3:$CD$12,9,FALSE)</f>
        <v>#N/A</v>
      </c>
      <c r="AJ330" s="230" t="e">
        <f>T330-HLOOKUP(V330,Minimas!$C$3:$CD$12,10,FALSE)</f>
        <v>#N/A</v>
      </c>
      <c r="AK330" s="231" t="str">
        <f t="shared" si="109"/>
        <v xml:space="preserve"> </v>
      </c>
      <c r="AL330" s="232"/>
      <c r="AM330" s="232" t="str">
        <f t="shared" si="110"/>
        <v xml:space="preserve"> </v>
      </c>
      <c r="AN330" s="232" t="str">
        <f t="shared" si="111"/>
        <v xml:space="preserve"> </v>
      </c>
    </row>
    <row r="331" spans="28:40" ht="14" x14ac:dyDescent="0.25">
      <c r="AB331" s="230" t="e">
        <f>T331-HLOOKUP(V331,Minimas!$C$3:$CD$12,2,FALSE)</f>
        <v>#N/A</v>
      </c>
      <c r="AC331" s="230" t="e">
        <f>T331-HLOOKUP(V331,Minimas!$C$3:$CD$12,3,FALSE)</f>
        <v>#N/A</v>
      </c>
      <c r="AD331" s="230" t="e">
        <f>T331-HLOOKUP(V331,Minimas!$C$3:$CD$12,4,FALSE)</f>
        <v>#N/A</v>
      </c>
      <c r="AE331" s="230" t="e">
        <f>T331-HLOOKUP(V331,Minimas!$C$3:$CD$12,5,FALSE)</f>
        <v>#N/A</v>
      </c>
      <c r="AF331" s="230" t="e">
        <f>T331-HLOOKUP(V331,Minimas!$C$3:$CD$12,6,FALSE)</f>
        <v>#N/A</v>
      </c>
      <c r="AG331" s="230" t="e">
        <f>T331-HLOOKUP(V331,Minimas!$C$3:$CD$12,7,FALSE)</f>
        <v>#N/A</v>
      </c>
      <c r="AH331" s="230" t="e">
        <f>T331-HLOOKUP(V331,Minimas!$C$3:$CD$12,8,FALSE)</f>
        <v>#N/A</v>
      </c>
      <c r="AI331" s="230" t="e">
        <f>T331-HLOOKUP(V331,Minimas!$C$3:$CD$12,9,FALSE)</f>
        <v>#N/A</v>
      </c>
      <c r="AJ331" s="230" t="e">
        <f>T331-HLOOKUP(V331,Minimas!$C$3:$CD$12,10,FALSE)</f>
        <v>#N/A</v>
      </c>
      <c r="AK331" s="231" t="str">
        <f t="shared" si="109"/>
        <v xml:space="preserve"> </v>
      </c>
      <c r="AL331" s="232"/>
      <c r="AM331" s="232" t="str">
        <f t="shared" si="110"/>
        <v xml:space="preserve"> </v>
      </c>
      <c r="AN331" s="232" t="str">
        <f t="shared" si="111"/>
        <v xml:space="preserve"> </v>
      </c>
    </row>
    <row r="332" spans="28:40" ht="14" x14ac:dyDescent="0.25">
      <c r="AB332" s="230" t="e">
        <f>T332-HLOOKUP(V332,Minimas!$C$3:$CD$12,2,FALSE)</f>
        <v>#N/A</v>
      </c>
      <c r="AC332" s="230" t="e">
        <f>T332-HLOOKUP(V332,Minimas!$C$3:$CD$12,3,FALSE)</f>
        <v>#N/A</v>
      </c>
      <c r="AD332" s="230" t="e">
        <f>T332-HLOOKUP(V332,Minimas!$C$3:$CD$12,4,FALSE)</f>
        <v>#N/A</v>
      </c>
      <c r="AE332" s="230" t="e">
        <f>T332-HLOOKUP(V332,Minimas!$C$3:$CD$12,5,FALSE)</f>
        <v>#N/A</v>
      </c>
      <c r="AF332" s="230" t="e">
        <f>T332-HLOOKUP(V332,Minimas!$C$3:$CD$12,6,FALSE)</f>
        <v>#N/A</v>
      </c>
      <c r="AG332" s="230" t="e">
        <f>T332-HLOOKUP(V332,Minimas!$C$3:$CD$12,7,FALSE)</f>
        <v>#N/A</v>
      </c>
      <c r="AH332" s="230" t="e">
        <f>T332-HLOOKUP(V332,Minimas!$C$3:$CD$12,8,FALSE)</f>
        <v>#N/A</v>
      </c>
      <c r="AI332" s="230" t="e">
        <f>T332-HLOOKUP(V332,Minimas!$C$3:$CD$12,9,FALSE)</f>
        <v>#N/A</v>
      </c>
      <c r="AJ332" s="230" t="e">
        <f>T332-HLOOKUP(V332,Minimas!$C$3:$CD$12,10,FALSE)</f>
        <v>#N/A</v>
      </c>
      <c r="AK332" s="231" t="str">
        <f t="shared" si="109"/>
        <v xml:space="preserve"> </v>
      </c>
      <c r="AL332" s="232"/>
      <c r="AM332" s="232" t="str">
        <f t="shared" si="110"/>
        <v xml:space="preserve"> </v>
      </c>
      <c r="AN332" s="232" t="str">
        <f t="shared" si="111"/>
        <v xml:space="preserve"> </v>
      </c>
    </row>
    <row r="333" spans="28:40" ht="14" x14ac:dyDescent="0.25">
      <c r="AB333" s="230" t="e">
        <f>T333-HLOOKUP(V333,Minimas!$C$3:$CD$12,2,FALSE)</f>
        <v>#N/A</v>
      </c>
      <c r="AC333" s="230" t="e">
        <f>T333-HLOOKUP(V333,Minimas!$C$3:$CD$12,3,FALSE)</f>
        <v>#N/A</v>
      </c>
      <c r="AD333" s="230" t="e">
        <f>T333-HLOOKUP(V333,Minimas!$C$3:$CD$12,4,FALSE)</f>
        <v>#N/A</v>
      </c>
      <c r="AE333" s="230" t="e">
        <f>T333-HLOOKUP(V333,Minimas!$C$3:$CD$12,5,FALSE)</f>
        <v>#N/A</v>
      </c>
      <c r="AF333" s="230" t="e">
        <f>T333-HLOOKUP(V333,Minimas!$C$3:$CD$12,6,FALSE)</f>
        <v>#N/A</v>
      </c>
      <c r="AG333" s="230" t="e">
        <f>T333-HLOOKUP(V333,Minimas!$C$3:$CD$12,7,FALSE)</f>
        <v>#N/A</v>
      </c>
      <c r="AH333" s="230" t="e">
        <f>T333-HLOOKUP(V333,Minimas!$C$3:$CD$12,8,FALSE)</f>
        <v>#N/A</v>
      </c>
      <c r="AI333" s="230" t="e">
        <f>T333-HLOOKUP(V333,Minimas!$C$3:$CD$12,9,FALSE)</f>
        <v>#N/A</v>
      </c>
      <c r="AJ333" s="230" t="e">
        <f>T333-HLOOKUP(V333,Minimas!$C$3:$CD$12,10,FALSE)</f>
        <v>#N/A</v>
      </c>
      <c r="AK333" s="231" t="str">
        <f t="shared" si="109"/>
        <v xml:space="preserve"> </v>
      </c>
      <c r="AL333" s="232"/>
      <c r="AM333" s="232" t="str">
        <f t="shared" si="110"/>
        <v xml:space="preserve"> </v>
      </c>
      <c r="AN333" s="232" t="str">
        <f t="shared" si="111"/>
        <v xml:space="preserve"> </v>
      </c>
    </row>
    <row r="334" spans="28:40" ht="14" x14ac:dyDescent="0.25">
      <c r="AB334" s="230" t="e">
        <f>T334-HLOOKUP(V334,Minimas!$C$3:$CD$12,2,FALSE)</f>
        <v>#N/A</v>
      </c>
      <c r="AC334" s="230" t="e">
        <f>T334-HLOOKUP(V334,Minimas!$C$3:$CD$12,3,FALSE)</f>
        <v>#N/A</v>
      </c>
      <c r="AD334" s="230" t="e">
        <f>T334-HLOOKUP(V334,Minimas!$C$3:$CD$12,4,FALSE)</f>
        <v>#N/A</v>
      </c>
      <c r="AE334" s="230" t="e">
        <f>T334-HLOOKUP(V334,Minimas!$C$3:$CD$12,5,FALSE)</f>
        <v>#N/A</v>
      </c>
      <c r="AF334" s="230" t="e">
        <f>T334-HLOOKUP(V334,Minimas!$C$3:$CD$12,6,FALSE)</f>
        <v>#N/A</v>
      </c>
      <c r="AG334" s="230" t="e">
        <f>T334-HLOOKUP(V334,Minimas!$C$3:$CD$12,7,FALSE)</f>
        <v>#N/A</v>
      </c>
      <c r="AH334" s="230" t="e">
        <f>T334-HLOOKUP(V334,Minimas!$C$3:$CD$12,8,FALSE)</f>
        <v>#N/A</v>
      </c>
      <c r="AI334" s="230" t="e">
        <f>T334-HLOOKUP(V334,Minimas!$C$3:$CD$12,9,FALSE)</f>
        <v>#N/A</v>
      </c>
      <c r="AJ334" s="230" t="e">
        <f>T334-HLOOKUP(V334,Minimas!$C$3:$CD$12,10,FALSE)</f>
        <v>#N/A</v>
      </c>
      <c r="AK334" s="231" t="str">
        <f t="shared" si="109"/>
        <v xml:space="preserve"> </v>
      </c>
      <c r="AL334" s="232"/>
      <c r="AM334" s="232" t="str">
        <f t="shared" si="110"/>
        <v xml:space="preserve"> </v>
      </c>
      <c r="AN334" s="232" t="str">
        <f t="shared" si="111"/>
        <v xml:space="preserve"> </v>
      </c>
    </row>
    <row r="335" spans="28:40" ht="14" x14ac:dyDescent="0.25">
      <c r="AB335" s="230" t="e">
        <f>T335-HLOOKUP(V335,Minimas!$C$3:$CD$12,2,FALSE)</f>
        <v>#N/A</v>
      </c>
      <c r="AC335" s="230" t="e">
        <f>T335-HLOOKUP(V335,Minimas!$C$3:$CD$12,3,FALSE)</f>
        <v>#N/A</v>
      </c>
      <c r="AD335" s="230" t="e">
        <f>T335-HLOOKUP(V335,Minimas!$C$3:$CD$12,4,FALSE)</f>
        <v>#N/A</v>
      </c>
      <c r="AE335" s="230" t="e">
        <f>T335-HLOOKUP(V335,Minimas!$C$3:$CD$12,5,FALSE)</f>
        <v>#N/A</v>
      </c>
      <c r="AF335" s="230" t="e">
        <f>T335-HLOOKUP(V335,Minimas!$C$3:$CD$12,6,FALSE)</f>
        <v>#N/A</v>
      </c>
      <c r="AG335" s="230" t="e">
        <f>T335-HLOOKUP(V335,Minimas!$C$3:$CD$12,7,FALSE)</f>
        <v>#N/A</v>
      </c>
      <c r="AH335" s="230" t="e">
        <f>T335-HLOOKUP(V335,Minimas!$C$3:$CD$12,8,FALSE)</f>
        <v>#N/A</v>
      </c>
      <c r="AI335" s="230" t="e">
        <f>T335-HLOOKUP(V335,Minimas!$C$3:$CD$12,9,FALSE)</f>
        <v>#N/A</v>
      </c>
      <c r="AJ335" s="230" t="e">
        <f>T335-HLOOKUP(V335,Minimas!$C$3:$CD$12,10,FALSE)</f>
        <v>#N/A</v>
      </c>
      <c r="AK335" s="231" t="str">
        <f t="shared" si="109"/>
        <v xml:space="preserve"> </v>
      </c>
      <c r="AL335" s="232"/>
      <c r="AM335" s="232" t="str">
        <f t="shared" si="110"/>
        <v xml:space="preserve"> </v>
      </c>
      <c r="AN335" s="232" t="str">
        <f t="shared" si="111"/>
        <v xml:space="preserve"> </v>
      </c>
    </row>
    <row r="336" spans="28:40" ht="14" x14ac:dyDescent="0.25">
      <c r="AB336" s="230" t="e">
        <f>T336-HLOOKUP(V336,Minimas!$C$3:$CD$12,2,FALSE)</f>
        <v>#N/A</v>
      </c>
      <c r="AC336" s="230" t="e">
        <f>T336-HLOOKUP(V336,Minimas!$C$3:$CD$12,3,FALSE)</f>
        <v>#N/A</v>
      </c>
      <c r="AD336" s="230" t="e">
        <f>T336-HLOOKUP(V336,Minimas!$C$3:$CD$12,4,FALSE)</f>
        <v>#N/A</v>
      </c>
      <c r="AE336" s="230" t="e">
        <f>T336-HLOOKUP(V336,Minimas!$C$3:$CD$12,5,FALSE)</f>
        <v>#N/A</v>
      </c>
      <c r="AF336" s="230" t="e">
        <f>T336-HLOOKUP(V336,Minimas!$C$3:$CD$12,6,FALSE)</f>
        <v>#N/A</v>
      </c>
      <c r="AG336" s="230" t="e">
        <f>T336-HLOOKUP(V336,Minimas!$C$3:$CD$12,7,FALSE)</f>
        <v>#N/A</v>
      </c>
      <c r="AH336" s="230" t="e">
        <f>T336-HLOOKUP(V336,Minimas!$C$3:$CD$12,8,FALSE)</f>
        <v>#N/A</v>
      </c>
      <c r="AI336" s="230" t="e">
        <f>T336-HLOOKUP(V336,Minimas!$C$3:$CD$12,9,FALSE)</f>
        <v>#N/A</v>
      </c>
      <c r="AJ336" s="230" t="e">
        <f>T336-HLOOKUP(V336,Minimas!$C$3:$CD$12,10,FALSE)</f>
        <v>#N/A</v>
      </c>
      <c r="AK336" s="231" t="str">
        <f t="shared" si="109"/>
        <v xml:space="preserve"> </v>
      </c>
      <c r="AL336" s="232"/>
      <c r="AM336" s="232" t="str">
        <f t="shared" si="110"/>
        <v xml:space="preserve"> </v>
      </c>
      <c r="AN336" s="232" t="str">
        <f t="shared" si="111"/>
        <v xml:space="preserve"> </v>
      </c>
    </row>
    <row r="337" spans="28:40" ht="14" x14ac:dyDescent="0.25">
      <c r="AB337" s="230" t="e">
        <f>T337-HLOOKUP(V337,Minimas!$C$3:$CD$12,2,FALSE)</f>
        <v>#N/A</v>
      </c>
      <c r="AC337" s="230" t="e">
        <f>T337-HLOOKUP(V337,Minimas!$C$3:$CD$12,3,FALSE)</f>
        <v>#N/A</v>
      </c>
      <c r="AD337" s="230" t="e">
        <f>T337-HLOOKUP(V337,Minimas!$C$3:$CD$12,4,FALSE)</f>
        <v>#N/A</v>
      </c>
      <c r="AE337" s="230" t="e">
        <f>T337-HLOOKUP(V337,Minimas!$C$3:$CD$12,5,FALSE)</f>
        <v>#N/A</v>
      </c>
      <c r="AF337" s="230" t="e">
        <f>T337-HLOOKUP(V337,Minimas!$C$3:$CD$12,6,FALSE)</f>
        <v>#N/A</v>
      </c>
      <c r="AG337" s="230" t="e">
        <f>T337-HLOOKUP(V337,Minimas!$C$3:$CD$12,7,FALSE)</f>
        <v>#N/A</v>
      </c>
      <c r="AH337" s="230" t="e">
        <f>T337-HLOOKUP(V337,Minimas!$C$3:$CD$12,8,FALSE)</f>
        <v>#N/A</v>
      </c>
      <c r="AI337" s="230" t="e">
        <f>T337-HLOOKUP(V337,Minimas!$C$3:$CD$12,9,FALSE)</f>
        <v>#N/A</v>
      </c>
      <c r="AJ337" s="230" t="e">
        <f>T337-HLOOKUP(V337,Minimas!$C$3:$CD$12,10,FALSE)</f>
        <v>#N/A</v>
      </c>
      <c r="AK337" s="231" t="str">
        <f t="shared" si="109"/>
        <v xml:space="preserve"> </v>
      </c>
      <c r="AL337" s="232"/>
      <c r="AM337" s="232" t="str">
        <f t="shared" si="110"/>
        <v xml:space="preserve"> </v>
      </c>
      <c r="AN337" s="232" t="str">
        <f t="shared" si="111"/>
        <v xml:space="preserve"> </v>
      </c>
    </row>
    <row r="338" spans="28:40" ht="14" x14ac:dyDescent="0.25">
      <c r="AB338" s="230" t="e">
        <f>T338-HLOOKUP(V338,Minimas!$C$3:$CD$12,2,FALSE)</f>
        <v>#N/A</v>
      </c>
      <c r="AC338" s="230" t="e">
        <f>T338-HLOOKUP(V338,Minimas!$C$3:$CD$12,3,FALSE)</f>
        <v>#N/A</v>
      </c>
      <c r="AD338" s="230" t="e">
        <f>T338-HLOOKUP(V338,Minimas!$C$3:$CD$12,4,FALSE)</f>
        <v>#N/A</v>
      </c>
      <c r="AE338" s="230" t="e">
        <f>T338-HLOOKUP(V338,Minimas!$C$3:$CD$12,5,FALSE)</f>
        <v>#N/A</v>
      </c>
      <c r="AF338" s="230" t="e">
        <f>T338-HLOOKUP(V338,Minimas!$C$3:$CD$12,6,FALSE)</f>
        <v>#N/A</v>
      </c>
      <c r="AG338" s="230" t="e">
        <f>T338-HLOOKUP(V338,Minimas!$C$3:$CD$12,7,FALSE)</f>
        <v>#N/A</v>
      </c>
      <c r="AH338" s="230" t="e">
        <f>T338-HLOOKUP(V338,Minimas!$C$3:$CD$12,8,FALSE)</f>
        <v>#N/A</v>
      </c>
      <c r="AI338" s="230" t="e">
        <f>T338-HLOOKUP(V338,Minimas!$C$3:$CD$12,9,FALSE)</f>
        <v>#N/A</v>
      </c>
      <c r="AJ338" s="230" t="e">
        <f>T338-HLOOKUP(V338,Minimas!$C$3:$CD$12,10,FALSE)</f>
        <v>#N/A</v>
      </c>
      <c r="AK338" s="231" t="str">
        <f t="shared" si="109"/>
        <v xml:space="preserve"> </v>
      </c>
      <c r="AL338" s="232"/>
      <c r="AM338" s="232" t="str">
        <f t="shared" si="110"/>
        <v xml:space="preserve"> </v>
      </c>
      <c r="AN338" s="232" t="str">
        <f t="shared" si="111"/>
        <v xml:space="preserve"> </v>
      </c>
    </row>
    <row r="339" spans="28:40" ht="14" x14ac:dyDescent="0.25">
      <c r="AB339" s="230" t="e">
        <f>T339-HLOOKUP(V339,Minimas!$C$3:$CD$12,2,FALSE)</f>
        <v>#N/A</v>
      </c>
      <c r="AC339" s="230" t="e">
        <f>T339-HLOOKUP(V339,Minimas!$C$3:$CD$12,3,FALSE)</f>
        <v>#N/A</v>
      </c>
      <c r="AD339" s="230" t="e">
        <f>T339-HLOOKUP(V339,Minimas!$C$3:$CD$12,4,FALSE)</f>
        <v>#N/A</v>
      </c>
      <c r="AE339" s="230" t="e">
        <f>T339-HLOOKUP(V339,Minimas!$C$3:$CD$12,5,FALSE)</f>
        <v>#N/A</v>
      </c>
      <c r="AF339" s="230" t="e">
        <f>T339-HLOOKUP(V339,Minimas!$C$3:$CD$12,6,FALSE)</f>
        <v>#N/A</v>
      </c>
      <c r="AG339" s="230" t="e">
        <f>T339-HLOOKUP(V339,Minimas!$C$3:$CD$12,7,FALSE)</f>
        <v>#N/A</v>
      </c>
      <c r="AH339" s="230" t="e">
        <f>T339-HLOOKUP(V339,Minimas!$C$3:$CD$12,8,FALSE)</f>
        <v>#N/A</v>
      </c>
      <c r="AI339" s="230" t="e">
        <f>T339-HLOOKUP(V339,Minimas!$C$3:$CD$12,9,FALSE)</f>
        <v>#N/A</v>
      </c>
      <c r="AJ339" s="230" t="e">
        <f>T339-HLOOKUP(V339,Minimas!$C$3:$CD$12,10,FALSE)</f>
        <v>#N/A</v>
      </c>
      <c r="AK339" s="231" t="str">
        <f t="shared" si="109"/>
        <v xml:space="preserve"> </v>
      </c>
      <c r="AL339" s="232"/>
      <c r="AM339" s="232" t="str">
        <f t="shared" si="110"/>
        <v xml:space="preserve"> </v>
      </c>
      <c r="AN339" s="232" t="str">
        <f t="shared" si="111"/>
        <v xml:space="preserve"> </v>
      </c>
    </row>
    <row r="340" spans="28:40" ht="14" x14ac:dyDescent="0.25">
      <c r="AB340" s="230" t="e">
        <f>T340-HLOOKUP(V340,Minimas!$C$3:$CD$12,2,FALSE)</f>
        <v>#N/A</v>
      </c>
      <c r="AC340" s="230" t="e">
        <f>T340-HLOOKUP(V340,Minimas!$C$3:$CD$12,3,FALSE)</f>
        <v>#N/A</v>
      </c>
      <c r="AD340" s="230" t="e">
        <f>T340-HLOOKUP(V340,Minimas!$C$3:$CD$12,4,FALSE)</f>
        <v>#N/A</v>
      </c>
      <c r="AE340" s="230" t="e">
        <f>T340-HLOOKUP(V340,Minimas!$C$3:$CD$12,5,FALSE)</f>
        <v>#N/A</v>
      </c>
      <c r="AF340" s="230" t="e">
        <f>T340-HLOOKUP(V340,Minimas!$C$3:$CD$12,6,FALSE)</f>
        <v>#N/A</v>
      </c>
      <c r="AG340" s="230" t="e">
        <f>T340-HLOOKUP(V340,Minimas!$C$3:$CD$12,7,FALSE)</f>
        <v>#N/A</v>
      </c>
      <c r="AH340" s="230" t="e">
        <f>T340-HLOOKUP(V340,Minimas!$C$3:$CD$12,8,FALSE)</f>
        <v>#N/A</v>
      </c>
      <c r="AI340" s="230" t="e">
        <f>T340-HLOOKUP(V340,Minimas!$C$3:$CD$12,9,FALSE)</f>
        <v>#N/A</v>
      </c>
      <c r="AJ340" s="230" t="e">
        <f>T340-HLOOKUP(V340,Minimas!$C$3:$CD$12,10,FALSE)</f>
        <v>#N/A</v>
      </c>
      <c r="AK340" s="231" t="str">
        <f t="shared" si="109"/>
        <v xml:space="preserve"> </v>
      </c>
      <c r="AL340" s="232"/>
      <c r="AM340" s="232" t="str">
        <f t="shared" si="110"/>
        <v xml:space="preserve"> </v>
      </c>
      <c r="AN340" s="232" t="str">
        <f t="shared" si="111"/>
        <v xml:space="preserve"> </v>
      </c>
    </row>
    <row r="341" spans="28:40" ht="14" x14ac:dyDescent="0.25">
      <c r="AB341" s="230" t="e">
        <f>T341-HLOOKUP(V341,Minimas!$C$3:$CD$12,2,FALSE)</f>
        <v>#N/A</v>
      </c>
      <c r="AC341" s="230" t="e">
        <f>T341-HLOOKUP(V341,Minimas!$C$3:$CD$12,3,FALSE)</f>
        <v>#N/A</v>
      </c>
      <c r="AD341" s="230" t="e">
        <f>T341-HLOOKUP(V341,Minimas!$C$3:$CD$12,4,FALSE)</f>
        <v>#N/A</v>
      </c>
      <c r="AE341" s="230" t="e">
        <f>T341-HLOOKUP(V341,Minimas!$C$3:$CD$12,5,FALSE)</f>
        <v>#N/A</v>
      </c>
      <c r="AF341" s="230" t="e">
        <f>T341-HLOOKUP(V341,Minimas!$C$3:$CD$12,6,FALSE)</f>
        <v>#N/A</v>
      </c>
      <c r="AG341" s="230" t="e">
        <f>T341-HLOOKUP(V341,Minimas!$C$3:$CD$12,7,FALSE)</f>
        <v>#N/A</v>
      </c>
      <c r="AH341" s="230" t="e">
        <f>T341-HLOOKUP(V341,Minimas!$C$3:$CD$12,8,FALSE)</f>
        <v>#N/A</v>
      </c>
      <c r="AI341" s="230" t="e">
        <f>T341-HLOOKUP(V341,Minimas!$C$3:$CD$12,9,FALSE)</f>
        <v>#N/A</v>
      </c>
      <c r="AJ341" s="230" t="e">
        <f>T341-HLOOKUP(V341,Minimas!$C$3:$CD$12,10,FALSE)</f>
        <v>#N/A</v>
      </c>
      <c r="AK341" s="231" t="str">
        <f t="shared" si="109"/>
        <v xml:space="preserve"> </v>
      </c>
      <c r="AL341" s="232"/>
      <c r="AM341" s="232" t="str">
        <f t="shared" si="110"/>
        <v xml:space="preserve"> </v>
      </c>
      <c r="AN341" s="232" t="str">
        <f t="shared" si="111"/>
        <v xml:space="preserve"> </v>
      </c>
    </row>
    <row r="342" spans="28:40" ht="14" x14ac:dyDescent="0.25">
      <c r="AB342" s="230" t="e">
        <f>T342-HLOOKUP(V342,Minimas!$C$3:$CD$12,2,FALSE)</f>
        <v>#N/A</v>
      </c>
      <c r="AC342" s="230" t="e">
        <f>T342-HLOOKUP(V342,Minimas!$C$3:$CD$12,3,FALSE)</f>
        <v>#N/A</v>
      </c>
      <c r="AD342" s="230" t="e">
        <f>T342-HLOOKUP(V342,Minimas!$C$3:$CD$12,4,FALSE)</f>
        <v>#N/A</v>
      </c>
      <c r="AE342" s="230" t="e">
        <f>T342-HLOOKUP(V342,Minimas!$C$3:$CD$12,5,FALSE)</f>
        <v>#N/A</v>
      </c>
      <c r="AF342" s="230" t="e">
        <f>T342-HLOOKUP(V342,Minimas!$C$3:$CD$12,6,FALSE)</f>
        <v>#N/A</v>
      </c>
      <c r="AG342" s="230" t="e">
        <f>T342-HLOOKUP(V342,Minimas!$C$3:$CD$12,7,FALSE)</f>
        <v>#N/A</v>
      </c>
      <c r="AH342" s="230" t="e">
        <f>T342-HLOOKUP(V342,Minimas!$C$3:$CD$12,8,FALSE)</f>
        <v>#N/A</v>
      </c>
      <c r="AI342" s="230" t="e">
        <f>T342-HLOOKUP(V342,Minimas!$C$3:$CD$12,9,FALSE)</f>
        <v>#N/A</v>
      </c>
      <c r="AJ342" s="230" t="e">
        <f>T342-HLOOKUP(V342,Minimas!$C$3:$CD$12,10,FALSE)</f>
        <v>#N/A</v>
      </c>
      <c r="AK342" s="231" t="str">
        <f t="shared" si="109"/>
        <v xml:space="preserve"> </v>
      </c>
      <c r="AL342" s="232"/>
      <c r="AM342" s="232" t="str">
        <f t="shared" si="110"/>
        <v xml:space="preserve"> </v>
      </c>
      <c r="AN342" s="232" t="str">
        <f t="shared" si="111"/>
        <v xml:space="preserve"> </v>
      </c>
    </row>
    <row r="343" spans="28:40" ht="14" x14ac:dyDescent="0.25">
      <c r="AB343" s="230" t="e">
        <f>T343-HLOOKUP(V343,Minimas!$C$3:$CD$12,2,FALSE)</f>
        <v>#N/A</v>
      </c>
      <c r="AC343" s="230" t="e">
        <f>T343-HLOOKUP(V343,Minimas!$C$3:$CD$12,3,FALSE)</f>
        <v>#N/A</v>
      </c>
      <c r="AD343" s="230" t="e">
        <f>T343-HLOOKUP(V343,Minimas!$C$3:$CD$12,4,FALSE)</f>
        <v>#N/A</v>
      </c>
      <c r="AE343" s="230" t="e">
        <f>T343-HLOOKUP(V343,Minimas!$C$3:$CD$12,5,FALSE)</f>
        <v>#N/A</v>
      </c>
      <c r="AF343" s="230" t="e">
        <f>T343-HLOOKUP(V343,Minimas!$C$3:$CD$12,6,FALSE)</f>
        <v>#N/A</v>
      </c>
      <c r="AG343" s="230" t="e">
        <f>T343-HLOOKUP(V343,Minimas!$C$3:$CD$12,7,FALSE)</f>
        <v>#N/A</v>
      </c>
      <c r="AH343" s="230" t="e">
        <f>T343-HLOOKUP(V343,Minimas!$C$3:$CD$12,8,FALSE)</f>
        <v>#N/A</v>
      </c>
      <c r="AI343" s="230" t="e">
        <f>T343-HLOOKUP(V343,Minimas!$C$3:$CD$12,9,FALSE)</f>
        <v>#N/A</v>
      </c>
      <c r="AJ343" s="230" t="e">
        <f>T343-HLOOKUP(V343,Minimas!$C$3:$CD$12,10,FALSE)</f>
        <v>#N/A</v>
      </c>
      <c r="AK343" s="231" t="str">
        <f t="shared" si="109"/>
        <v xml:space="preserve"> </v>
      </c>
      <c r="AL343" s="232"/>
      <c r="AM343" s="232" t="str">
        <f t="shared" si="110"/>
        <v xml:space="preserve"> </v>
      </c>
      <c r="AN343" s="232" t="str">
        <f t="shared" si="111"/>
        <v xml:space="preserve"> </v>
      </c>
    </row>
    <row r="344" spans="28:40" ht="14" x14ac:dyDescent="0.25">
      <c r="AB344" s="230" t="e">
        <f>T344-HLOOKUP(V344,Minimas!$C$3:$CD$12,2,FALSE)</f>
        <v>#N/A</v>
      </c>
      <c r="AC344" s="230" t="e">
        <f>T344-HLOOKUP(V344,Minimas!$C$3:$CD$12,3,FALSE)</f>
        <v>#N/A</v>
      </c>
      <c r="AD344" s="230" t="e">
        <f>T344-HLOOKUP(V344,Minimas!$C$3:$CD$12,4,FALSE)</f>
        <v>#N/A</v>
      </c>
      <c r="AE344" s="230" t="e">
        <f>T344-HLOOKUP(V344,Minimas!$C$3:$CD$12,5,FALSE)</f>
        <v>#N/A</v>
      </c>
      <c r="AF344" s="230" t="e">
        <f>T344-HLOOKUP(V344,Minimas!$C$3:$CD$12,6,FALSE)</f>
        <v>#N/A</v>
      </c>
      <c r="AG344" s="230" t="e">
        <f>T344-HLOOKUP(V344,Minimas!$C$3:$CD$12,7,FALSE)</f>
        <v>#N/A</v>
      </c>
      <c r="AH344" s="230" t="e">
        <f>T344-HLOOKUP(V344,Minimas!$C$3:$CD$12,8,FALSE)</f>
        <v>#N/A</v>
      </c>
      <c r="AI344" s="230" t="e">
        <f>T344-HLOOKUP(V344,Minimas!$C$3:$CD$12,9,FALSE)</f>
        <v>#N/A</v>
      </c>
      <c r="AJ344" s="230" t="e">
        <f>T344-HLOOKUP(V344,Minimas!$C$3:$CD$12,10,FALSE)</f>
        <v>#N/A</v>
      </c>
      <c r="AK344" s="231" t="str">
        <f t="shared" si="109"/>
        <v xml:space="preserve"> </v>
      </c>
      <c r="AL344" s="232"/>
      <c r="AM344" s="232" t="str">
        <f t="shared" si="110"/>
        <v xml:space="preserve"> </v>
      </c>
      <c r="AN344" s="232" t="str">
        <f t="shared" si="111"/>
        <v xml:space="preserve"> </v>
      </c>
    </row>
    <row r="345" spans="28:40" ht="14" x14ac:dyDescent="0.25">
      <c r="AB345" s="230" t="e">
        <f>T345-HLOOKUP(V345,Minimas!$C$3:$CD$12,2,FALSE)</f>
        <v>#N/A</v>
      </c>
      <c r="AC345" s="230" t="e">
        <f>T345-HLOOKUP(V345,Minimas!$C$3:$CD$12,3,FALSE)</f>
        <v>#N/A</v>
      </c>
      <c r="AD345" s="230" t="e">
        <f>T345-HLOOKUP(V345,Minimas!$C$3:$CD$12,4,FALSE)</f>
        <v>#N/A</v>
      </c>
      <c r="AE345" s="230" t="e">
        <f>T345-HLOOKUP(V345,Minimas!$C$3:$CD$12,5,FALSE)</f>
        <v>#N/A</v>
      </c>
      <c r="AF345" s="230" t="e">
        <f>T345-HLOOKUP(V345,Minimas!$C$3:$CD$12,6,FALSE)</f>
        <v>#N/A</v>
      </c>
      <c r="AG345" s="230" t="e">
        <f>T345-HLOOKUP(V345,Minimas!$C$3:$CD$12,7,FALSE)</f>
        <v>#N/A</v>
      </c>
      <c r="AH345" s="230" t="e">
        <f>T345-HLOOKUP(V345,Minimas!$C$3:$CD$12,8,FALSE)</f>
        <v>#N/A</v>
      </c>
      <c r="AI345" s="230" t="e">
        <f>T345-HLOOKUP(V345,Minimas!$C$3:$CD$12,9,FALSE)</f>
        <v>#N/A</v>
      </c>
      <c r="AJ345" s="230" t="e">
        <f>T345-HLOOKUP(V345,Minimas!$C$3:$CD$12,10,FALSE)</f>
        <v>#N/A</v>
      </c>
      <c r="AK345" s="231" t="str">
        <f t="shared" si="109"/>
        <v xml:space="preserve"> </v>
      </c>
      <c r="AL345" s="232"/>
      <c r="AM345" s="232" t="str">
        <f t="shared" si="110"/>
        <v xml:space="preserve"> </v>
      </c>
      <c r="AN345" s="232" t="str">
        <f t="shared" si="111"/>
        <v xml:space="preserve"> </v>
      </c>
    </row>
    <row r="346" spans="28:40" ht="14" x14ac:dyDescent="0.25">
      <c r="AB346" s="230" t="e">
        <f>T346-HLOOKUP(V346,Minimas!$C$3:$CD$12,2,FALSE)</f>
        <v>#N/A</v>
      </c>
      <c r="AC346" s="230" t="e">
        <f>T346-HLOOKUP(V346,Minimas!$C$3:$CD$12,3,FALSE)</f>
        <v>#N/A</v>
      </c>
      <c r="AD346" s="230" t="e">
        <f>T346-HLOOKUP(V346,Minimas!$C$3:$CD$12,4,FALSE)</f>
        <v>#N/A</v>
      </c>
      <c r="AE346" s="230" t="e">
        <f>T346-HLOOKUP(V346,Minimas!$C$3:$CD$12,5,FALSE)</f>
        <v>#N/A</v>
      </c>
      <c r="AF346" s="230" t="e">
        <f>T346-HLOOKUP(V346,Minimas!$C$3:$CD$12,6,FALSE)</f>
        <v>#N/A</v>
      </c>
      <c r="AG346" s="230" t="e">
        <f>T346-HLOOKUP(V346,Minimas!$C$3:$CD$12,7,FALSE)</f>
        <v>#N/A</v>
      </c>
      <c r="AH346" s="230" t="e">
        <f>T346-HLOOKUP(V346,Minimas!$C$3:$CD$12,8,FALSE)</f>
        <v>#N/A</v>
      </c>
      <c r="AI346" s="230" t="e">
        <f>T346-HLOOKUP(V346,Minimas!$C$3:$CD$12,9,FALSE)</f>
        <v>#N/A</v>
      </c>
      <c r="AJ346" s="230" t="e">
        <f>T346-HLOOKUP(V346,Minimas!$C$3:$CD$12,10,FALSE)</f>
        <v>#N/A</v>
      </c>
      <c r="AK346" s="231" t="str">
        <f t="shared" si="109"/>
        <v xml:space="preserve"> </v>
      </c>
      <c r="AL346" s="232"/>
      <c r="AM346" s="232" t="str">
        <f t="shared" si="110"/>
        <v xml:space="preserve"> </v>
      </c>
      <c r="AN346" s="232" t="str">
        <f t="shared" si="111"/>
        <v xml:space="preserve"> </v>
      </c>
    </row>
    <row r="347" spans="28:40" ht="14" x14ac:dyDescent="0.25">
      <c r="AB347" s="230" t="e">
        <f>T347-HLOOKUP(V347,Minimas!$C$3:$CD$12,2,FALSE)</f>
        <v>#N/A</v>
      </c>
      <c r="AC347" s="230" t="e">
        <f>T347-HLOOKUP(V347,Minimas!$C$3:$CD$12,3,FALSE)</f>
        <v>#N/A</v>
      </c>
      <c r="AD347" s="230" t="e">
        <f>T347-HLOOKUP(V347,Minimas!$C$3:$CD$12,4,FALSE)</f>
        <v>#N/A</v>
      </c>
      <c r="AE347" s="230" t="e">
        <f>T347-HLOOKUP(V347,Minimas!$C$3:$CD$12,5,FALSE)</f>
        <v>#N/A</v>
      </c>
      <c r="AF347" s="230" t="e">
        <f>T347-HLOOKUP(V347,Minimas!$C$3:$CD$12,6,FALSE)</f>
        <v>#N/A</v>
      </c>
      <c r="AG347" s="230" t="e">
        <f>T347-HLOOKUP(V347,Minimas!$C$3:$CD$12,7,FALSE)</f>
        <v>#N/A</v>
      </c>
      <c r="AH347" s="230" t="e">
        <f>T347-HLOOKUP(V347,Minimas!$C$3:$CD$12,8,FALSE)</f>
        <v>#N/A</v>
      </c>
      <c r="AI347" s="230" t="e">
        <f>T347-HLOOKUP(V347,Minimas!$C$3:$CD$12,9,FALSE)</f>
        <v>#N/A</v>
      </c>
      <c r="AJ347" s="230" t="e">
        <f>T347-HLOOKUP(V347,Minimas!$C$3:$CD$12,10,FALSE)</f>
        <v>#N/A</v>
      </c>
      <c r="AK347" s="231" t="str">
        <f t="shared" si="109"/>
        <v xml:space="preserve"> </v>
      </c>
      <c r="AL347" s="232"/>
      <c r="AM347" s="232" t="str">
        <f t="shared" si="110"/>
        <v xml:space="preserve"> </v>
      </c>
      <c r="AN347" s="232" t="str">
        <f t="shared" si="111"/>
        <v xml:space="preserve"> </v>
      </c>
    </row>
    <row r="348" spans="28:40" ht="14" x14ac:dyDescent="0.25">
      <c r="AB348" s="230" t="e">
        <f>T348-HLOOKUP(V348,Minimas!$C$3:$CD$12,2,FALSE)</f>
        <v>#N/A</v>
      </c>
      <c r="AC348" s="230" t="e">
        <f>T348-HLOOKUP(V348,Minimas!$C$3:$CD$12,3,FALSE)</f>
        <v>#N/A</v>
      </c>
      <c r="AD348" s="230" t="e">
        <f>T348-HLOOKUP(V348,Minimas!$C$3:$CD$12,4,FALSE)</f>
        <v>#N/A</v>
      </c>
      <c r="AE348" s="230" t="e">
        <f>T348-HLOOKUP(V348,Minimas!$C$3:$CD$12,5,FALSE)</f>
        <v>#N/A</v>
      </c>
      <c r="AF348" s="230" t="e">
        <f>T348-HLOOKUP(V348,Minimas!$C$3:$CD$12,6,FALSE)</f>
        <v>#N/A</v>
      </c>
      <c r="AG348" s="230" t="e">
        <f>T348-HLOOKUP(V348,Minimas!$C$3:$CD$12,7,FALSE)</f>
        <v>#N/A</v>
      </c>
      <c r="AH348" s="230" t="e">
        <f>T348-HLOOKUP(V348,Minimas!$C$3:$CD$12,8,FALSE)</f>
        <v>#N/A</v>
      </c>
      <c r="AI348" s="230" t="e">
        <f>T348-HLOOKUP(V348,Minimas!$C$3:$CD$12,9,FALSE)</f>
        <v>#N/A</v>
      </c>
      <c r="AJ348" s="230" t="e">
        <f>T348-HLOOKUP(V348,Minimas!$C$3:$CD$12,10,FALSE)</f>
        <v>#N/A</v>
      </c>
      <c r="AK348" s="231" t="str">
        <f t="shared" si="109"/>
        <v xml:space="preserve"> </v>
      </c>
      <c r="AL348" s="232"/>
      <c r="AM348" s="232" t="str">
        <f t="shared" si="110"/>
        <v xml:space="preserve"> </v>
      </c>
      <c r="AN348" s="232" t="str">
        <f t="shared" si="111"/>
        <v xml:space="preserve"> </v>
      </c>
    </row>
    <row r="349" spans="28:40" ht="14" x14ac:dyDescent="0.25">
      <c r="AB349" s="230" t="e">
        <f>T349-HLOOKUP(V349,Minimas!$C$3:$CD$12,2,FALSE)</f>
        <v>#N/A</v>
      </c>
      <c r="AC349" s="230" t="e">
        <f>T349-HLOOKUP(V349,Minimas!$C$3:$CD$12,3,FALSE)</f>
        <v>#N/A</v>
      </c>
      <c r="AD349" s="230" t="e">
        <f>T349-HLOOKUP(V349,Minimas!$C$3:$CD$12,4,FALSE)</f>
        <v>#N/A</v>
      </c>
      <c r="AE349" s="230" t="e">
        <f>T349-HLOOKUP(V349,Minimas!$C$3:$CD$12,5,FALSE)</f>
        <v>#N/A</v>
      </c>
      <c r="AF349" s="230" t="e">
        <f>T349-HLOOKUP(V349,Minimas!$C$3:$CD$12,6,FALSE)</f>
        <v>#N/A</v>
      </c>
      <c r="AG349" s="230" t="e">
        <f>T349-HLOOKUP(V349,Minimas!$C$3:$CD$12,7,FALSE)</f>
        <v>#N/A</v>
      </c>
      <c r="AH349" s="230" t="e">
        <f>T349-HLOOKUP(V349,Minimas!$C$3:$CD$12,8,FALSE)</f>
        <v>#N/A</v>
      </c>
      <c r="AI349" s="230" t="e">
        <f>T349-HLOOKUP(V349,Minimas!$C$3:$CD$12,9,FALSE)</f>
        <v>#N/A</v>
      </c>
      <c r="AJ349" s="230" t="e">
        <f>T349-HLOOKUP(V349,Minimas!$C$3:$CD$12,10,FALSE)</f>
        <v>#N/A</v>
      </c>
      <c r="AK349" s="231" t="str">
        <f t="shared" si="109"/>
        <v xml:space="preserve"> </v>
      </c>
      <c r="AL349" s="232"/>
      <c r="AM349" s="232" t="str">
        <f t="shared" si="110"/>
        <v xml:space="preserve"> </v>
      </c>
      <c r="AN349" s="232" t="str">
        <f t="shared" si="111"/>
        <v xml:space="preserve"> </v>
      </c>
    </row>
    <row r="350" spans="28:40" ht="14" x14ac:dyDescent="0.25">
      <c r="AB350" s="230" t="e">
        <f>T350-HLOOKUP(V350,Minimas!$C$3:$CD$12,2,FALSE)</f>
        <v>#N/A</v>
      </c>
      <c r="AC350" s="230" t="e">
        <f>T350-HLOOKUP(V350,Minimas!$C$3:$CD$12,3,FALSE)</f>
        <v>#N/A</v>
      </c>
      <c r="AD350" s="230" t="e">
        <f>T350-HLOOKUP(V350,Minimas!$C$3:$CD$12,4,FALSE)</f>
        <v>#N/A</v>
      </c>
      <c r="AE350" s="230" t="e">
        <f>T350-HLOOKUP(V350,Minimas!$C$3:$CD$12,5,FALSE)</f>
        <v>#N/A</v>
      </c>
      <c r="AF350" s="230" t="e">
        <f>T350-HLOOKUP(V350,Minimas!$C$3:$CD$12,6,FALSE)</f>
        <v>#N/A</v>
      </c>
      <c r="AG350" s="230" t="e">
        <f>T350-HLOOKUP(V350,Minimas!$C$3:$CD$12,7,FALSE)</f>
        <v>#N/A</v>
      </c>
      <c r="AH350" s="230" t="e">
        <f>T350-HLOOKUP(V350,Minimas!$C$3:$CD$12,8,FALSE)</f>
        <v>#N/A</v>
      </c>
      <c r="AI350" s="230" t="e">
        <f>T350-HLOOKUP(V350,Minimas!$C$3:$CD$12,9,FALSE)</f>
        <v>#N/A</v>
      </c>
      <c r="AJ350" s="230" t="e">
        <f>T350-HLOOKUP(V350,Minimas!$C$3:$CD$12,10,FALSE)</f>
        <v>#N/A</v>
      </c>
      <c r="AK350" s="231" t="str">
        <f t="shared" si="109"/>
        <v xml:space="preserve"> </v>
      </c>
      <c r="AL350" s="232"/>
      <c r="AM350" s="232" t="str">
        <f t="shared" si="110"/>
        <v xml:space="preserve"> </v>
      </c>
      <c r="AN350" s="232" t="str">
        <f t="shared" si="111"/>
        <v xml:space="preserve"> </v>
      </c>
    </row>
    <row r="351" spans="28:40" ht="14" x14ac:dyDescent="0.25">
      <c r="AB351" s="230" t="e">
        <f>T351-HLOOKUP(V351,Minimas!$C$3:$CD$12,2,FALSE)</f>
        <v>#N/A</v>
      </c>
      <c r="AC351" s="230" t="e">
        <f>T351-HLOOKUP(V351,Minimas!$C$3:$CD$12,3,FALSE)</f>
        <v>#N/A</v>
      </c>
      <c r="AD351" s="230" t="e">
        <f>T351-HLOOKUP(V351,Minimas!$C$3:$CD$12,4,FALSE)</f>
        <v>#N/A</v>
      </c>
      <c r="AE351" s="230" t="e">
        <f>T351-HLOOKUP(V351,Minimas!$C$3:$CD$12,5,FALSE)</f>
        <v>#N/A</v>
      </c>
      <c r="AF351" s="230" t="e">
        <f>T351-HLOOKUP(V351,Minimas!$C$3:$CD$12,6,FALSE)</f>
        <v>#N/A</v>
      </c>
      <c r="AG351" s="230" t="e">
        <f>T351-HLOOKUP(V351,Minimas!$C$3:$CD$12,7,FALSE)</f>
        <v>#N/A</v>
      </c>
      <c r="AH351" s="230" t="e">
        <f>T351-HLOOKUP(V351,Minimas!$C$3:$CD$12,8,FALSE)</f>
        <v>#N/A</v>
      </c>
      <c r="AI351" s="230" t="e">
        <f>T351-HLOOKUP(V351,Minimas!$C$3:$CD$12,9,FALSE)</f>
        <v>#N/A</v>
      </c>
      <c r="AJ351" s="230" t="e">
        <f>T351-HLOOKUP(V351,Minimas!$C$3:$CD$12,10,FALSE)</f>
        <v>#N/A</v>
      </c>
      <c r="AK351" s="231" t="str">
        <f t="shared" si="109"/>
        <v xml:space="preserve"> </v>
      </c>
      <c r="AL351" s="232"/>
      <c r="AM351" s="232" t="str">
        <f t="shared" si="110"/>
        <v xml:space="preserve"> </v>
      </c>
      <c r="AN351" s="232" t="str">
        <f t="shared" si="111"/>
        <v xml:space="preserve"> </v>
      </c>
    </row>
    <row r="352" spans="28:40" ht="14" x14ac:dyDescent="0.25">
      <c r="AB352" s="230" t="e">
        <f>T352-HLOOKUP(V352,Minimas!$C$3:$CD$12,2,FALSE)</f>
        <v>#N/A</v>
      </c>
      <c r="AC352" s="230" t="e">
        <f>T352-HLOOKUP(V352,Minimas!$C$3:$CD$12,3,FALSE)</f>
        <v>#N/A</v>
      </c>
      <c r="AD352" s="230" t="e">
        <f>T352-HLOOKUP(V352,Minimas!$C$3:$CD$12,4,FALSE)</f>
        <v>#N/A</v>
      </c>
      <c r="AE352" s="230" t="e">
        <f>T352-HLOOKUP(V352,Minimas!$C$3:$CD$12,5,FALSE)</f>
        <v>#N/A</v>
      </c>
      <c r="AF352" s="230" t="e">
        <f>T352-HLOOKUP(V352,Minimas!$C$3:$CD$12,6,FALSE)</f>
        <v>#N/A</v>
      </c>
      <c r="AG352" s="230" t="e">
        <f>T352-HLOOKUP(V352,Minimas!$C$3:$CD$12,7,FALSE)</f>
        <v>#N/A</v>
      </c>
      <c r="AH352" s="230" t="e">
        <f>T352-HLOOKUP(V352,Minimas!$C$3:$CD$12,8,FALSE)</f>
        <v>#N/A</v>
      </c>
      <c r="AI352" s="230" t="e">
        <f>T352-HLOOKUP(V352,Minimas!$C$3:$CD$12,9,FALSE)</f>
        <v>#N/A</v>
      </c>
      <c r="AJ352" s="230" t="e">
        <f>T352-HLOOKUP(V352,Minimas!$C$3:$CD$12,10,FALSE)</f>
        <v>#N/A</v>
      </c>
      <c r="AK352" s="231" t="str">
        <f t="shared" si="109"/>
        <v xml:space="preserve"> </v>
      </c>
      <c r="AL352" s="232"/>
      <c r="AM352" s="232" t="str">
        <f t="shared" si="110"/>
        <v xml:space="preserve"> </v>
      </c>
      <c r="AN352" s="232" t="str">
        <f t="shared" si="111"/>
        <v xml:space="preserve"> </v>
      </c>
    </row>
    <row r="353" spans="28:40" ht="14" x14ac:dyDescent="0.25">
      <c r="AB353" s="230" t="e">
        <f>T353-HLOOKUP(V353,Minimas!$C$3:$CD$12,2,FALSE)</f>
        <v>#N/A</v>
      </c>
      <c r="AC353" s="230" t="e">
        <f>T353-HLOOKUP(V353,Minimas!$C$3:$CD$12,3,FALSE)</f>
        <v>#N/A</v>
      </c>
      <c r="AD353" s="230" t="e">
        <f>T353-HLOOKUP(V353,Minimas!$C$3:$CD$12,4,FALSE)</f>
        <v>#N/A</v>
      </c>
      <c r="AE353" s="230" t="e">
        <f>T353-HLOOKUP(V353,Minimas!$C$3:$CD$12,5,FALSE)</f>
        <v>#N/A</v>
      </c>
      <c r="AF353" s="230" t="e">
        <f>T353-HLOOKUP(V353,Minimas!$C$3:$CD$12,6,FALSE)</f>
        <v>#N/A</v>
      </c>
      <c r="AG353" s="230" t="e">
        <f>T353-HLOOKUP(V353,Minimas!$C$3:$CD$12,7,FALSE)</f>
        <v>#N/A</v>
      </c>
      <c r="AH353" s="230" t="e">
        <f>T353-HLOOKUP(V353,Minimas!$C$3:$CD$12,8,FALSE)</f>
        <v>#N/A</v>
      </c>
      <c r="AI353" s="230" t="e">
        <f>T353-HLOOKUP(V353,Minimas!$C$3:$CD$12,9,FALSE)</f>
        <v>#N/A</v>
      </c>
      <c r="AJ353" s="230" t="e">
        <f>T353-HLOOKUP(V353,Minimas!$C$3:$CD$12,10,FALSE)</f>
        <v>#N/A</v>
      </c>
      <c r="AK353" s="231" t="str">
        <f t="shared" si="109"/>
        <v xml:space="preserve"> </v>
      </c>
      <c r="AL353" s="232"/>
      <c r="AM353" s="232" t="str">
        <f t="shared" si="110"/>
        <v xml:space="preserve"> </v>
      </c>
      <c r="AN353" s="232" t="str">
        <f t="shared" si="111"/>
        <v xml:space="preserve"> </v>
      </c>
    </row>
    <row r="354" spans="28:40" ht="14" x14ac:dyDescent="0.25">
      <c r="AB354" s="230" t="e">
        <f>T354-HLOOKUP(V354,Minimas!$C$3:$CD$12,2,FALSE)</f>
        <v>#N/A</v>
      </c>
      <c r="AC354" s="230" t="e">
        <f>T354-HLOOKUP(V354,Minimas!$C$3:$CD$12,3,FALSE)</f>
        <v>#N/A</v>
      </c>
      <c r="AD354" s="230" t="e">
        <f>T354-HLOOKUP(V354,Minimas!$C$3:$CD$12,4,FALSE)</f>
        <v>#N/A</v>
      </c>
      <c r="AE354" s="230" t="e">
        <f>T354-HLOOKUP(V354,Minimas!$C$3:$CD$12,5,FALSE)</f>
        <v>#N/A</v>
      </c>
      <c r="AF354" s="230" t="e">
        <f>T354-HLOOKUP(V354,Minimas!$C$3:$CD$12,6,FALSE)</f>
        <v>#N/A</v>
      </c>
      <c r="AG354" s="230" t="e">
        <f>T354-HLOOKUP(V354,Minimas!$C$3:$CD$12,7,FALSE)</f>
        <v>#N/A</v>
      </c>
      <c r="AH354" s="230" t="e">
        <f>T354-HLOOKUP(V354,Minimas!$C$3:$CD$12,8,FALSE)</f>
        <v>#N/A</v>
      </c>
      <c r="AI354" s="230" t="e">
        <f>T354-HLOOKUP(V354,Minimas!$C$3:$CD$12,9,FALSE)</f>
        <v>#N/A</v>
      </c>
      <c r="AJ354" s="230" t="e">
        <f>T354-HLOOKUP(V354,Minimas!$C$3:$CD$12,10,FALSE)</f>
        <v>#N/A</v>
      </c>
      <c r="AK354" s="231" t="str">
        <f t="shared" si="109"/>
        <v xml:space="preserve"> </v>
      </c>
      <c r="AL354" s="232"/>
      <c r="AM354" s="232" t="str">
        <f t="shared" si="110"/>
        <v xml:space="preserve"> </v>
      </c>
      <c r="AN354" s="232" t="str">
        <f t="shared" si="111"/>
        <v xml:space="preserve"> </v>
      </c>
    </row>
    <row r="355" spans="28:40" ht="14" x14ac:dyDescent="0.25">
      <c r="AB355" s="230" t="e">
        <f>T355-HLOOKUP(V355,Minimas!$C$3:$CD$12,2,FALSE)</f>
        <v>#N/A</v>
      </c>
      <c r="AC355" s="230" t="e">
        <f>T355-HLOOKUP(V355,Minimas!$C$3:$CD$12,3,FALSE)</f>
        <v>#N/A</v>
      </c>
      <c r="AD355" s="230" t="e">
        <f>T355-HLOOKUP(V355,Minimas!$C$3:$CD$12,4,FALSE)</f>
        <v>#N/A</v>
      </c>
      <c r="AE355" s="230" t="e">
        <f>T355-HLOOKUP(V355,Minimas!$C$3:$CD$12,5,FALSE)</f>
        <v>#N/A</v>
      </c>
      <c r="AF355" s="230" t="e">
        <f>T355-HLOOKUP(V355,Minimas!$C$3:$CD$12,6,FALSE)</f>
        <v>#N/A</v>
      </c>
      <c r="AG355" s="230" t="e">
        <f>T355-HLOOKUP(V355,Minimas!$C$3:$CD$12,7,FALSE)</f>
        <v>#N/A</v>
      </c>
      <c r="AH355" s="230" t="e">
        <f>T355-HLOOKUP(V355,Minimas!$C$3:$CD$12,8,FALSE)</f>
        <v>#N/A</v>
      </c>
      <c r="AI355" s="230" t="e">
        <f>T355-HLOOKUP(V355,Minimas!$C$3:$CD$12,9,FALSE)</f>
        <v>#N/A</v>
      </c>
      <c r="AJ355" s="230" t="e">
        <f>T355-HLOOKUP(V355,Minimas!$C$3:$CD$12,10,FALSE)</f>
        <v>#N/A</v>
      </c>
      <c r="AK355" s="231" t="str">
        <f t="shared" si="109"/>
        <v xml:space="preserve"> </v>
      </c>
      <c r="AL355" s="232"/>
      <c r="AM355" s="232" t="str">
        <f t="shared" si="110"/>
        <v xml:space="preserve"> </v>
      </c>
      <c r="AN355" s="232" t="str">
        <f t="shared" si="111"/>
        <v xml:space="preserve"> </v>
      </c>
    </row>
    <row r="356" spans="28:40" ht="14" x14ac:dyDescent="0.25">
      <c r="AB356" s="230" t="e">
        <f>T356-HLOOKUP(V356,Minimas!$C$3:$CD$12,2,FALSE)</f>
        <v>#N/A</v>
      </c>
      <c r="AC356" s="230" t="e">
        <f>T356-HLOOKUP(V356,Minimas!$C$3:$CD$12,3,FALSE)</f>
        <v>#N/A</v>
      </c>
      <c r="AD356" s="230" t="e">
        <f>T356-HLOOKUP(V356,Minimas!$C$3:$CD$12,4,FALSE)</f>
        <v>#N/A</v>
      </c>
      <c r="AE356" s="230" t="e">
        <f>T356-HLOOKUP(V356,Minimas!$C$3:$CD$12,5,FALSE)</f>
        <v>#N/A</v>
      </c>
      <c r="AF356" s="230" t="e">
        <f>T356-HLOOKUP(V356,Minimas!$C$3:$CD$12,6,FALSE)</f>
        <v>#N/A</v>
      </c>
      <c r="AG356" s="230" t="e">
        <f>T356-HLOOKUP(V356,Minimas!$C$3:$CD$12,7,FALSE)</f>
        <v>#N/A</v>
      </c>
      <c r="AH356" s="230" t="e">
        <f>T356-HLOOKUP(V356,Minimas!$C$3:$CD$12,8,FALSE)</f>
        <v>#N/A</v>
      </c>
      <c r="AI356" s="230" t="e">
        <f>T356-HLOOKUP(V356,Minimas!$C$3:$CD$12,9,FALSE)</f>
        <v>#N/A</v>
      </c>
      <c r="AJ356" s="230" t="e">
        <f>T356-HLOOKUP(V356,Minimas!$C$3:$CD$12,10,FALSE)</f>
        <v>#N/A</v>
      </c>
      <c r="AK356" s="231" t="str">
        <f t="shared" si="109"/>
        <v xml:space="preserve"> </v>
      </c>
      <c r="AL356" s="232"/>
      <c r="AM356" s="232" t="str">
        <f t="shared" si="110"/>
        <v xml:space="preserve"> </v>
      </c>
      <c r="AN356" s="232" t="str">
        <f t="shared" si="111"/>
        <v xml:space="preserve"> </v>
      </c>
    </row>
    <row r="357" spans="28:40" ht="14" x14ac:dyDescent="0.25">
      <c r="AB357" s="230" t="e">
        <f>T357-HLOOKUP(V357,Minimas!$C$3:$CD$12,2,FALSE)</f>
        <v>#N/A</v>
      </c>
      <c r="AC357" s="230" t="e">
        <f>T357-HLOOKUP(V357,Minimas!$C$3:$CD$12,3,FALSE)</f>
        <v>#N/A</v>
      </c>
      <c r="AD357" s="230" t="e">
        <f>T357-HLOOKUP(V357,Minimas!$C$3:$CD$12,4,FALSE)</f>
        <v>#N/A</v>
      </c>
      <c r="AE357" s="230" t="e">
        <f>T357-HLOOKUP(V357,Minimas!$C$3:$CD$12,5,FALSE)</f>
        <v>#N/A</v>
      </c>
      <c r="AF357" s="230" t="e">
        <f>T357-HLOOKUP(V357,Minimas!$C$3:$CD$12,6,FALSE)</f>
        <v>#N/A</v>
      </c>
      <c r="AG357" s="230" t="e">
        <f>T357-HLOOKUP(V357,Minimas!$C$3:$CD$12,7,FALSE)</f>
        <v>#N/A</v>
      </c>
      <c r="AH357" s="230" t="e">
        <f>T357-HLOOKUP(V357,Minimas!$C$3:$CD$12,8,FALSE)</f>
        <v>#N/A</v>
      </c>
      <c r="AI357" s="230" t="e">
        <f>T357-HLOOKUP(V357,Minimas!$C$3:$CD$12,9,FALSE)</f>
        <v>#N/A</v>
      </c>
      <c r="AJ357" s="230" t="e">
        <f>T357-HLOOKUP(V357,Minimas!$C$3:$CD$12,10,FALSE)</f>
        <v>#N/A</v>
      </c>
      <c r="AK357" s="231" t="str">
        <f t="shared" si="109"/>
        <v xml:space="preserve"> </v>
      </c>
      <c r="AL357" s="232"/>
      <c r="AM357" s="232" t="str">
        <f t="shared" si="110"/>
        <v xml:space="preserve"> </v>
      </c>
      <c r="AN357" s="232" t="str">
        <f t="shared" si="111"/>
        <v xml:space="preserve"> </v>
      </c>
    </row>
    <row r="358" spans="28:40" ht="14" x14ac:dyDescent="0.25">
      <c r="AB358" s="230" t="e">
        <f>T358-HLOOKUP(V358,Minimas!$C$3:$CD$12,2,FALSE)</f>
        <v>#N/A</v>
      </c>
      <c r="AC358" s="230" t="e">
        <f>T358-HLOOKUP(V358,Minimas!$C$3:$CD$12,3,FALSE)</f>
        <v>#N/A</v>
      </c>
      <c r="AD358" s="230" t="e">
        <f>T358-HLOOKUP(V358,Minimas!$C$3:$CD$12,4,FALSE)</f>
        <v>#N/A</v>
      </c>
      <c r="AE358" s="230" t="e">
        <f>T358-HLOOKUP(V358,Minimas!$C$3:$CD$12,5,FALSE)</f>
        <v>#N/A</v>
      </c>
      <c r="AF358" s="230" t="e">
        <f>T358-HLOOKUP(V358,Minimas!$C$3:$CD$12,6,FALSE)</f>
        <v>#N/A</v>
      </c>
      <c r="AG358" s="230" t="e">
        <f>T358-HLOOKUP(V358,Minimas!$C$3:$CD$12,7,FALSE)</f>
        <v>#N/A</v>
      </c>
      <c r="AH358" s="230" t="e">
        <f>T358-HLOOKUP(V358,Minimas!$C$3:$CD$12,8,FALSE)</f>
        <v>#N/A</v>
      </c>
      <c r="AI358" s="230" t="e">
        <f>T358-HLOOKUP(V358,Minimas!$C$3:$CD$12,9,FALSE)</f>
        <v>#N/A</v>
      </c>
      <c r="AJ358" s="230" t="e">
        <f>T358-HLOOKUP(V358,Minimas!$C$3:$CD$12,10,FALSE)</f>
        <v>#N/A</v>
      </c>
      <c r="AK358" s="231" t="str">
        <f t="shared" si="109"/>
        <v xml:space="preserve"> </v>
      </c>
      <c r="AL358" s="232"/>
      <c r="AM358" s="232" t="str">
        <f t="shared" si="110"/>
        <v xml:space="preserve"> </v>
      </c>
      <c r="AN358" s="232" t="str">
        <f t="shared" si="111"/>
        <v xml:space="preserve"> </v>
      </c>
    </row>
    <row r="359" spans="28:40" ht="14" x14ac:dyDescent="0.25">
      <c r="AB359" s="230" t="e">
        <f>T359-HLOOKUP(V359,Minimas!$C$3:$CD$12,2,FALSE)</f>
        <v>#N/A</v>
      </c>
      <c r="AC359" s="230" t="e">
        <f>T359-HLOOKUP(V359,Minimas!$C$3:$CD$12,3,FALSE)</f>
        <v>#N/A</v>
      </c>
      <c r="AD359" s="230" t="e">
        <f>T359-HLOOKUP(V359,Minimas!$C$3:$CD$12,4,FALSE)</f>
        <v>#N/A</v>
      </c>
      <c r="AE359" s="230" t="e">
        <f>T359-HLOOKUP(V359,Minimas!$C$3:$CD$12,5,FALSE)</f>
        <v>#N/A</v>
      </c>
      <c r="AF359" s="230" t="e">
        <f>T359-HLOOKUP(V359,Minimas!$C$3:$CD$12,6,FALSE)</f>
        <v>#N/A</v>
      </c>
      <c r="AG359" s="230" t="e">
        <f>T359-HLOOKUP(V359,Minimas!$C$3:$CD$12,7,FALSE)</f>
        <v>#N/A</v>
      </c>
      <c r="AH359" s="230" t="e">
        <f>T359-HLOOKUP(V359,Minimas!$C$3:$CD$12,8,FALSE)</f>
        <v>#N/A</v>
      </c>
      <c r="AI359" s="230" t="e">
        <f>T359-HLOOKUP(V359,Minimas!$C$3:$CD$12,9,FALSE)</f>
        <v>#N/A</v>
      </c>
      <c r="AJ359" s="230" t="e">
        <f>T359-HLOOKUP(V359,Minimas!$C$3:$CD$12,10,FALSE)</f>
        <v>#N/A</v>
      </c>
      <c r="AK359" s="231" t="str">
        <f t="shared" si="109"/>
        <v xml:space="preserve"> </v>
      </c>
      <c r="AL359" s="232"/>
      <c r="AM359" s="232" t="str">
        <f t="shared" si="110"/>
        <v xml:space="preserve"> </v>
      </c>
      <c r="AN359" s="232" t="str">
        <f t="shared" si="111"/>
        <v xml:space="preserve"> </v>
      </c>
    </row>
    <row r="360" spans="28:40" ht="14" x14ac:dyDescent="0.25">
      <c r="AB360" s="230" t="e">
        <f>T360-HLOOKUP(V360,Minimas!$C$3:$CD$12,2,FALSE)</f>
        <v>#N/A</v>
      </c>
      <c r="AC360" s="230" t="e">
        <f>T360-HLOOKUP(V360,Minimas!$C$3:$CD$12,3,FALSE)</f>
        <v>#N/A</v>
      </c>
      <c r="AD360" s="230" t="e">
        <f>T360-HLOOKUP(V360,Minimas!$C$3:$CD$12,4,FALSE)</f>
        <v>#N/A</v>
      </c>
      <c r="AE360" s="230" t="e">
        <f>T360-HLOOKUP(V360,Minimas!$C$3:$CD$12,5,FALSE)</f>
        <v>#N/A</v>
      </c>
      <c r="AF360" s="230" t="e">
        <f>T360-HLOOKUP(V360,Minimas!$C$3:$CD$12,6,FALSE)</f>
        <v>#N/A</v>
      </c>
      <c r="AG360" s="230" t="e">
        <f>T360-HLOOKUP(V360,Minimas!$C$3:$CD$12,7,FALSE)</f>
        <v>#N/A</v>
      </c>
      <c r="AH360" s="230" t="e">
        <f>T360-HLOOKUP(V360,Minimas!$C$3:$CD$12,8,FALSE)</f>
        <v>#N/A</v>
      </c>
      <c r="AI360" s="230" t="e">
        <f>T360-HLOOKUP(V360,Minimas!$C$3:$CD$12,9,FALSE)</f>
        <v>#N/A</v>
      </c>
      <c r="AJ360" s="230" t="e">
        <f>T360-HLOOKUP(V360,Minimas!$C$3:$CD$12,10,FALSE)</f>
        <v>#N/A</v>
      </c>
      <c r="AK360" s="231" t="str">
        <f t="shared" si="109"/>
        <v xml:space="preserve"> </v>
      </c>
      <c r="AL360" s="232"/>
      <c r="AM360" s="232" t="str">
        <f t="shared" si="110"/>
        <v xml:space="preserve"> </v>
      </c>
      <c r="AN360" s="232" t="str">
        <f t="shared" si="111"/>
        <v xml:space="preserve"> </v>
      </c>
    </row>
    <row r="361" spans="28:40" ht="14" x14ac:dyDescent="0.25">
      <c r="AB361" s="230" t="e">
        <f>T361-HLOOKUP(V361,Minimas!$C$3:$CD$12,2,FALSE)</f>
        <v>#N/A</v>
      </c>
      <c r="AC361" s="230" t="e">
        <f>T361-HLOOKUP(V361,Minimas!$C$3:$CD$12,3,FALSE)</f>
        <v>#N/A</v>
      </c>
      <c r="AD361" s="230" t="e">
        <f>T361-HLOOKUP(V361,Minimas!$C$3:$CD$12,4,FALSE)</f>
        <v>#N/A</v>
      </c>
      <c r="AE361" s="230" t="e">
        <f>T361-HLOOKUP(V361,Minimas!$C$3:$CD$12,5,FALSE)</f>
        <v>#N/A</v>
      </c>
      <c r="AF361" s="230" t="e">
        <f>T361-HLOOKUP(V361,Minimas!$C$3:$CD$12,6,FALSE)</f>
        <v>#N/A</v>
      </c>
      <c r="AG361" s="230" t="e">
        <f>T361-HLOOKUP(V361,Minimas!$C$3:$CD$12,7,FALSE)</f>
        <v>#N/A</v>
      </c>
      <c r="AH361" s="230" t="e">
        <f>T361-HLOOKUP(V361,Minimas!$C$3:$CD$12,8,FALSE)</f>
        <v>#N/A</v>
      </c>
      <c r="AI361" s="230" t="e">
        <f>T361-HLOOKUP(V361,Minimas!$C$3:$CD$12,9,FALSE)</f>
        <v>#N/A</v>
      </c>
      <c r="AJ361" s="230" t="e">
        <f>T361-HLOOKUP(V361,Minimas!$C$3:$CD$12,10,FALSE)</f>
        <v>#N/A</v>
      </c>
      <c r="AK361" s="231" t="str">
        <f t="shared" si="109"/>
        <v xml:space="preserve"> </v>
      </c>
      <c r="AL361" s="232"/>
      <c r="AM361" s="232" t="str">
        <f t="shared" si="110"/>
        <v xml:space="preserve"> </v>
      </c>
      <c r="AN361" s="232" t="str">
        <f t="shared" si="111"/>
        <v xml:space="preserve"> </v>
      </c>
    </row>
    <row r="362" spans="28:40" ht="14" x14ac:dyDescent="0.25">
      <c r="AB362" s="230" t="e">
        <f>T362-HLOOKUP(V362,Minimas!$C$3:$CD$12,2,FALSE)</f>
        <v>#N/A</v>
      </c>
      <c r="AC362" s="230" t="e">
        <f>T362-HLOOKUP(V362,Minimas!$C$3:$CD$12,3,FALSE)</f>
        <v>#N/A</v>
      </c>
      <c r="AD362" s="230" t="e">
        <f>T362-HLOOKUP(V362,Minimas!$C$3:$CD$12,4,FALSE)</f>
        <v>#N/A</v>
      </c>
      <c r="AE362" s="230" t="e">
        <f>T362-HLOOKUP(V362,Minimas!$C$3:$CD$12,5,FALSE)</f>
        <v>#N/A</v>
      </c>
      <c r="AF362" s="230" t="e">
        <f>T362-HLOOKUP(V362,Minimas!$C$3:$CD$12,6,FALSE)</f>
        <v>#N/A</v>
      </c>
      <c r="AG362" s="230" t="e">
        <f>T362-HLOOKUP(V362,Minimas!$C$3:$CD$12,7,FALSE)</f>
        <v>#N/A</v>
      </c>
      <c r="AH362" s="230" t="e">
        <f>T362-HLOOKUP(V362,Minimas!$C$3:$CD$12,8,FALSE)</f>
        <v>#N/A</v>
      </c>
      <c r="AI362" s="230" t="e">
        <f>T362-HLOOKUP(V362,Minimas!$C$3:$CD$12,9,FALSE)</f>
        <v>#N/A</v>
      </c>
      <c r="AJ362" s="230" t="e">
        <f>T362-HLOOKUP(V362,Minimas!$C$3:$CD$12,10,FALSE)</f>
        <v>#N/A</v>
      </c>
      <c r="AK362" s="231" t="str">
        <f t="shared" si="109"/>
        <v xml:space="preserve"> </v>
      </c>
      <c r="AL362" s="232"/>
      <c r="AM362" s="232" t="str">
        <f t="shared" si="110"/>
        <v xml:space="preserve"> </v>
      </c>
      <c r="AN362" s="232" t="str">
        <f t="shared" si="111"/>
        <v xml:space="preserve"> </v>
      </c>
    </row>
    <row r="363" spans="28:40" ht="14" x14ac:dyDescent="0.25">
      <c r="AB363" s="230" t="e">
        <f>T363-HLOOKUP(V363,Minimas!$C$3:$CD$12,2,FALSE)</f>
        <v>#N/A</v>
      </c>
      <c r="AC363" s="230" t="e">
        <f>T363-HLOOKUP(V363,Minimas!$C$3:$CD$12,3,FALSE)</f>
        <v>#N/A</v>
      </c>
      <c r="AD363" s="230" t="e">
        <f>T363-HLOOKUP(V363,Minimas!$C$3:$CD$12,4,FALSE)</f>
        <v>#N/A</v>
      </c>
      <c r="AE363" s="230" t="e">
        <f>T363-HLOOKUP(V363,Minimas!$C$3:$CD$12,5,FALSE)</f>
        <v>#N/A</v>
      </c>
      <c r="AF363" s="230" t="e">
        <f>T363-HLOOKUP(V363,Minimas!$C$3:$CD$12,6,FALSE)</f>
        <v>#N/A</v>
      </c>
      <c r="AG363" s="230" t="e">
        <f>T363-HLOOKUP(V363,Minimas!$C$3:$CD$12,7,FALSE)</f>
        <v>#N/A</v>
      </c>
      <c r="AH363" s="230" t="e">
        <f>T363-HLOOKUP(V363,Minimas!$C$3:$CD$12,8,FALSE)</f>
        <v>#N/A</v>
      </c>
      <c r="AI363" s="230" t="e">
        <f>T363-HLOOKUP(V363,Minimas!$C$3:$CD$12,9,FALSE)</f>
        <v>#N/A</v>
      </c>
      <c r="AJ363" s="230" t="e">
        <f>T363-HLOOKUP(V363,Minimas!$C$3:$CD$12,10,FALSE)</f>
        <v>#N/A</v>
      </c>
      <c r="AK363" s="231" t="str">
        <f t="shared" si="109"/>
        <v xml:space="preserve"> </v>
      </c>
      <c r="AL363" s="232"/>
      <c r="AM363" s="232" t="str">
        <f t="shared" si="110"/>
        <v xml:space="preserve"> </v>
      </c>
      <c r="AN363" s="232" t="str">
        <f t="shared" si="111"/>
        <v xml:space="preserve"> </v>
      </c>
    </row>
    <row r="364" spans="28:40" ht="14" x14ac:dyDescent="0.25">
      <c r="AB364" s="230" t="e">
        <f>T364-HLOOKUP(V364,Minimas!$C$3:$CD$12,2,FALSE)</f>
        <v>#N/A</v>
      </c>
      <c r="AC364" s="230" t="e">
        <f>T364-HLOOKUP(V364,Minimas!$C$3:$CD$12,3,FALSE)</f>
        <v>#N/A</v>
      </c>
      <c r="AD364" s="230" t="e">
        <f>T364-HLOOKUP(V364,Minimas!$C$3:$CD$12,4,FALSE)</f>
        <v>#N/A</v>
      </c>
      <c r="AE364" s="230" t="e">
        <f>T364-HLOOKUP(V364,Minimas!$C$3:$CD$12,5,FALSE)</f>
        <v>#N/A</v>
      </c>
      <c r="AF364" s="230" t="e">
        <f>T364-HLOOKUP(V364,Minimas!$C$3:$CD$12,6,FALSE)</f>
        <v>#N/A</v>
      </c>
      <c r="AG364" s="230" t="e">
        <f>T364-HLOOKUP(V364,Minimas!$C$3:$CD$12,7,FALSE)</f>
        <v>#N/A</v>
      </c>
      <c r="AH364" s="230" t="e">
        <f>T364-HLOOKUP(V364,Minimas!$C$3:$CD$12,8,FALSE)</f>
        <v>#N/A</v>
      </c>
      <c r="AI364" s="230" t="e">
        <f>T364-HLOOKUP(V364,Minimas!$C$3:$CD$12,9,FALSE)</f>
        <v>#N/A</v>
      </c>
      <c r="AJ364" s="230" t="e">
        <f>T364-HLOOKUP(V364,Minimas!$C$3:$CD$12,10,FALSE)</f>
        <v>#N/A</v>
      </c>
      <c r="AK364" s="231" t="str">
        <f t="shared" si="109"/>
        <v xml:space="preserve"> </v>
      </c>
      <c r="AL364" s="232"/>
      <c r="AM364" s="232" t="str">
        <f t="shared" si="110"/>
        <v xml:space="preserve"> </v>
      </c>
      <c r="AN364" s="232" t="str">
        <f t="shared" si="111"/>
        <v xml:space="preserve"> </v>
      </c>
    </row>
    <row r="365" spans="28:40" ht="14" x14ac:dyDescent="0.25">
      <c r="AB365" s="230" t="e">
        <f>T365-HLOOKUP(V365,Minimas!$C$3:$CD$12,2,FALSE)</f>
        <v>#N/A</v>
      </c>
      <c r="AC365" s="230" t="e">
        <f>T365-HLOOKUP(V365,Minimas!$C$3:$CD$12,3,FALSE)</f>
        <v>#N/A</v>
      </c>
      <c r="AD365" s="230" t="e">
        <f>T365-HLOOKUP(V365,Minimas!$C$3:$CD$12,4,FALSE)</f>
        <v>#N/A</v>
      </c>
      <c r="AE365" s="230" t="e">
        <f>T365-HLOOKUP(V365,Minimas!$C$3:$CD$12,5,FALSE)</f>
        <v>#N/A</v>
      </c>
      <c r="AF365" s="230" t="e">
        <f>T365-HLOOKUP(V365,Minimas!$C$3:$CD$12,6,FALSE)</f>
        <v>#N/A</v>
      </c>
      <c r="AG365" s="230" t="e">
        <f>T365-HLOOKUP(V365,Minimas!$C$3:$CD$12,7,FALSE)</f>
        <v>#N/A</v>
      </c>
      <c r="AH365" s="230" t="e">
        <f>T365-HLOOKUP(V365,Minimas!$C$3:$CD$12,8,FALSE)</f>
        <v>#N/A</v>
      </c>
      <c r="AI365" s="230" t="e">
        <f>T365-HLOOKUP(V365,Minimas!$C$3:$CD$12,9,FALSE)</f>
        <v>#N/A</v>
      </c>
      <c r="AJ365" s="230" t="e">
        <f>T365-HLOOKUP(V365,Minimas!$C$3:$CD$12,10,FALSE)</f>
        <v>#N/A</v>
      </c>
      <c r="AK365" s="231" t="str">
        <f t="shared" si="109"/>
        <v xml:space="preserve"> </v>
      </c>
      <c r="AL365" s="232"/>
      <c r="AM365" s="232" t="str">
        <f t="shared" si="110"/>
        <v xml:space="preserve"> </v>
      </c>
      <c r="AN365" s="232" t="str">
        <f t="shared" si="111"/>
        <v xml:space="preserve"> </v>
      </c>
    </row>
    <row r="366" spans="28:40" ht="14" x14ac:dyDescent="0.25">
      <c r="AB366" s="230" t="e">
        <f>T366-HLOOKUP(V366,Minimas!$C$3:$CD$12,2,FALSE)</f>
        <v>#N/A</v>
      </c>
      <c r="AC366" s="230" t="e">
        <f>T366-HLOOKUP(V366,Minimas!$C$3:$CD$12,3,FALSE)</f>
        <v>#N/A</v>
      </c>
      <c r="AD366" s="230" t="e">
        <f>T366-HLOOKUP(V366,Minimas!$C$3:$CD$12,4,FALSE)</f>
        <v>#N/A</v>
      </c>
      <c r="AE366" s="230" t="e">
        <f>T366-HLOOKUP(V366,Minimas!$C$3:$CD$12,5,FALSE)</f>
        <v>#N/A</v>
      </c>
      <c r="AF366" s="230" t="e">
        <f>T366-HLOOKUP(V366,Minimas!$C$3:$CD$12,6,FALSE)</f>
        <v>#N/A</v>
      </c>
      <c r="AG366" s="230" t="e">
        <f>T366-HLOOKUP(V366,Minimas!$C$3:$CD$12,7,FALSE)</f>
        <v>#N/A</v>
      </c>
      <c r="AH366" s="230" t="e">
        <f>T366-HLOOKUP(V366,Minimas!$C$3:$CD$12,8,FALSE)</f>
        <v>#N/A</v>
      </c>
      <c r="AI366" s="230" t="e">
        <f>T366-HLOOKUP(V366,Minimas!$C$3:$CD$12,9,FALSE)</f>
        <v>#N/A</v>
      </c>
      <c r="AJ366" s="230" t="e">
        <f>T366-HLOOKUP(V366,Minimas!$C$3:$CD$12,10,FALSE)</f>
        <v>#N/A</v>
      </c>
      <c r="AK366" s="231" t="str">
        <f t="shared" si="109"/>
        <v xml:space="preserve"> </v>
      </c>
      <c r="AL366" s="232"/>
      <c r="AM366" s="232" t="str">
        <f t="shared" si="110"/>
        <v xml:space="preserve"> </v>
      </c>
      <c r="AN366" s="232" t="str">
        <f t="shared" si="111"/>
        <v xml:space="preserve"> </v>
      </c>
    </row>
    <row r="367" spans="28:40" ht="14" x14ac:dyDescent="0.25">
      <c r="AB367" s="230" t="e">
        <f>T367-HLOOKUP(V367,Minimas!$C$3:$CD$12,2,FALSE)</f>
        <v>#N/A</v>
      </c>
      <c r="AC367" s="230" t="e">
        <f>T367-HLOOKUP(V367,Minimas!$C$3:$CD$12,3,FALSE)</f>
        <v>#N/A</v>
      </c>
      <c r="AD367" s="230" t="e">
        <f>T367-HLOOKUP(V367,Minimas!$C$3:$CD$12,4,FALSE)</f>
        <v>#N/A</v>
      </c>
      <c r="AE367" s="230" t="e">
        <f>T367-HLOOKUP(V367,Minimas!$C$3:$CD$12,5,FALSE)</f>
        <v>#N/A</v>
      </c>
      <c r="AF367" s="230" t="e">
        <f>T367-HLOOKUP(V367,Minimas!$C$3:$CD$12,6,FALSE)</f>
        <v>#N/A</v>
      </c>
      <c r="AG367" s="230" t="e">
        <f>T367-HLOOKUP(V367,Minimas!$C$3:$CD$12,7,FALSE)</f>
        <v>#N/A</v>
      </c>
      <c r="AH367" s="230" t="e">
        <f>T367-HLOOKUP(V367,Minimas!$C$3:$CD$12,8,FALSE)</f>
        <v>#N/A</v>
      </c>
      <c r="AI367" s="230" t="e">
        <f>T367-HLOOKUP(V367,Minimas!$C$3:$CD$12,9,FALSE)</f>
        <v>#N/A</v>
      </c>
      <c r="AJ367" s="230" t="e">
        <f>T367-HLOOKUP(V367,Minimas!$C$3:$CD$12,10,FALSE)</f>
        <v>#N/A</v>
      </c>
      <c r="AK367" s="231" t="str">
        <f t="shared" si="109"/>
        <v xml:space="preserve"> </v>
      </c>
      <c r="AL367" s="232"/>
      <c r="AM367" s="232" t="str">
        <f t="shared" si="110"/>
        <v xml:space="preserve"> </v>
      </c>
      <c r="AN367" s="232" t="str">
        <f t="shared" si="111"/>
        <v xml:space="preserve"> </v>
      </c>
    </row>
    <row r="368" spans="28:40" ht="14" x14ac:dyDescent="0.25">
      <c r="AB368" s="230" t="e">
        <f>T368-HLOOKUP(V368,Minimas!$C$3:$CD$12,2,FALSE)</f>
        <v>#N/A</v>
      </c>
      <c r="AC368" s="230" t="e">
        <f>T368-HLOOKUP(V368,Minimas!$C$3:$CD$12,3,FALSE)</f>
        <v>#N/A</v>
      </c>
      <c r="AD368" s="230" t="e">
        <f>T368-HLOOKUP(V368,Minimas!$C$3:$CD$12,4,FALSE)</f>
        <v>#N/A</v>
      </c>
      <c r="AE368" s="230" t="e">
        <f>T368-HLOOKUP(V368,Minimas!$C$3:$CD$12,5,FALSE)</f>
        <v>#N/A</v>
      </c>
      <c r="AF368" s="230" t="e">
        <f>T368-HLOOKUP(V368,Minimas!$C$3:$CD$12,6,FALSE)</f>
        <v>#N/A</v>
      </c>
      <c r="AG368" s="230" t="e">
        <f>T368-HLOOKUP(V368,Minimas!$C$3:$CD$12,7,FALSE)</f>
        <v>#N/A</v>
      </c>
      <c r="AH368" s="230" t="e">
        <f>T368-HLOOKUP(V368,Minimas!$C$3:$CD$12,8,FALSE)</f>
        <v>#N/A</v>
      </c>
      <c r="AI368" s="230" t="e">
        <f>T368-HLOOKUP(V368,Minimas!$C$3:$CD$12,9,FALSE)</f>
        <v>#N/A</v>
      </c>
      <c r="AJ368" s="230" t="e">
        <f>T368-HLOOKUP(V368,Minimas!$C$3:$CD$12,10,FALSE)</f>
        <v>#N/A</v>
      </c>
      <c r="AK368" s="231" t="str">
        <f t="shared" si="109"/>
        <v xml:space="preserve"> </v>
      </c>
      <c r="AL368" s="232"/>
      <c r="AM368" s="232" t="str">
        <f t="shared" si="110"/>
        <v xml:space="preserve"> </v>
      </c>
      <c r="AN368" s="232" t="str">
        <f t="shared" si="111"/>
        <v xml:space="preserve"> </v>
      </c>
    </row>
    <row r="369" spans="28:40" ht="14" x14ac:dyDescent="0.25">
      <c r="AB369" s="230" t="e">
        <f>T369-HLOOKUP(V369,Minimas!$C$3:$CD$12,2,FALSE)</f>
        <v>#N/A</v>
      </c>
      <c r="AC369" s="230" t="e">
        <f>T369-HLOOKUP(V369,Minimas!$C$3:$CD$12,3,FALSE)</f>
        <v>#N/A</v>
      </c>
      <c r="AD369" s="230" t="e">
        <f>T369-HLOOKUP(V369,Minimas!$C$3:$CD$12,4,FALSE)</f>
        <v>#N/A</v>
      </c>
      <c r="AE369" s="230" t="e">
        <f>T369-HLOOKUP(V369,Minimas!$C$3:$CD$12,5,FALSE)</f>
        <v>#N/A</v>
      </c>
      <c r="AF369" s="230" t="e">
        <f>T369-HLOOKUP(V369,Minimas!$C$3:$CD$12,6,FALSE)</f>
        <v>#N/A</v>
      </c>
      <c r="AG369" s="230" t="e">
        <f>T369-HLOOKUP(V369,Minimas!$C$3:$CD$12,7,FALSE)</f>
        <v>#N/A</v>
      </c>
      <c r="AH369" s="230" t="e">
        <f>T369-HLOOKUP(V369,Minimas!$C$3:$CD$12,8,FALSE)</f>
        <v>#N/A</v>
      </c>
      <c r="AI369" s="230" t="e">
        <f>T369-HLOOKUP(V369,Minimas!$C$3:$CD$12,9,FALSE)</f>
        <v>#N/A</v>
      </c>
      <c r="AJ369" s="230" t="e">
        <f>T369-HLOOKUP(V369,Minimas!$C$3:$CD$12,10,FALSE)</f>
        <v>#N/A</v>
      </c>
      <c r="AK369" s="231" t="str">
        <f t="shared" si="109"/>
        <v xml:space="preserve"> </v>
      </c>
      <c r="AL369" s="232"/>
      <c r="AM369" s="232" t="str">
        <f t="shared" si="110"/>
        <v xml:space="preserve"> </v>
      </c>
      <c r="AN369" s="232" t="str">
        <f t="shared" si="111"/>
        <v xml:space="preserve"> </v>
      </c>
    </row>
    <row r="370" spans="28:40" ht="14" x14ac:dyDescent="0.25">
      <c r="AB370" s="230" t="e">
        <f>T370-HLOOKUP(V370,Minimas!$C$3:$CD$12,2,FALSE)</f>
        <v>#N/A</v>
      </c>
      <c r="AC370" s="230" t="e">
        <f>T370-HLOOKUP(V370,Minimas!$C$3:$CD$12,3,FALSE)</f>
        <v>#N/A</v>
      </c>
      <c r="AD370" s="230" t="e">
        <f>T370-HLOOKUP(V370,Minimas!$C$3:$CD$12,4,FALSE)</f>
        <v>#N/A</v>
      </c>
      <c r="AE370" s="230" t="e">
        <f>T370-HLOOKUP(V370,Minimas!$C$3:$CD$12,5,FALSE)</f>
        <v>#N/A</v>
      </c>
      <c r="AF370" s="230" t="e">
        <f>T370-HLOOKUP(V370,Minimas!$C$3:$CD$12,6,FALSE)</f>
        <v>#N/A</v>
      </c>
      <c r="AG370" s="230" t="e">
        <f>T370-HLOOKUP(V370,Minimas!$C$3:$CD$12,7,FALSE)</f>
        <v>#N/A</v>
      </c>
      <c r="AH370" s="230" t="e">
        <f>T370-HLOOKUP(V370,Minimas!$C$3:$CD$12,8,FALSE)</f>
        <v>#N/A</v>
      </c>
      <c r="AI370" s="230" t="e">
        <f>T370-HLOOKUP(V370,Minimas!$C$3:$CD$12,9,FALSE)</f>
        <v>#N/A</v>
      </c>
      <c r="AJ370" s="230" t="e">
        <f>T370-HLOOKUP(V370,Minimas!$C$3:$CD$12,10,FALSE)</f>
        <v>#N/A</v>
      </c>
      <c r="AK370" s="231" t="str">
        <f t="shared" si="109"/>
        <v xml:space="preserve"> </v>
      </c>
      <c r="AL370" s="232"/>
      <c r="AM370" s="232" t="str">
        <f t="shared" si="110"/>
        <v xml:space="preserve"> </v>
      </c>
      <c r="AN370" s="232" t="str">
        <f t="shared" si="111"/>
        <v xml:space="preserve"> </v>
      </c>
    </row>
    <row r="371" spans="28:40" ht="14" x14ac:dyDescent="0.25">
      <c r="AB371" s="230" t="e">
        <f>T371-HLOOKUP(V371,Minimas!$C$3:$CD$12,2,FALSE)</f>
        <v>#N/A</v>
      </c>
      <c r="AC371" s="230" t="e">
        <f>T371-HLOOKUP(V371,Minimas!$C$3:$CD$12,3,FALSE)</f>
        <v>#N/A</v>
      </c>
      <c r="AD371" s="230" t="e">
        <f>T371-HLOOKUP(V371,Minimas!$C$3:$CD$12,4,FALSE)</f>
        <v>#N/A</v>
      </c>
      <c r="AE371" s="230" t="e">
        <f>T371-HLOOKUP(V371,Minimas!$C$3:$CD$12,5,FALSE)</f>
        <v>#N/A</v>
      </c>
      <c r="AF371" s="230" t="e">
        <f>T371-HLOOKUP(V371,Minimas!$C$3:$CD$12,6,FALSE)</f>
        <v>#N/A</v>
      </c>
      <c r="AG371" s="230" t="e">
        <f>T371-HLOOKUP(V371,Minimas!$C$3:$CD$12,7,FALSE)</f>
        <v>#N/A</v>
      </c>
      <c r="AH371" s="230" t="e">
        <f>T371-HLOOKUP(V371,Minimas!$C$3:$CD$12,8,FALSE)</f>
        <v>#N/A</v>
      </c>
      <c r="AI371" s="230" t="e">
        <f>T371-HLOOKUP(V371,Minimas!$C$3:$CD$12,9,FALSE)</f>
        <v>#N/A</v>
      </c>
      <c r="AJ371" s="230" t="e">
        <f>T371-HLOOKUP(V371,Minimas!$C$3:$CD$12,10,FALSE)</f>
        <v>#N/A</v>
      </c>
      <c r="AK371" s="231" t="str">
        <f t="shared" si="109"/>
        <v xml:space="preserve"> </v>
      </c>
      <c r="AL371" s="232"/>
      <c r="AM371" s="232" t="str">
        <f t="shared" si="110"/>
        <v xml:space="preserve"> </v>
      </c>
      <c r="AN371" s="232" t="str">
        <f t="shared" si="111"/>
        <v xml:space="preserve"> </v>
      </c>
    </row>
    <row r="372" spans="28:40" ht="14" x14ac:dyDescent="0.25">
      <c r="AB372" s="230" t="e">
        <f>T372-HLOOKUP(V372,Minimas!$C$3:$CD$12,2,FALSE)</f>
        <v>#N/A</v>
      </c>
      <c r="AC372" s="230" t="e">
        <f>T372-HLOOKUP(V372,Minimas!$C$3:$CD$12,3,FALSE)</f>
        <v>#N/A</v>
      </c>
      <c r="AD372" s="230" t="e">
        <f>T372-HLOOKUP(V372,Minimas!$C$3:$CD$12,4,FALSE)</f>
        <v>#N/A</v>
      </c>
      <c r="AE372" s="230" t="e">
        <f>T372-HLOOKUP(V372,Minimas!$C$3:$CD$12,5,FALSE)</f>
        <v>#N/A</v>
      </c>
      <c r="AF372" s="230" t="e">
        <f>T372-HLOOKUP(V372,Minimas!$C$3:$CD$12,6,FALSE)</f>
        <v>#N/A</v>
      </c>
      <c r="AG372" s="230" t="e">
        <f>T372-HLOOKUP(V372,Minimas!$C$3:$CD$12,7,FALSE)</f>
        <v>#N/A</v>
      </c>
      <c r="AH372" s="230" t="e">
        <f>T372-HLOOKUP(V372,Minimas!$C$3:$CD$12,8,FALSE)</f>
        <v>#N/A</v>
      </c>
      <c r="AI372" s="230" t="e">
        <f>T372-HLOOKUP(V372,Minimas!$C$3:$CD$12,9,FALSE)</f>
        <v>#N/A</v>
      </c>
      <c r="AJ372" s="230" t="e">
        <f>T372-HLOOKUP(V372,Minimas!$C$3:$CD$12,10,FALSE)</f>
        <v>#N/A</v>
      </c>
      <c r="AK372" s="231" t="str">
        <f t="shared" si="109"/>
        <v xml:space="preserve"> </v>
      </c>
      <c r="AL372" s="232"/>
      <c r="AM372" s="232" t="str">
        <f t="shared" si="110"/>
        <v xml:space="preserve"> </v>
      </c>
      <c r="AN372" s="232" t="str">
        <f t="shared" si="111"/>
        <v xml:space="preserve"> </v>
      </c>
    </row>
    <row r="373" spans="28:40" ht="14" x14ac:dyDescent="0.25">
      <c r="AB373" s="230" t="e">
        <f>T373-HLOOKUP(V373,Minimas!$C$3:$CD$12,2,FALSE)</f>
        <v>#N/A</v>
      </c>
      <c r="AC373" s="230" t="e">
        <f>T373-HLOOKUP(V373,Minimas!$C$3:$CD$12,3,FALSE)</f>
        <v>#N/A</v>
      </c>
      <c r="AD373" s="230" t="e">
        <f>T373-HLOOKUP(V373,Minimas!$C$3:$CD$12,4,FALSE)</f>
        <v>#N/A</v>
      </c>
      <c r="AE373" s="230" t="e">
        <f>T373-HLOOKUP(V373,Minimas!$C$3:$CD$12,5,FALSE)</f>
        <v>#N/A</v>
      </c>
      <c r="AF373" s="230" t="e">
        <f>T373-HLOOKUP(V373,Minimas!$C$3:$CD$12,6,FALSE)</f>
        <v>#N/A</v>
      </c>
      <c r="AG373" s="230" t="e">
        <f>T373-HLOOKUP(V373,Minimas!$C$3:$CD$12,7,FALSE)</f>
        <v>#N/A</v>
      </c>
      <c r="AH373" s="230" t="e">
        <f>T373-HLOOKUP(V373,Minimas!$C$3:$CD$12,8,FALSE)</f>
        <v>#N/A</v>
      </c>
      <c r="AI373" s="230" t="e">
        <f>T373-HLOOKUP(V373,Minimas!$C$3:$CD$12,9,FALSE)</f>
        <v>#N/A</v>
      </c>
      <c r="AJ373" s="230" t="e">
        <f>T373-HLOOKUP(V373,Minimas!$C$3:$CD$12,10,FALSE)</f>
        <v>#N/A</v>
      </c>
      <c r="AK373" s="231" t="str">
        <f t="shared" si="109"/>
        <v xml:space="preserve"> </v>
      </c>
      <c r="AL373" s="232"/>
      <c r="AM373" s="232" t="str">
        <f t="shared" si="110"/>
        <v xml:space="preserve"> </v>
      </c>
      <c r="AN373" s="232" t="str">
        <f t="shared" si="111"/>
        <v xml:space="preserve"> </v>
      </c>
    </row>
    <row r="374" spans="28:40" ht="14" x14ac:dyDescent="0.25">
      <c r="AB374" s="230" t="e">
        <f>T374-HLOOKUP(V374,Minimas!$C$3:$CD$12,2,FALSE)</f>
        <v>#N/A</v>
      </c>
      <c r="AC374" s="230" t="e">
        <f>T374-HLOOKUP(V374,Minimas!$C$3:$CD$12,3,FALSE)</f>
        <v>#N/A</v>
      </c>
      <c r="AD374" s="230" t="e">
        <f>T374-HLOOKUP(V374,Minimas!$C$3:$CD$12,4,FALSE)</f>
        <v>#N/A</v>
      </c>
      <c r="AE374" s="230" t="e">
        <f>T374-HLOOKUP(V374,Minimas!$C$3:$CD$12,5,FALSE)</f>
        <v>#N/A</v>
      </c>
      <c r="AF374" s="230" t="e">
        <f>T374-HLOOKUP(V374,Minimas!$C$3:$CD$12,6,FALSE)</f>
        <v>#N/A</v>
      </c>
      <c r="AG374" s="230" t="e">
        <f>T374-HLOOKUP(V374,Minimas!$C$3:$CD$12,7,FALSE)</f>
        <v>#N/A</v>
      </c>
      <c r="AH374" s="230" t="e">
        <f>T374-HLOOKUP(V374,Minimas!$C$3:$CD$12,8,FALSE)</f>
        <v>#N/A</v>
      </c>
      <c r="AI374" s="230" t="e">
        <f>T374-HLOOKUP(V374,Minimas!$C$3:$CD$12,9,FALSE)</f>
        <v>#N/A</v>
      </c>
      <c r="AJ374" s="230" t="e">
        <f>T374-HLOOKUP(V374,Minimas!$C$3:$CD$12,10,FALSE)</f>
        <v>#N/A</v>
      </c>
      <c r="AK374" s="231" t="str">
        <f t="shared" si="109"/>
        <v xml:space="preserve"> </v>
      </c>
      <c r="AL374" s="232"/>
      <c r="AM374" s="232" t="str">
        <f t="shared" si="110"/>
        <v xml:space="preserve"> </v>
      </c>
      <c r="AN374" s="232" t="str">
        <f t="shared" si="111"/>
        <v xml:space="preserve"> </v>
      </c>
    </row>
    <row r="375" spans="28:40" ht="14" x14ac:dyDescent="0.25">
      <c r="AB375" s="230" t="e">
        <f>T375-HLOOKUP(V375,Minimas!$C$3:$CD$12,2,FALSE)</f>
        <v>#N/A</v>
      </c>
      <c r="AC375" s="230" t="e">
        <f>T375-HLOOKUP(V375,Minimas!$C$3:$CD$12,3,FALSE)</f>
        <v>#N/A</v>
      </c>
      <c r="AD375" s="230" t="e">
        <f>T375-HLOOKUP(V375,Minimas!$C$3:$CD$12,4,FALSE)</f>
        <v>#N/A</v>
      </c>
      <c r="AE375" s="230" t="e">
        <f>T375-HLOOKUP(V375,Minimas!$C$3:$CD$12,5,FALSE)</f>
        <v>#N/A</v>
      </c>
      <c r="AF375" s="230" t="e">
        <f>T375-HLOOKUP(V375,Minimas!$C$3:$CD$12,6,FALSE)</f>
        <v>#N/A</v>
      </c>
      <c r="AG375" s="230" t="e">
        <f>T375-HLOOKUP(V375,Minimas!$C$3:$CD$12,7,FALSE)</f>
        <v>#N/A</v>
      </c>
      <c r="AH375" s="230" t="e">
        <f>T375-HLOOKUP(V375,Minimas!$C$3:$CD$12,8,FALSE)</f>
        <v>#N/A</v>
      </c>
      <c r="AI375" s="230" t="e">
        <f>T375-HLOOKUP(V375,Minimas!$C$3:$CD$12,9,FALSE)</f>
        <v>#N/A</v>
      </c>
      <c r="AJ375" s="230" t="e">
        <f>T375-HLOOKUP(V375,Minimas!$C$3:$CD$12,10,FALSE)</f>
        <v>#N/A</v>
      </c>
      <c r="AK375" s="231" t="str">
        <f t="shared" si="109"/>
        <v xml:space="preserve"> </v>
      </c>
      <c r="AL375" s="232"/>
      <c r="AM375" s="232" t="str">
        <f t="shared" si="110"/>
        <v xml:space="preserve"> </v>
      </c>
      <c r="AN375" s="232" t="str">
        <f t="shared" si="111"/>
        <v xml:space="preserve"> </v>
      </c>
    </row>
    <row r="376" spans="28:40" ht="14" x14ac:dyDescent="0.25">
      <c r="AB376" s="230" t="e">
        <f>T376-HLOOKUP(V376,Minimas!$C$3:$CD$12,2,FALSE)</f>
        <v>#N/A</v>
      </c>
      <c r="AC376" s="230" t="e">
        <f>T376-HLOOKUP(V376,Minimas!$C$3:$CD$12,3,FALSE)</f>
        <v>#N/A</v>
      </c>
      <c r="AD376" s="230" t="e">
        <f>T376-HLOOKUP(V376,Minimas!$C$3:$CD$12,4,FALSE)</f>
        <v>#N/A</v>
      </c>
      <c r="AE376" s="230" t="e">
        <f>T376-HLOOKUP(V376,Minimas!$C$3:$CD$12,5,FALSE)</f>
        <v>#N/A</v>
      </c>
      <c r="AF376" s="230" t="e">
        <f>T376-HLOOKUP(V376,Minimas!$C$3:$CD$12,6,FALSE)</f>
        <v>#N/A</v>
      </c>
      <c r="AG376" s="230" t="e">
        <f>T376-HLOOKUP(V376,Minimas!$C$3:$CD$12,7,FALSE)</f>
        <v>#N/A</v>
      </c>
      <c r="AH376" s="230" t="e">
        <f>T376-HLOOKUP(V376,Minimas!$C$3:$CD$12,8,FALSE)</f>
        <v>#N/A</v>
      </c>
      <c r="AI376" s="230" t="e">
        <f>T376-HLOOKUP(V376,Minimas!$C$3:$CD$12,9,FALSE)</f>
        <v>#N/A</v>
      </c>
      <c r="AJ376" s="230" t="e">
        <f>T376-HLOOKUP(V376,Minimas!$C$3:$CD$12,10,FALSE)</f>
        <v>#N/A</v>
      </c>
      <c r="AK376" s="231" t="str">
        <f t="shared" si="109"/>
        <v xml:space="preserve"> </v>
      </c>
      <c r="AL376" s="232"/>
      <c r="AM376" s="232" t="str">
        <f t="shared" si="110"/>
        <v xml:space="preserve"> </v>
      </c>
      <c r="AN376" s="232" t="str">
        <f t="shared" si="111"/>
        <v xml:space="preserve"> </v>
      </c>
    </row>
    <row r="377" spans="28:40" ht="14" x14ac:dyDescent="0.25">
      <c r="AB377" s="230" t="e">
        <f>T377-HLOOKUP(V377,Minimas!$C$3:$CD$12,2,FALSE)</f>
        <v>#N/A</v>
      </c>
      <c r="AC377" s="230" t="e">
        <f>T377-HLOOKUP(V377,Minimas!$C$3:$CD$12,3,FALSE)</f>
        <v>#N/A</v>
      </c>
      <c r="AD377" s="230" t="e">
        <f>T377-HLOOKUP(V377,Minimas!$C$3:$CD$12,4,FALSE)</f>
        <v>#N/A</v>
      </c>
      <c r="AE377" s="230" t="e">
        <f>T377-HLOOKUP(V377,Minimas!$C$3:$CD$12,5,FALSE)</f>
        <v>#N/A</v>
      </c>
      <c r="AF377" s="230" t="e">
        <f>T377-HLOOKUP(V377,Minimas!$C$3:$CD$12,6,FALSE)</f>
        <v>#N/A</v>
      </c>
      <c r="AG377" s="230" t="e">
        <f>T377-HLOOKUP(V377,Minimas!$C$3:$CD$12,7,FALSE)</f>
        <v>#N/A</v>
      </c>
      <c r="AH377" s="230" t="e">
        <f>T377-HLOOKUP(V377,Minimas!$C$3:$CD$12,8,FALSE)</f>
        <v>#N/A</v>
      </c>
      <c r="AI377" s="230" t="e">
        <f>T377-HLOOKUP(V377,Minimas!$C$3:$CD$12,9,FALSE)</f>
        <v>#N/A</v>
      </c>
      <c r="AJ377" s="230" t="e">
        <f>T377-HLOOKUP(V377,Minimas!$C$3:$CD$12,10,FALSE)</f>
        <v>#N/A</v>
      </c>
      <c r="AK377" s="231" t="str">
        <f t="shared" si="109"/>
        <v xml:space="preserve"> </v>
      </c>
      <c r="AL377" s="232"/>
      <c r="AM377" s="232" t="str">
        <f t="shared" si="110"/>
        <v xml:space="preserve"> </v>
      </c>
      <c r="AN377" s="232" t="str">
        <f t="shared" si="111"/>
        <v xml:space="preserve"> </v>
      </c>
    </row>
    <row r="378" spans="28:40" ht="14" x14ac:dyDescent="0.25">
      <c r="AB378" s="230" t="e">
        <f>T378-HLOOKUP(V378,Minimas!$C$3:$CD$12,2,FALSE)</f>
        <v>#N/A</v>
      </c>
      <c r="AC378" s="230" t="e">
        <f>T378-HLOOKUP(V378,Minimas!$C$3:$CD$12,3,FALSE)</f>
        <v>#N/A</v>
      </c>
      <c r="AD378" s="230" t="e">
        <f>T378-HLOOKUP(V378,Minimas!$C$3:$CD$12,4,FALSE)</f>
        <v>#N/A</v>
      </c>
      <c r="AE378" s="230" t="e">
        <f>T378-HLOOKUP(V378,Minimas!$C$3:$CD$12,5,FALSE)</f>
        <v>#N/A</v>
      </c>
      <c r="AF378" s="230" t="e">
        <f>T378-HLOOKUP(V378,Minimas!$C$3:$CD$12,6,FALSE)</f>
        <v>#N/A</v>
      </c>
      <c r="AG378" s="230" t="e">
        <f>T378-HLOOKUP(V378,Minimas!$C$3:$CD$12,7,FALSE)</f>
        <v>#N/A</v>
      </c>
      <c r="AH378" s="230" t="e">
        <f>T378-HLOOKUP(V378,Minimas!$C$3:$CD$12,8,FALSE)</f>
        <v>#N/A</v>
      </c>
      <c r="AI378" s="230" t="e">
        <f>T378-HLOOKUP(V378,Minimas!$C$3:$CD$12,9,FALSE)</f>
        <v>#N/A</v>
      </c>
      <c r="AJ378" s="230" t="e">
        <f>T378-HLOOKUP(V378,Minimas!$C$3:$CD$12,10,FALSE)</f>
        <v>#N/A</v>
      </c>
      <c r="AK378" s="231" t="str">
        <f t="shared" si="109"/>
        <v xml:space="preserve"> </v>
      </c>
      <c r="AL378" s="232"/>
      <c r="AM378" s="232" t="str">
        <f t="shared" si="110"/>
        <v xml:space="preserve"> </v>
      </c>
      <c r="AN378" s="232" t="str">
        <f t="shared" si="111"/>
        <v xml:space="preserve"> </v>
      </c>
    </row>
    <row r="379" spans="28:40" ht="14" x14ac:dyDescent="0.25">
      <c r="AB379" s="230" t="e">
        <f>T379-HLOOKUP(V379,Minimas!$C$3:$CD$12,2,FALSE)</f>
        <v>#N/A</v>
      </c>
      <c r="AC379" s="230" t="e">
        <f>T379-HLOOKUP(V379,Minimas!$C$3:$CD$12,3,FALSE)</f>
        <v>#N/A</v>
      </c>
      <c r="AD379" s="230" t="e">
        <f>T379-HLOOKUP(V379,Minimas!$C$3:$CD$12,4,FALSE)</f>
        <v>#N/A</v>
      </c>
      <c r="AE379" s="230" t="e">
        <f>T379-HLOOKUP(V379,Minimas!$C$3:$CD$12,5,FALSE)</f>
        <v>#N/A</v>
      </c>
      <c r="AF379" s="230" t="e">
        <f>T379-HLOOKUP(V379,Minimas!$C$3:$CD$12,6,FALSE)</f>
        <v>#N/A</v>
      </c>
      <c r="AG379" s="230" t="e">
        <f>T379-HLOOKUP(V379,Minimas!$C$3:$CD$12,7,FALSE)</f>
        <v>#N/A</v>
      </c>
      <c r="AH379" s="230" t="e">
        <f>T379-HLOOKUP(V379,Minimas!$C$3:$CD$12,8,FALSE)</f>
        <v>#N/A</v>
      </c>
      <c r="AI379" s="230" t="e">
        <f>T379-HLOOKUP(V379,Minimas!$C$3:$CD$12,9,FALSE)</f>
        <v>#N/A</v>
      </c>
      <c r="AJ379" s="230" t="e">
        <f>T379-HLOOKUP(V379,Minimas!$C$3:$CD$12,10,FALSE)</f>
        <v>#N/A</v>
      </c>
      <c r="AK379" s="231" t="str">
        <f t="shared" ref="AK379:AK442" si="112">IF(E379=0," ",IF(AJ379&gt;=0,$AJ$5,IF(AI379&gt;=0,$AI$5,IF(AH379&gt;=0,$AH$5,IF(AG379&gt;=0,$AG$5,IF(AF379&gt;=0,$AF$5,IF(AE379&gt;=0,$AE$5,IF(AD379&gt;=0,$AD$5,IF(AC379&gt;=0,$AC$5,$AB$5)))))))))</f>
        <v xml:space="preserve"> </v>
      </c>
      <c r="AL379" s="232"/>
      <c r="AM379" s="232" t="str">
        <f t="shared" ref="AM379:AM442" si="113">IF(AK379="","",AK379)</f>
        <v xml:space="preserve"> </v>
      </c>
      <c r="AN379" s="232" t="str">
        <f t="shared" ref="AN379:AN442" si="114">IF(E379=0," ",IF(AJ379&gt;=0,AJ379,IF(AI379&gt;=0,AI379,IF(AH379&gt;=0,AH379,IF(AG379&gt;=0,AG379,IF(AF379&gt;=0,AF379,IF(AE379&gt;=0,AE379,IF(AD379&gt;=0,AD379,IF(AC379&gt;=0,AC379,AB379)))))))))</f>
        <v xml:space="preserve"> </v>
      </c>
    </row>
    <row r="380" spans="28:40" ht="14" x14ac:dyDescent="0.25">
      <c r="AB380" s="230" t="e">
        <f>T380-HLOOKUP(V380,Minimas!$C$3:$CD$12,2,FALSE)</f>
        <v>#N/A</v>
      </c>
      <c r="AC380" s="230" t="e">
        <f>T380-HLOOKUP(V380,Minimas!$C$3:$CD$12,3,FALSE)</f>
        <v>#N/A</v>
      </c>
      <c r="AD380" s="230" t="e">
        <f>T380-HLOOKUP(V380,Minimas!$C$3:$CD$12,4,FALSE)</f>
        <v>#N/A</v>
      </c>
      <c r="AE380" s="230" t="e">
        <f>T380-HLOOKUP(V380,Minimas!$C$3:$CD$12,5,FALSE)</f>
        <v>#N/A</v>
      </c>
      <c r="AF380" s="230" t="e">
        <f>T380-HLOOKUP(V380,Minimas!$C$3:$CD$12,6,FALSE)</f>
        <v>#N/A</v>
      </c>
      <c r="AG380" s="230" t="e">
        <f>T380-HLOOKUP(V380,Minimas!$C$3:$CD$12,7,FALSE)</f>
        <v>#N/A</v>
      </c>
      <c r="AH380" s="230" t="e">
        <f>T380-HLOOKUP(V380,Minimas!$C$3:$CD$12,8,FALSE)</f>
        <v>#N/A</v>
      </c>
      <c r="AI380" s="230" t="e">
        <f>T380-HLOOKUP(V380,Minimas!$C$3:$CD$12,9,FALSE)</f>
        <v>#N/A</v>
      </c>
      <c r="AJ380" s="230" t="e">
        <f>T380-HLOOKUP(V380,Minimas!$C$3:$CD$12,10,FALSE)</f>
        <v>#N/A</v>
      </c>
      <c r="AK380" s="231" t="str">
        <f t="shared" si="112"/>
        <v xml:space="preserve"> </v>
      </c>
      <c r="AL380" s="232"/>
      <c r="AM380" s="232" t="str">
        <f t="shared" si="113"/>
        <v xml:space="preserve"> </v>
      </c>
      <c r="AN380" s="232" t="str">
        <f t="shared" si="114"/>
        <v xml:space="preserve"> </v>
      </c>
    </row>
    <row r="381" spans="28:40" ht="14" x14ac:dyDescent="0.25">
      <c r="AB381" s="230" t="e">
        <f>T381-HLOOKUP(V381,Minimas!$C$3:$CD$12,2,FALSE)</f>
        <v>#N/A</v>
      </c>
      <c r="AC381" s="230" t="e">
        <f>T381-HLOOKUP(V381,Minimas!$C$3:$CD$12,3,FALSE)</f>
        <v>#N/A</v>
      </c>
      <c r="AD381" s="230" t="e">
        <f>T381-HLOOKUP(V381,Minimas!$C$3:$CD$12,4,FALSE)</f>
        <v>#N/A</v>
      </c>
      <c r="AE381" s="230" t="e">
        <f>T381-HLOOKUP(V381,Minimas!$C$3:$CD$12,5,FALSE)</f>
        <v>#N/A</v>
      </c>
      <c r="AF381" s="230" t="e">
        <f>T381-HLOOKUP(V381,Minimas!$C$3:$CD$12,6,FALSE)</f>
        <v>#N/A</v>
      </c>
      <c r="AG381" s="230" t="e">
        <f>T381-HLOOKUP(V381,Minimas!$C$3:$CD$12,7,FALSE)</f>
        <v>#N/A</v>
      </c>
      <c r="AH381" s="230" t="e">
        <f>T381-HLOOKUP(V381,Minimas!$C$3:$CD$12,8,FALSE)</f>
        <v>#N/A</v>
      </c>
      <c r="AI381" s="230" t="e">
        <f>T381-HLOOKUP(V381,Minimas!$C$3:$CD$12,9,FALSE)</f>
        <v>#N/A</v>
      </c>
      <c r="AJ381" s="230" t="e">
        <f>T381-HLOOKUP(V381,Minimas!$C$3:$CD$12,10,FALSE)</f>
        <v>#N/A</v>
      </c>
      <c r="AK381" s="231" t="str">
        <f t="shared" si="112"/>
        <v xml:space="preserve"> </v>
      </c>
      <c r="AL381" s="232"/>
      <c r="AM381" s="232" t="str">
        <f t="shared" si="113"/>
        <v xml:space="preserve"> </v>
      </c>
      <c r="AN381" s="232" t="str">
        <f t="shared" si="114"/>
        <v xml:space="preserve"> </v>
      </c>
    </row>
    <row r="382" spans="28:40" ht="14" x14ac:dyDescent="0.25">
      <c r="AB382" s="230" t="e">
        <f>T382-HLOOKUP(V382,Minimas!$C$3:$CD$12,2,FALSE)</f>
        <v>#N/A</v>
      </c>
      <c r="AC382" s="230" t="e">
        <f>T382-HLOOKUP(V382,Minimas!$C$3:$CD$12,3,FALSE)</f>
        <v>#N/A</v>
      </c>
      <c r="AD382" s="230" t="e">
        <f>T382-HLOOKUP(V382,Minimas!$C$3:$CD$12,4,FALSE)</f>
        <v>#N/A</v>
      </c>
      <c r="AE382" s="230" t="e">
        <f>T382-HLOOKUP(V382,Minimas!$C$3:$CD$12,5,FALSE)</f>
        <v>#N/A</v>
      </c>
      <c r="AF382" s="230" t="e">
        <f>T382-HLOOKUP(V382,Minimas!$C$3:$CD$12,6,FALSE)</f>
        <v>#N/A</v>
      </c>
      <c r="AG382" s="230" t="e">
        <f>T382-HLOOKUP(V382,Minimas!$C$3:$CD$12,7,FALSE)</f>
        <v>#N/A</v>
      </c>
      <c r="AH382" s="230" t="e">
        <f>T382-HLOOKUP(V382,Minimas!$C$3:$CD$12,8,FALSE)</f>
        <v>#N/A</v>
      </c>
      <c r="AI382" s="230" t="e">
        <f>T382-HLOOKUP(V382,Minimas!$C$3:$CD$12,9,FALSE)</f>
        <v>#N/A</v>
      </c>
      <c r="AJ382" s="230" t="e">
        <f>T382-HLOOKUP(V382,Minimas!$C$3:$CD$12,10,FALSE)</f>
        <v>#N/A</v>
      </c>
      <c r="AK382" s="231" t="str">
        <f t="shared" si="112"/>
        <v xml:space="preserve"> </v>
      </c>
      <c r="AL382" s="232"/>
      <c r="AM382" s="232" t="str">
        <f t="shared" si="113"/>
        <v xml:space="preserve"> </v>
      </c>
      <c r="AN382" s="232" t="str">
        <f t="shared" si="114"/>
        <v xml:space="preserve"> </v>
      </c>
    </row>
    <row r="383" spans="28:40" ht="14" x14ac:dyDescent="0.25">
      <c r="AB383" s="230" t="e">
        <f>T383-HLOOKUP(V383,Minimas!$C$3:$CD$12,2,FALSE)</f>
        <v>#N/A</v>
      </c>
      <c r="AC383" s="230" t="e">
        <f>T383-HLOOKUP(V383,Minimas!$C$3:$CD$12,3,FALSE)</f>
        <v>#N/A</v>
      </c>
      <c r="AD383" s="230" t="e">
        <f>T383-HLOOKUP(V383,Minimas!$C$3:$CD$12,4,FALSE)</f>
        <v>#N/A</v>
      </c>
      <c r="AE383" s="230" t="e">
        <f>T383-HLOOKUP(V383,Minimas!$C$3:$CD$12,5,FALSE)</f>
        <v>#N/A</v>
      </c>
      <c r="AF383" s="230" t="e">
        <f>T383-HLOOKUP(V383,Minimas!$C$3:$CD$12,6,FALSE)</f>
        <v>#N/A</v>
      </c>
      <c r="AG383" s="230" t="e">
        <f>T383-HLOOKUP(V383,Minimas!$C$3:$CD$12,7,FALSE)</f>
        <v>#N/A</v>
      </c>
      <c r="AH383" s="230" t="e">
        <f>T383-HLOOKUP(V383,Minimas!$C$3:$CD$12,8,FALSE)</f>
        <v>#N/A</v>
      </c>
      <c r="AI383" s="230" t="e">
        <f>T383-HLOOKUP(V383,Minimas!$C$3:$CD$12,9,FALSE)</f>
        <v>#N/A</v>
      </c>
      <c r="AJ383" s="230" t="e">
        <f>T383-HLOOKUP(V383,Minimas!$C$3:$CD$12,10,FALSE)</f>
        <v>#N/A</v>
      </c>
      <c r="AK383" s="231" t="str">
        <f t="shared" si="112"/>
        <v xml:space="preserve"> </v>
      </c>
      <c r="AL383" s="232"/>
      <c r="AM383" s="232" t="str">
        <f t="shared" si="113"/>
        <v xml:space="preserve"> </v>
      </c>
      <c r="AN383" s="232" t="str">
        <f t="shared" si="114"/>
        <v xml:space="preserve"> </v>
      </c>
    </row>
    <row r="384" spans="28:40" ht="14" x14ac:dyDescent="0.25">
      <c r="AB384" s="230" t="e">
        <f>T384-HLOOKUP(V384,Minimas!$C$3:$CD$12,2,FALSE)</f>
        <v>#N/A</v>
      </c>
      <c r="AC384" s="230" t="e">
        <f>T384-HLOOKUP(V384,Minimas!$C$3:$CD$12,3,FALSE)</f>
        <v>#N/A</v>
      </c>
      <c r="AD384" s="230" t="e">
        <f>T384-HLOOKUP(V384,Minimas!$C$3:$CD$12,4,FALSE)</f>
        <v>#N/A</v>
      </c>
      <c r="AE384" s="230" t="e">
        <f>T384-HLOOKUP(V384,Minimas!$C$3:$CD$12,5,FALSE)</f>
        <v>#N/A</v>
      </c>
      <c r="AF384" s="230" t="e">
        <f>T384-HLOOKUP(V384,Minimas!$C$3:$CD$12,6,FALSE)</f>
        <v>#N/A</v>
      </c>
      <c r="AG384" s="230" t="e">
        <f>T384-HLOOKUP(V384,Minimas!$C$3:$CD$12,7,FALSE)</f>
        <v>#N/A</v>
      </c>
      <c r="AH384" s="230" t="e">
        <f>T384-HLOOKUP(V384,Minimas!$C$3:$CD$12,8,FALSE)</f>
        <v>#N/A</v>
      </c>
      <c r="AI384" s="230" t="e">
        <f>T384-HLOOKUP(V384,Minimas!$C$3:$CD$12,9,FALSE)</f>
        <v>#N/A</v>
      </c>
      <c r="AJ384" s="230" t="e">
        <f>T384-HLOOKUP(V384,Minimas!$C$3:$CD$12,10,FALSE)</f>
        <v>#N/A</v>
      </c>
      <c r="AK384" s="231" t="str">
        <f t="shared" si="112"/>
        <v xml:space="preserve"> </v>
      </c>
      <c r="AL384" s="232"/>
      <c r="AM384" s="232" t="str">
        <f t="shared" si="113"/>
        <v xml:space="preserve"> </v>
      </c>
      <c r="AN384" s="232" t="str">
        <f t="shared" si="114"/>
        <v xml:space="preserve"> </v>
      </c>
    </row>
    <row r="385" spans="28:40" ht="14" x14ac:dyDescent="0.25">
      <c r="AB385" s="230" t="e">
        <f>T385-HLOOKUP(V385,Minimas!$C$3:$CD$12,2,FALSE)</f>
        <v>#N/A</v>
      </c>
      <c r="AC385" s="230" t="e">
        <f>T385-HLOOKUP(V385,Minimas!$C$3:$CD$12,3,FALSE)</f>
        <v>#N/A</v>
      </c>
      <c r="AD385" s="230" t="e">
        <f>T385-HLOOKUP(V385,Minimas!$C$3:$CD$12,4,FALSE)</f>
        <v>#N/A</v>
      </c>
      <c r="AE385" s="230" t="e">
        <f>T385-HLOOKUP(V385,Minimas!$C$3:$CD$12,5,FALSE)</f>
        <v>#N/A</v>
      </c>
      <c r="AF385" s="230" t="e">
        <f>T385-HLOOKUP(V385,Minimas!$C$3:$CD$12,6,FALSE)</f>
        <v>#N/A</v>
      </c>
      <c r="AG385" s="230" t="e">
        <f>T385-HLOOKUP(V385,Minimas!$C$3:$CD$12,7,FALSE)</f>
        <v>#N/A</v>
      </c>
      <c r="AH385" s="230" t="e">
        <f>T385-HLOOKUP(V385,Minimas!$C$3:$CD$12,8,FALSE)</f>
        <v>#N/A</v>
      </c>
      <c r="AI385" s="230" t="e">
        <f>T385-HLOOKUP(V385,Minimas!$C$3:$CD$12,9,FALSE)</f>
        <v>#N/A</v>
      </c>
      <c r="AJ385" s="230" t="e">
        <f>T385-HLOOKUP(V385,Minimas!$C$3:$CD$12,10,FALSE)</f>
        <v>#N/A</v>
      </c>
      <c r="AK385" s="231" t="str">
        <f t="shared" si="112"/>
        <v xml:space="preserve"> </v>
      </c>
      <c r="AL385" s="232"/>
      <c r="AM385" s="232" t="str">
        <f t="shared" si="113"/>
        <v xml:space="preserve"> </v>
      </c>
      <c r="AN385" s="232" t="str">
        <f t="shared" si="114"/>
        <v xml:space="preserve"> </v>
      </c>
    </row>
    <row r="386" spans="28:40" ht="14" x14ac:dyDescent="0.25">
      <c r="AB386" s="230" t="e">
        <f>T386-HLOOKUP(V386,Minimas!$C$3:$CD$12,2,FALSE)</f>
        <v>#N/A</v>
      </c>
      <c r="AC386" s="230" t="e">
        <f>T386-HLOOKUP(V386,Minimas!$C$3:$CD$12,3,FALSE)</f>
        <v>#N/A</v>
      </c>
      <c r="AD386" s="230" t="e">
        <f>T386-HLOOKUP(V386,Minimas!$C$3:$CD$12,4,FALSE)</f>
        <v>#N/A</v>
      </c>
      <c r="AE386" s="230" t="e">
        <f>T386-HLOOKUP(V386,Minimas!$C$3:$CD$12,5,FALSE)</f>
        <v>#N/A</v>
      </c>
      <c r="AF386" s="230" t="e">
        <f>T386-HLOOKUP(V386,Minimas!$C$3:$CD$12,6,FALSE)</f>
        <v>#N/A</v>
      </c>
      <c r="AG386" s="230" t="e">
        <f>T386-HLOOKUP(V386,Minimas!$C$3:$CD$12,7,FALSE)</f>
        <v>#N/A</v>
      </c>
      <c r="AH386" s="230" t="e">
        <f>T386-HLOOKUP(V386,Minimas!$C$3:$CD$12,8,FALSE)</f>
        <v>#N/A</v>
      </c>
      <c r="AI386" s="230" t="e">
        <f>T386-HLOOKUP(V386,Minimas!$C$3:$CD$12,9,FALSE)</f>
        <v>#N/A</v>
      </c>
      <c r="AJ386" s="230" t="e">
        <f>T386-HLOOKUP(V386,Minimas!$C$3:$CD$12,10,FALSE)</f>
        <v>#N/A</v>
      </c>
      <c r="AK386" s="231" t="str">
        <f t="shared" si="112"/>
        <v xml:space="preserve"> </v>
      </c>
      <c r="AL386" s="232"/>
      <c r="AM386" s="232" t="str">
        <f t="shared" si="113"/>
        <v xml:space="preserve"> </v>
      </c>
      <c r="AN386" s="232" t="str">
        <f t="shared" si="114"/>
        <v xml:space="preserve"> </v>
      </c>
    </row>
    <row r="387" spans="28:40" ht="14" x14ac:dyDescent="0.25">
      <c r="AB387" s="230" t="e">
        <f>T387-HLOOKUP(V387,Minimas!$C$3:$CD$12,2,FALSE)</f>
        <v>#N/A</v>
      </c>
      <c r="AC387" s="230" t="e">
        <f>T387-HLOOKUP(V387,Minimas!$C$3:$CD$12,3,FALSE)</f>
        <v>#N/A</v>
      </c>
      <c r="AD387" s="230" t="e">
        <f>T387-HLOOKUP(V387,Minimas!$C$3:$CD$12,4,FALSE)</f>
        <v>#N/A</v>
      </c>
      <c r="AE387" s="230" t="e">
        <f>T387-HLOOKUP(V387,Minimas!$C$3:$CD$12,5,FALSE)</f>
        <v>#N/A</v>
      </c>
      <c r="AF387" s="230" t="e">
        <f>T387-HLOOKUP(V387,Minimas!$C$3:$CD$12,6,FALSE)</f>
        <v>#N/A</v>
      </c>
      <c r="AG387" s="230" t="e">
        <f>T387-HLOOKUP(V387,Minimas!$C$3:$CD$12,7,FALSE)</f>
        <v>#N/A</v>
      </c>
      <c r="AH387" s="230" t="e">
        <f>T387-HLOOKUP(V387,Minimas!$C$3:$CD$12,8,FALSE)</f>
        <v>#N/A</v>
      </c>
      <c r="AI387" s="230" t="e">
        <f>T387-HLOOKUP(V387,Minimas!$C$3:$CD$12,9,FALSE)</f>
        <v>#N/A</v>
      </c>
      <c r="AJ387" s="230" t="e">
        <f>T387-HLOOKUP(V387,Minimas!$C$3:$CD$12,10,FALSE)</f>
        <v>#N/A</v>
      </c>
      <c r="AK387" s="231" t="str">
        <f t="shared" si="112"/>
        <v xml:space="preserve"> </v>
      </c>
      <c r="AL387" s="232"/>
      <c r="AM387" s="232" t="str">
        <f t="shared" si="113"/>
        <v xml:space="preserve"> </v>
      </c>
      <c r="AN387" s="232" t="str">
        <f t="shared" si="114"/>
        <v xml:space="preserve"> </v>
      </c>
    </row>
    <row r="388" spans="28:40" ht="14" x14ac:dyDescent="0.25">
      <c r="AB388" s="230" t="e">
        <f>T388-HLOOKUP(V388,Minimas!$C$3:$CD$12,2,FALSE)</f>
        <v>#N/A</v>
      </c>
      <c r="AC388" s="230" t="e">
        <f>T388-HLOOKUP(V388,Minimas!$C$3:$CD$12,3,FALSE)</f>
        <v>#N/A</v>
      </c>
      <c r="AD388" s="230" t="e">
        <f>T388-HLOOKUP(V388,Minimas!$C$3:$CD$12,4,FALSE)</f>
        <v>#N/A</v>
      </c>
      <c r="AE388" s="230" t="e">
        <f>T388-HLOOKUP(V388,Minimas!$C$3:$CD$12,5,FALSE)</f>
        <v>#N/A</v>
      </c>
      <c r="AF388" s="230" t="e">
        <f>T388-HLOOKUP(V388,Minimas!$C$3:$CD$12,6,FALSE)</f>
        <v>#N/A</v>
      </c>
      <c r="AG388" s="230" t="e">
        <f>T388-HLOOKUP(V388,Minimas!$C$3:$CD$12,7,FALSE)</f>
        <v>#N/A</v>
      </c>
      <c r="AH388" s="230" t="e">
        <f>T388-HLOOKUP(V388,Minimas!$C$3:$CD$12,8,FALSE)</f>
        <v>#N/A</v>
      </c>
      <c r="AI388" s="230" t="e">
        <f>T388-HLOOKUP(V388,Minimas!$C$3:$CD$12,9,FALSE)</f>
        <v>#N/A</v>
      </c>
      <c r="AJ388" s="230" t="e">
        <f>T388-HLOOKUP(V388,Minimas!$C$3:$CD$12,10,FALSE)</f>
        <v>#N/A</v>
      </c>
      <c r="AK388" s="231" t="str">
        <f t="shared" si="112"/>
        <v xml:space="preserve"> </v>
      </c>
      <c r="AL388" s="232"/>
      <c r="AM388" s="232" t="str">
        <f t="shared" si="113"/>
        <v xml:space="preserve"> </v>
      </c>
      <c r="AN388" s="232" t="str">
        <f t="shared" si="114"/>
        <v xml:space="preserve"> </v>
      </c>
    </row>
    <row r="389" spans="28:40" ht="14" x14ac:dyDescent="0.25">
      <c r="AB389" s="230" t="e">
        <f>T389-HLOOKUP(V389,Minimas!$C$3:$CD$12,2,FALSE)</f>
        <v>#N/A</v>
      </c>
      <c r="AC389" s="230" t="e">
        <f>T389-HLOOKUP(V389,Minimas!$C$3:$CD$12,3,FALSE)</f>
        <v>#N/A</v>
      </c>
      <c r="AD389" s="230" t="e">
        <f>T389-HLOOKUP(V389,Minimas!$C$3:$CD$12,4,FALSE)</f>
        <v>#N/A</v>
      </c>
      <c r="AE389" s="230" t="e">
        <f>T389-HLOOKUP(V389,Minimas!$C$3:$CD$12,5,FALSE)</f>
        <v>#N/A</v>
      </c>
      <c r="AF389" s="230" t="e">
        <f>T389-HLOOKUP(V389,Minimas!$C$3:$CD$12,6,FALSE)</f>
        <v>#N/A</v>
      </c>
      <c r="AG389" s="230" t="e">
        <f>T389-HLOOKUP(V389,Minimas!$C$3:$CD$12,7,FALSE)</f>
        <v>#N/A</v>
      </c>
      <c r="AH389" s="230" t="e">
        <f>T389-HLOOKUP(V389,Minimas!$C$3:$CD$12,8,FALSE)</f>
        <v>#N/A</v>
      </c>
      <c r="AI389" s="230" t="e">
        <f>T389-HLOOKUP(V389,Minimas!$C$3:$CD$12,9,FALSE)</f>
        <v>#N/A</v>
      </c>
      <c r="AJ389" s="230" t="e">
        <f>T389-HLOOKUP(V389,Minimas!$C$3:$CD$12,10,FALSE)</f>
        <v>#N/A</v>
      </c>
      <c r="AK389" s="231" t="str">
        <f t="shared" si="112"/>
        <v xml:space="preserve"> </v>
      </c>
      <c r="AL389" s="232"/>
      <c r="AM389" s="232" t="str">
        <f t="shared" si="113"/>
        <v xml:space="preserve"> </v>
      </c>
      <c r="AN389" s="232" t="str">
        <f t="shared" si="114"/>
        <v xml:space="preserve"> </v>
      </c>
    </row>
    <row r="390" spans="28:40" ht="14" x14ac:dyDescent="0.25">
      <c r="AB390" s="230" t="e">
        <f>T390-HLOOKUP(V390,Minimas!$C$3:$CD$12,2,FALSE)</f>
        <v>#N/A</v>
      </c>
      <c r="AC390" s="230" t="e">
        <f>T390-HLOOKUP(V390,Minimas!$C$3:$CD$12,3,FALSE)</f>
        <v>#N/A</v>
      </c>
      <c r="AD390" s="230" t="e">
        <f>T390-HLOOKUP(V390,Minimas!$C$3:$CD$12,4,FALSE)</f>
        <v>#N/A</v>
      </c>
      <c r="AE390" s="230" t="e">
        <f>T390-HLOOKUP(V390,Minimas!$C$3:$CD$12,5,FALSE)</f>
        <v>#N/A</v>
      </c>
      <c r="AF390" s="230" t="e">
        <f>T390-HLOOKUP(V390,Minimas!$C$3:$CD$12,6,FALSE)</f>
        <v>#N/A</v>
      </c>
      <c r="AG390" s="230" t="e">
        <f>T390-HLOOKUP(V390,Minimas!$C$3:$CD$12,7,FALSE)</f>
        <v>#N/A</v>
      </c>
      <c r="AH390" s="230" t="e">
        <f>T390-HLOOKUP(V390,Minimas!$C$3:$CD$12,8,FALSE)</f>
        <v>#N/A</v>
      </c>
      <c r="AI390" s="230" t="e">
        <f>T390-HLOOKUP(V390,Minimas!$C$3:$CD$12,9,FALSE)</f>
        <v>#N/A</v>
      </c>
      <c r="AJ390" s="230" t="e">
        <f>T390-HLOOKUP(V390,Minimas!$C$3:$CD$12,10,FALSE)</f>
        <v>#N/A</v>
      </c>
      <c r="AK390" s="231" t="str">
        <f t="shared" si="112"/>
        <v xml:space="preserve"> </v>
      </c>
      <c r="AL390" s="232"/>
      <c r="AM390" s="232" t="str">
        <f t="shared" si="113"/>
        <v xml:space="preserve"> </v>
      </c>
      <c r="AN390" s="232" t="str">
        <f t="shared" si="114"/>
        <v xml:space="preserve"> </v>
      </c>
    </row>
    <row r="391" spans="28:40" ht="14" x14ac:dyDescent="0.25">
      <c r="AB391" s="230" t="e">
        <f>T391-HLOOKUP(V391,Minimas!$C$3:$CD$12,2,FALSE)</f>
        <v>#N/A</v>
      </c>
      <c r="AC391" s="230" t="e">
        <f>T391-HLOOKUP(V391,Minimas!$C$3:$CD$12,3,FALSE)</f>
        <v>#N/A</v>
      </c>
      <c r="AD391" s="230" t="e">
        <f>T391-HLOOKUP(V391,Minimas!$C$3:$CD$12,4,FALSE)</f>
        <v>#N/A</v>
      </c>
      <c r="AE391" s="230" t="e">
        <f>T391-HLOOKUP(V391,Minimas!$C$3:$CD$12,5,FALSE)</f>
        <v>#N/A</v>
      </c>
      <c r="AF391" s="230" t="e">
        <f>T391-HLOOKUP(V391,Minimas!$C$3:$CD$12,6,FALSE)</f>
        <v>#N/A</v>
      </c>
      <c r="AG391" s="230" t="e">
        <f>T391-HLOOKUP(V391,Minimas!$C$3:$CD$12,7,FALSE)</f>
        <v>#N/A</v>
      </c>
      <c r="AH391" s="230" t="e">
        <f>T391-HLOOKUP(V391,Minimas!$C$3:$CD$12,8,FALSE)</f>
        <v>#N/A</v>
      </c>
      <c r="AI391" s="230" t="e">
        <f>T391-HLOOKUP(V391,Minimas!$C$3:$CD$12,9,FALSE)</f>
        <v>#N/A</v>
      </c>
      <c r="AJ391" s="230" t="e">
        <f>T391-HLOOKUP(V391,Minimas!$C$3:$CD$12,10,FALSE)</f>
        <v>#N/A</v>
      </c>
      <c r="AK391" s="231" t="str">
        <f t="shared" si="112"/>
        <v xml:space="preserve"> </v>
      </c>
      <c r="AL391" s="232"/>
      <c r="AM391" s="232" t="str">
        <f t="shared" si="113"/>
        <v xml:space="preserve"> </v>
      </c>
      <c r="AN391" s="232" t="str">
        <f t="shared" si="114"/>
        <v xml:space="preserve"> </v>
      </c>
    </row>
    <row r="392" spans="28:40" ht="14" x14ac:dyDescent="0.25">
      <c r="AB392" s="230" t="e">
        <f>T392-HLOOKUP(V392,Minimas!$C$3:$CD$12,2,FALSE)</f>
        <v>#N/A</v>
      </c>
      <c r="AC392" s="230" t="e">
        <f>T392-HLOOKUP(V392,Minimas!$C$3:$CD$12,3,FALSE)</f>
        <v>#N/A</v>
      </c>
      <c r="AD392" s="230" t="e">
        <f>T392-HLOOKUP(V392,Minimas!$C$3:$CD$12,4,FALSE)</f>
        <v>#N/A</v>
      </c>
      <c r="AE392" s="230" t="e">
        <f>T392-HLOOKUP(V392,Minimas!$C$3:$CD$12,5,FALSE)</f>
        <v>#N/A</v>
      </c>
      <c r="AF392" s="230" t="e">
        <f>T392-HLOOKUP(V392,Minimas!$C$3:$CD$12,6,FALSE)</f>
        <v>#N/A</v>
      </c>
      <c r="AG392" s="230" t="e">
        <f>T392-HLOOKUP(V392,Minimas!$C$3:$CD$12,7,FALSE)</f>
        <v>#N/A</v>
      </c>
      <c r="AH392" s="230" t="e">
        <f>T392-HLOOKUP(V392,Minimas!$C$3:$CD$12,8,FALSE)</f>
        <v>#N/A</v>
      </c>
      <c r="AI392" s="230" t="e">
        <f>T392-HLOOKUP(V392,Minimas!$C$3:$CD$12,9,FALSE)</f>
        <v>#N/A</v>
      </c>
      <c r="AJ392" s="230" t="e">
        <f>T392-HLOOKUP(V392,Minimas!$C$3:$CD$12,10,FALSE)</f>
        <v>#N/A</v>
      </c>
      <c r="AK392" s="231" t="str">
        <f t="shared" si="112"/>
        <v xml:space="preserve"> </v>
      </c>
      <c r="AL392" s="232"/>
      <c r="AM392" s="232" t="str">
        <f t="shared" si="113"/>
        <v xml:space="preserve"> </v>
      </c>
      <c r="AN392" s="232" t="str">
        <f t="shared" si="114"/>
        <v xml:space="preserve"> </v>
      </c>
    </row>
    <row r="393" spans="28:40" ht="14" x14ac:dyDescent="0.25">
      <c r="AB393" s="230" t="e">
        <f>T393-HLOOKUP(V393,Minimas!$C$3:$CD$12,2,FALSE)</f>
        <v>#N/A</v>
      </c>
      <c r="AC393" s="230" t="e">
        <f>T393-HLOOKUP(V393,Minimas!$C$3:$CD$12,3,FALSE)</f>
        <v>#N/A</v>
      </c>
      <c r="AD393" s="230" t="e">
        <f>T393-HLOOKUP(V393,Minimas!$C$3:$CD$12,4,FALSE)</f>
        <v>#N/A</v>
      </c>
      <c r="AE393" s="230" t="e">
        <f>T393-HLOOKUP(V393,Minimas!$C$3:$CD$12,5,FALSE)</f>
        <v>#N/A</v>
      </c>
      <c r="AF393" s="230" t="e">
        <f>T393-HLOOKUP(V393,Minimas!$C$3:$CD$12,6,FALSE)</f>
        <v>#N/A</v>
      </c>
      <c r="AG393" s="230" t="e">
        <f>T393-HLOOKUP(V393,Minimas!$C$3:$CD$12,7,FALSE)</f>
        <v>#N/A</v>
      </c>
      <c r="AH393" s="230" t="e">
        <f>T393-HLOOKUP(V393,Minimas!$C$3:$CD$12,8,FALSE)</f>
        <v>#N/A</v>
      </c>
      <c r="AI393" s="230" t="e">
        <f>T393-HLOOKUP(V393,Minimas!$C$3:$CD$12,9,FALSE)</f>
        <v>#N/A</v>
      </c>
      <c r="AJ393" s="230" t="e">
        <f>T393-HLOOKUP(V393,Minimas!$C$3:$CD$12,10,FALSE)</f>
        <v>#N/A</v>
      </c>
      <c r="AK393" s="231" t="str">
        <f t="shared" si="112"/>
        <v xml:space="preserve"> </v>
      </c>
      <c r="AL393" s="232"/>
      <c r="AM393" s="232" t="str">
        <f t="shared" si="113"/>
        <v xml:space="preserve"> </v>
      </c>
      <c r="AN393" s="232" t="str">
        <f t="shared" si="114"/>
        <v xml:space="preserve"> </v>
      </c>
    </row>
    <row r="394" spans="28:40" ht="14" x14ac:dyDescent="0.25">
      <c r="AB394" s="230" t="e">
        <f>T394-HLOOKUP(V394,Minimas!$C$3:$CD$12,2,FALSE)</f>
        <v>#N/A</v>
      </c>
      <c r="AC394" s="230" t="e">
        <f>T394-HLOOKUP(V394,Minimas!$C$3:$CD$12,3,FALSE)</f>
        <v>#N/A</v>
      </c>
      <c r="AD394" s="230" t="e">
        <f>T394-HLOOKUP(V394,Minimas!$C$3:$CD$12,4,FALSE)</f>
        <v>#N/A</v>
      </c>
      <c r="AE394" s="230" t="e">
        <f>T394-HLOOKUP(V394,Minimas!$C$3:$CD$12,5,FALSE)</f>
        <v>#N/A</v>
      </c>
      <c r="AF394" s="230" t="e">
        <f>T394-HLOOKUP(V394,Minimas!$C$3:$CD$12,6,FALSE)</f>
        <v>#N/A</v>
      </c>
      <c r="AG394" s="230" t="e">
        <f>T394-HLOOKUP(V394,Minimas!$C$3:$CD$12,7,FALSE)</f>
        <v>#N/A</v>
      </c>
      <c r="AH394" s="230" t="e">
        <f>T394-HLOOKUP(V394,Minimas!$C$3:$CD$12,8,FALSE)</f>
        <v>#N/A</v>
      </c>
      <c r="AI394" s="230" t="e">
        <f>T394-HLOOKUP(V394,Minimas!$C$3:$CD$12,9,FALSE)</f>
        <v>#N/A</v>
      </c>
      <c r="AJ394" s="230" t="e">
        <f>T394-HLOOKUP(V394,Minimas!$C$3:$CD$12,10,FALSE)</f>
        <v>#N/A</v>
      </c>
      <c r="AK394" s="231" t="str">
        <f t="shared" si="112"/>
        <v xml:space="preserve"> </v>
      </c>
      <c r="AL394" s="232"/>
      <c r="AM394" s="232" t="str">
        <f t="shared" si="113"/>
        <v xml:space="preserve"> </v>
      </c>
      <c r="AN394" s="232" t="str">
        <f t="shared" si="114"/>
        <v xml:space="preserve"> </v>
      </c>
    </row>
    <row r="395" spans="28:40" ht="14" x14ac:dyDescent="0.25">
      <c r="AB395" s="230" t="e">
        <f>T395-HLOOKUP(V395,Minimas!$C$3:$CD$12,2,FALSE)</f>
        <v>#N/A</v>
      </c>
      <c r="AC395" s="230" t="e">
        <f>T395-HLOOKUP(V395,Minimas!$C$3:$CD$12,3,FALSE)</f>
        <v>#N/A</v>
      </c>
      <c r="AD395" s="230" t="e">
        <f>T395-HLOOKUP(V395,Minimas!$C$3:$CD$12,4,FALSE)</f>
        <v>#N/A</v>
      </c>
      <c r="AE395" s="230" t="e">
        <f>T395-HLOOKUP(V395,Minimas!$C$3:$CD$12,5,FALSE)</f>
        <v>#N/A</v>
      </c>
      <c r="AF395" s="230" t="e">
        <f>T395-HLOOKUP(V395,Minimas!$C$3:$CD$12,6,FALSE)</f>
        <v>#N/A</v>
      </c>
      <c r="AG395" s="230" t="e">
        <f>T395-HLOOKUP(V395,Minimas!$C$3:$CD$12,7,FALSE)</f>
        <v>#N/A</v>
      </c>
      <c r="AH395" s="230" t="e">
        <f>T395-HLOOKUP(V395,Minimas!$C$3:$CD$12,8,FALSE)</f>
        <v>#N/A</v>
      </c>
      <c r="AI395" s="230" t="e">
        <f>T395-HLOOKUP(V395,Minimas!$C$3:$CD$12,9,FALSE)</f>
        <v>#N/A</v>
      </c>
      <c r="AJ395" s="230" t="e">
        <f>T395-HLOOKUP(V395,Minimas!$C$3:$CD$12,10,FALSE)</f>
        <v>#N/A</v>
      </c>
      <c r="AK395" s="231" t="str">
        <f t="shared" si="112"/>
        <v xml:space="preserve"> </v>
      </c>
      <c r="AL395" s="232"/>
      <c r="AM395" s="232" t="str">
        <f t="shared" si="113"/>
        <v xml:space="preserve"> </v>
      </c>
      <c r="AN395" s="232" t="str">
        <f t="shared" si="114"/>
        <v xml:space="preserve"> </v>
      </c>
    </row>
    <row r="396" spans="28:40" ht="14" x14ac:dyDescent="0.25">
      <c r="AB396" s="230" t="e">
        <f>T396-HLOOKUP(V396,Minimas!$C$3:$CD$12,2,FALSE)</f>
        <v>#N/A</v>
      </c>
      <c r="AC396" s="230" t="e">
        <f>T396-HLOOKUP(V396,Minimas!$C$3:$CD$12,3,FALSE)</f>
        <v>#N/A</v>
      </c>
      <c r="AD396" s="230" t="e">
        <f>T396-HLOOKUP(V396,Minimas!$C$3:$CD$12,4,FALSE)</f>
        <v>#N/A</v>
      </c>
      <c r="AE396" s="230" t="e">
        <f>T396-HLOOKUP(V396,Minimas!$C$3:$CD$12,5,FALSE)</f>
        <v>#N/A</v>
      </c>
      <c r="AF396" s="230" t="e">
        <f>T396-HLOOKUP(V396,Minimas!$C$3:$CD$12,6,FALSE)</f>
        <v>#N/A</v>
      </c>
      <c r="AG396" s="230" t="e">
        <f>T396-HLOOKUP(V396,Minimas!$C$3:$CD$12,7,FALSE)</f>
        <v>#N/A</v>
      </c>
      <c r="AH396" s="230" t="e">
        <f>T396-HLOOKUP(V396,Minimas!$C$3:$CD$12,8,FALSE)</f>
        <v>#N/A</v>
      </c>
      <c r="AI396" s="230" t="e">
        <f>T396-HLOOKUP(V396,Minimas!$C$3:$CD$12,9,FALSE)</f>
        <v>#N/A</v>
      </c>
      <c r="AJ396" s="230" t="e">
        <f>T396-HLOOKUP(V396,Minimas!$C$3:$CD$12,10,FALSE)</f>
        <v>#N/A</v>
      </c>
      <c r="AK396" s="231" t="str">
        <f t="shared" si="112"/>
        <v xml:space="preserve"> </v>
      </c>
      <c r="AL396" s="232"/>
      <c r="AM396" s="232" t="str">
        <f t="shared" si="113"/>
        <v xml:space="preserve"> </v>
      </c>
      <c r="AN396" s="232" t="str">
        <f t="shared" si="114"/>
        <v xml:space="preserve"> </v>
      </c>
    </row>
    <row r="397" spans="28:40" ht="14" x14ac:dyDescent="0.25">
      <c r="AB397" s="230" t="e">
        <f>T397-HLOOKUP(V397,Minimas!$C$3:$CD$12,2,FALSE)</f>
        <v>#N/A</v>
      </c>
      <c r="AC397" s="230" t="e">
        <f>T397-HLOOKUP(V397,Minimas!$C$3:$CD$12,3,FALSE)</f>
        <v>#N/A</v>
      </c>
      <c r="AD397" s="230" t="e">
        <f>T397-HLOOKUP(V397,Minimas!$C$3:$CD$12,4,FALSE)</f>
        <v>#N/A</v>
      </c>
      <c r="AE397" s="230" t="e">
        <f>T397-HLOOKUP(V397,Minimas!$C$3:$CD$12,5,FALSE)</f>
        <v>#N/A</v>
      </c>
      <c r="AF397" s="230" t="e">
        <f>T397-HLOOKUP(V397,Minimas!$C$3:$CD$12,6,FALSE)</f>
        <v>#N/A</v>
      </c>
      <c r="AG397" s="230" t="e">
        <f>T397-HLOOKUP(V397,Minimas!$C$3:$CD$12,7,FALSE)</f>
        <v>#N/A</v>
      </c>
      <c r="AH397" s="230" t="e">
        <f>T397-HLOOKUP(V397,Minimas!$C$3:$CD$12,8,FALSE)</f>
        <v>#N/A</v>
      </c>
      <c r="AI397" s="230" t="e">
        <f>T397-HLOOKUP(V397,Minimas!$C$3:$CD$12,9,FALSE)</f>
        <v>#N/A</v>
      </c>
      <c r="AJ397" s="230" t="e">
        <f>T397-HLOOKUP(V397,Minimas!$C$3:$CD$12,10,FALSE)</f>
        <v>#N/A</v>
      </c>
      <c r="AK397" s="231" t="str">
        <f t="shared" si="112"/>
        <v xml:space="preserve"> </v>
      </c>
      <c r="AL397" s="232"/>
      <c r="AM397" s="232" t="str">
        <f t="shared" si="113"/>
        <v xml:space="preserve"> </v>
      </c>
      <c r="AN397" s="232" t="str">
        <f t="shared" si="114"/>
        <v xml:space="preserve"> </v>
      </c>
    </row>
    <row r="398" spans="28:40" ht="14" x14ac:dyDescent="0.25">
      <c r="AB398" s="230" t="e">
        <f>T398-HLOOKUP(V398,Minimas!$C$3:$CD$12,2,FALSE)</f>
        <v>#N/A</v>
      </c>
      <c r="AC398" s="230" t="e">
        <f>T398-HLOOKUP(V398,Minimas!$C$3:$CD$12,3,FALSE)</f>
        <v>#N/A</v>
      </c>
      <c r="AD398" s="230" t="e">
        <f>T398-HLOOKUP(V398,Minimas!$C$3:$CD$12,4,FALSE)</f>
        <v>#N/A</v>
      </c>
      <c r="AE398" s="230" t="e">
        <f>T398-HLOOKUP(V398,Minimas!$C$3:$CD$12,5,FALSE)</f>
        <v>#N/A</v>
      </c>
      <c r="AF398" s="230" t="e">
        <f>T398-HLOOKUP(V398,Minimas!$C$3:$CD$12,6,FALSE)</f>
        <v>#N/A</v>
      </c>
      <c r="AG398" s="230" t="e">
        <f>T398-HLOOKUP(V398,Minimas!$C$3:$CD$12,7,FALSE)</f>
        <v>#N/A</v>
      </c>
      <c r="AH398" s="230" t="e">
        <f>T398-HLOOKUP(V398,Minimas!$C$3:$CD$12,8,FALSE)</f>
        <v>#N/A</v>
      </c>
      <c r="AI398" s="230" t="e">
        <f>T398-HLOOKUP(V398,Minimas!$C$3:$CD$12,9,FALSE)</f>
        <v>#N/A</v>
      </c>
      <c r="AJ398" s="230" t="e">
        <f>T398-HLOOKUP(V398,Minimas!$C$3:$CD$12,10,FALSE)</f>
        <v>#N/A</v>
      </c>
      <c r="AK398" s="231" t="str">
        <f t="shared" si="112"/>
        <v xml:space="preserve"> </v>
      </c>
      <c r="AL398" s="232"/>
      <c r="AM398" s="232" t="str">
        <f t="shared" si="113"/>
        <v xml:space="preserve"> </v>
      </c>
      <c r="AN398" s="232" t="str">
        <f t="shared" si="114"/>
        <v xml:space="preserve"> </v>
      </c>
    </row>
    <row r="399" spans="28:40" ht="14" x14ac:dyDescent="0.25">
      <c r="AB399" s="230" t="e">
        <f>T399-HLOOKUP(V399,Minimas!$C$3:$CD$12,2,FALSE)</f>
        <v>#N/A</v>
      </c>
      <c r="AC399" s="230" t="e">
        <f>T399-HLOOKUP(V399,Minimas!$C$3:$CD$12,3,FALSE)</f>
        <v>#N/A</v>
      </c>
      <c r="AD399" s="230" t="e">
        <f>T399-HLOOKUP(V399,Minimas!$C$3:$CD$12,4,FALSE)</f>
        <v>#N/A</v>
      </c>
      <c r="AE399" s="230" t="e">
        <f>T399-HLOOKUP(V399,Minimas!$C$3:$CD$12,5,FALSE)</f>
        <v>#N/A</v>
      </c>
      <c r="AF399" s="230" t="e">
        <f>T399-HLOOKUP(V399,Minimas!$C$3:$CD$12,6,FALSE)</f>
        <v>#N/A</v>
      </c>
      <c r="AG399" s="230" t="e">
        <f>T399-HLOOKUP(V399,Minimas!$C$3:$CD$12,7,FALSE)</f>
        <v>#N/A</v>
      </c>
      <c r="AH399" s="230" t="e">
        <f>T399-HLOOKUP(V399,Minimas!$C$3:$CD$12,8,FALSE)</f>
        <v>#N/A</v>
      </c>
      <c r="AI399" s="230" t="e">
        <f>T399-HLOOKUP(V399,Minimas!$C$3:$CD$12,9,FALSE)</f>
        <v>#N/A</v>
      </c>
      <c r="AJ399" s="230" t="e">
        <f>T399-HLOOKUP(V399,Minimas!$C$3:$CD$12,10,FALSE)</f>
        <v>#N/A</v>
      </c>
      <c r="AK399" s="231" t="str">
        <f t="shared" si="112"/>
        <v xml:space="preserve"> </v>
      </c>
      <c r="AL399" s="232"/>
      <c r="AM399" s="232" t="str">
        <f t="shared" si="113"/>
        <v xml:space="preserve"> </v>
      </c>
      <c r="AN399" s="232" t="str">
        <f t="shared" si="114"/>
        <v xml:space="preserve"> </v>
      </c>
    </row>
    <row r="400" spans="28:40" ht="14" x14ac:dyDescent="0.25">
      <c r="AB400" s="230" t="e">
        <f>T400-HLOOKUP(V400,Minimas!$C$3:$CD$12,2,FALSE)</f>
        <v>#N/A</v>
      </c>
      <c r="AC400" s="230" t="e">
        <f>T400-HLOOKUP(V400,Minimas!$C$3:$CD$12,3,FALSE)</f>
        <v>#N/A</v>
      </c>
      <c r="AD400" s="230" t="e">
        <f>T400-HLOOKUP(V400,Minimas!$C$3:$CD$12,4,FALSE)</f>
        <v>#N/A</v>
      </c>
      <c r="AE400" s="230" t="e">
        <f>T400-HLOOKUP(V400,Minimas!$C$3:$CD$12,5,FALSE)</f>
        <v>#N/A</v>
      </c>
      <c r="AF400" s="230" t="e">
        <f>T400-HLOOKUP(V400,Minimas!$C$3:$CD$12,6,FALSE)</f>
        <v>#N/A</v>
      </c>
      <c r="AG400" s="230" t="e">
        <f>T400-HLOOKUP(V400,Minimas!$C$3:$CD$12,7,FALSE)</f>
        <v>#N/A</v>
      </c>
      <c r="AH400" s="230" t="e">
        <f>T400-HLOOKUP(V400,Minimas!$C$3:$CD$12,8,FALSE)</f>
        <v>#N/A</v>
      </c>
      <c r="AI400" s="230" t="e">
        <f>T400-HLOOKUP(V400,Minimas!$C$3:$CD$12,9,FALSE)</f>
        <v>#N/A</v>
      </c>
      <c r="AJ400" s="230" t="e">
        <f>T400-HLOOKUP(V400,Minimas!$C$3:$CD$12,10,FALSE)</f>
        <v>#N/A</v>
      </c>
      <c r="AK400" s="231" t="str">
        <f t="shared" si="112"/>
        <v xml:space="preserve"> </v>
      </c>
      <c r="AL400" s="232"/>
      <c r="AM400" s="232" t="str">
        <f t="shared" si="113"/>
        <v xml:space="preserve"> </v>
      </c>
      <c r="AN400" s="232" t="str">
        <f t="shared" si="114"/>
        <v xml:space="preserve"> </v>
      </c>
    </row>
    <row r="401" spans="28:40" ht="14" x14ac:dyDescent="0.25">
      <c r="AB401" s="230" t="e">
        <f>T401-HLOOKUP(V401,Minimas!$C$3:$CD$12,2,FALSE)</f>
        <v>#N/A</v>
      </c>
      <c r="AC401" s="230" t="e">
        <f>T401-HLOOKUP(V401,Minimas!$C$3:$CD$12,3,FALSE)</f>
        <v>#N/A</v>
      </c>
      <c r="AD401" s="230" t="e">
        <f>T401-HLOOKUP(V401,Minimas!$C$3:$CD$12,4,FALSE)</f>
        <v>#N/A</v>
      </c>
      <c r="AE401" s="230" t="e">
        <f>T401-HLOOKUP(V401,Minimas!$C$3:$CD$12,5,FALSE)</f>
        <v>#N/A</v>
      </c>
      <c r="AF401" s="230" t="e">
        <f>T401-HLOOKUP(V401,Minimas!$C$3:$CD$12,6,FALSE)</f>
        <v>#N/A</v>
      </c>
      <c r="AG401" s="230" t="e">
        <f>T401-HLOOKUP(V401,Minimas!$C$3:$CD$12,7,FALSE)</f>
        <v>#N/A</v>
      </c>
      <c r="AH401" s="230" t="e">
        <f>T401-HLOOKUP(V401,Minimas!$C$3:$CD$12,8,FALSE)</f>
        <v>#N/A</v>
      </c>
      <c r="AI401" s="230" t="e">
        <f>T401-HLOOKUP(V401,Minimas!$C$3:$CD$12,9,FALSE)</f>
        <v>#N/A</v>
      </c>
      <c r="AJ401" s="230" t="e">
        <f>T401-HLOOKUP(V401,Minimas!$C$3:$CD$12,10,FALSE)</f>
        <v>#N/A</v>
      </c>
      <c r="AK401" s="231" t="str">
        <f t="shared" si="112"/>
        <v xml:space="preserve"> </v>
      </c>
      <c r="AL401" s="232"/>
      <c r="AM401" s="232" t="str">
        <f t="shared" si="113"/>
        <v xml:space="preserve"> </v>
      </c>
      <c r="AN401" s="232" t="str">
        <f t="shared" si="114"/>
        <v xml:space="preserve"> </v>
      </c>
    </row>
    <row r="402" spans="28:40" ht="14" x14ac:dyDescent="0.25">
      <c r="AB402" s="230" t="e">
        <f>T402-HLOOKUP(V402,Minimas!$C$3:$CD$12,2,FALSE)</f>
        <v>#N/A</v>
      </c>
      <c r="AC402" s="230" t="e">
        <f>T402-HLOOKUP(V402,Minimas!$C$3:$CD$12,3,FALSE)</f>
        <v>#N/A</v>
      </c>
      <c r="AD402" s="230" t="e">
        <f>T402-HLOOKUP(V402,Minimas!$C$3:$CD$12,4,FALSE)</f>
        <v>#N/A</v>
      </c>
      <c r="AE402" s="230" t="e">
        <f>T402-HLOOKUP(V402,Minimas!$C$3:$CD$12,5,FALSE)</f>
        <v>#N/A</v>
      </c>
      <c r="AF402" s="230" t="e">
        <f>T402-HLOOKUP(V402,Minimas!$C$3:$CD$12,6,FALSE)</f>
        <v>#N/A</v>
      </c>
      <c r="AG402" s="230" t="e">
        <f>T402-HLOOKUP(V402,Minimas!$C$3:$CD$12,7,FALSE)</f>
        <v>#N/A</v>
      </c>
      <c r="AH402" s="230" t="e">
        <f>T402-HLOOKUP(V402,Minimas!$C$3:$CD$12,8,FALSE)</f>
        <v>#N/A</v>
      </c>
      <c r="AI402" s="230" t="e">
        <f>T402-HLOOKUP(V402,Minimas!$C$3:$CD$12,9,FALSE)</f>
        <v>#N/A</v>
      </c>
      <c r="AJ402" s="230" t="e">
        <f>T402-HLOOKUP(V402,Minimas!$C$3:$CD$12,10,FALSE)</f>
        <v>#N/A</v>
      </c>
      <c r="AK402" s="231" t="str">
        <f t="shared" si="112"/>
        <v xml:space="preserve"> </v>
      </c>
      <c r="AL402" s="232"/>
      <c r="AM402" s="232" t="str">
        <f t="shared" si="113"/>
        <v xml:space="preserve"> </v>
      </c>
      <c r="AN402" s="232" t="str">
        <f t="shared" si="114"/>
        <v xml:space="preserve"> </v>
      </c>
    </row>
    <row r="403" spans="28:40" ht="14" x14ac:dyDescent="0.25">
      <c r="AB403" s="230" t="e">
        <f>T403-HLOOKUP(V403,Minimas!$C$3:$CD$12,2,FALSE)</f>
        <v>#N/A</v>
      </c>
      <c r="AC403" s="230" t="e">
        <f>T403-HLOOKUP(V403,Minimas!$C$3:$CD$12,3,FALSE)</f>
        <v>#N/A</v>
      </c>
      <c r="AD403" s="230" t="e">
        <f>T403-HLOOKUP(V403,Minimas!$C$3:$CD$12,4,FALSE)</f>
        <v>#N/A</v>
      </c>
      <c r="AE403" s="230" t="e">
        <f>T403-HLOOKUP(V403,Minimas!$C$3:$CD$12,5,FALSE)</f>
        <v>#N/A</v>
      </c>
      <c r="AF403" s="230" t="e">
        <f>T403-HLOOKUP(V403,Minimas!$C$3:$CD$12,6,FALSE)</f>
        <v>#N/A</v>
      </c>
      <c r="AG403" s="230" t="e">
        <f>T403-HLOOKUP(V403,Minimas!$C$3:$CD$12,7,FALSE)</f>
        <v>#N/A</v>
      </c>
      <c r="AH403" s="230" t="e">
        <f>T403-HLOOKUP(V403,Minimas!$C$3:$CD$12,8,FALSE)</f>
        <v>#N/A</v>
      </c>
      <c r="AI403" s="230" t="e">
        <f>T403-HLOOKUP(V403,Minimas!$C$3:$CD$12,9,FALSE)</f>
        <v>#N/A</v>
      </c>
      <c r="AJ403" s="230" t="e">
        <f>T403-HLOOKUP(V403,Minimas!$C$3:$CD$12,10,FALSE)</f>
        <v>#N/A</v>
      </c>
      <c r="AK403" s="231" t="str">
        <f t="shared" si="112"/>
        <v xml:space="preserve"> </v>
      </c>
      <c r="AL403" s="232"/>
      <c r="AM403" s="232" t="str">
        <f t="shared" si="113"/>
        <v xml:space="preserve"> </v>
      </c>
      <c r="AN403" s="232" t="str">
        <f t="shared" si="114"/>
        <v xml:space="preserve"> </v>
      </c>
    </row>
    <row r="404" spans="28:40" ht="14" x14ac:dyDescent="0.25">
      <c r="AB404" s="230" t="e">
        <f>T404-HLOOKUP(V404,Minimas!$C$3:$CD$12,2,FALSE)</f>
        <v>#N/A</v>
      </c>
      <c r="AC404" s="230" t="e">
        <f>T404-HLOOKUP(V404,Minimas!$C$3:$CD$12,3,FALSE)</f>
        <v>#N/A</v>
      </c>
      <c r="AD404" s="230" t="e">
        <f>T404-HLOOKUP(V404,Minimas!$C$3:$CD$12,4,FALSE)</f>
        <v>#N/A</v>
      </c>
      <c r="AE404" s="230" t="e">
        <f>T404-HLOOKUP(V404,Minimas!$C$3:$CD$12,5,FALSE)</f>
        <v>#N/A</v>
      </c>
      <c r="AF404" s="230" t="e">
        <f>T404-HLOOKUP(V404,Minimas!$C$3:$CD$12,6,FALSE)</f>
        <v>#N/A</v>
      </c>
      <c r="AG404" s="230" t="e">
        <f>T404-HLOOKUP(V404,Minimas!$C$3:$CD$12,7,FALSE)</f>
        <v>#N/A</v>
      </c>
      <c r="AH404" s="230" t="e">
        <f>T404-HLOOKUP(V404,Minimas!$C$3:$CD$12,8,FALSE)</f>
        <v>#N/A</v>
      </c>
      <c r="AI404" s="230" t="e">
        <f>T404-HLOOKUP(V404,Minimas!$C$3:$CD$12,9,FALSE)</f>
        <v>#N/A</v>
      </c>
      <c r="AJ404" s="230" t="e">
        <f>T404-HLOOKUP(V404,Minimas!$C$3:$CD$12,10,FALSE)</f>
        <v>#N/A</v>
      </c>
      <c r="AK404" s="231" t="str">
        <f t="shared" si="112"/>
        <v xml:space="preserve"> </v>
      </c>
      <c r="AL404" s="232"/>
      <c r="AM404" s="232" t="str">
        <f t="shared" si="113"/>
        <v xml:space="preserve"> </v>
      </c>
      <c r="AN404" s="232" t="str">
        <f t="shared" si="114"/>
        <v xml:space="preserve"> </v>
      </c>
    </row>
    <row r="405" spans="28:40" ht="14" x14ac:dyDescent="0.25">
      <c r="AB405" s="230" t="e">
        <f>T405-HLOOKUP(V405,Minimas!$C$3:$CD$12,2,FALSE)</f>
        <v>#N/A</v>
      </c>
      <c r="AC405" s="230" t="e">
        <f>T405-HLOOKUP(V405,Minimas!$C$3:$CD$12,3,FALSE)</f>
        <v>#N/A</v>
      </c>
      <c r="AD405" s="230" t="e">
        <f>T405-HLOOKUP(V405,Minimas!$C$3:$CD$12,4,FALSE)</f>
        <v>#N/A</v>
      </c>
      <c r="AE405" s="230" t="e">
        <f>T405-HLOOKUP(V405,Minimas!$C$3:$CD$12,5,FALSE)</f>
        <v>#N/A</v>
      </c>
      <c r="AF405" s="230" t="e">
        <f>T405-HLOOKUP(V405,Minimas!$C$3:$CD$12,6,FALSE)</f>
        <v>#N/A</v>
      </c>
      <c r="AG405" s="230" t="e">
        <f>T405-HLOOKUP(V405,Minimas!$C$3:$CD$12,7,FALSE)</f>
        <v>#N/A</v>
      </c>
      <c r="AH405" s="230" t="e">
        <f>T405-HLOOKUP(V405,Minimas!$C$3:$CD$12,8,FALSE)</f>
        <v>#N/A</v>
      </c>
      <c r="AI405" s="230" t="e">
        <f>T405-HLOOKUP(V405,Minimas!$C$3:$CD$12,9,FALSE)</f>
        <v>#N/A</v>
      </c>
      <c r="AJ405" s="230" t="e">
        <f>T405-HLOOKUP(V405,Minimas!$C$3:$CD$12,10,FALSE)</f>
        <v>#N/A</v>
      </c>
      <c r="AK405" s="231" t="str">
        <f t="shared" si="112"/>
        <v xml:space="preserve"> </v>
      </c>
      <c r="AL405" s="232"/>
      <c r="AM405" s="232" t="str">
        <f t="shared" si="113"/>
        <v xml:space="preserve"> </v>
      </c>
      <c r="AN405" s="232" t="str">
        <f t="shared" si="114"/>
        <v xml:space="preserve"> </v>
      </c>
    </row>
    <row r="406" spans="28:40" ht="14" x14ac:dyDescent="0.25">
      <c r="AB406" s="230" t="e">
        <f>T406-HLOOKUP(V406,Minimas!$C$3:$CD$12,2,FALSE)</f>
        <v>#N/A</v>
      </c>
      <c r="AC406" s="230" t="e">
        <f>T406-HLOOKUP(V406,Minimas!$C$3:$CD$12,3,FALSE)</f>
        <v>#N/A</v>
      </c>
      <c r="AD406" s="230" t="e">
        <f>T406-HLOOKUP(V406,Minimas!$C$3:$CD$12,4,FALSE)</f>
        <v>#N/A</v>
      </c>
      <c r="AE406" s="230" t="e">
        <f>T406-HLOOKUP(V406,Minimas!$C$3:$CD$12,5,FALSE)</f>
        <v>#N/A</v>
      </c>
      <c r="AF406" s="230" t="e">
        <f>T406-HLOOKUP(V406,Minimas!$C$3:$CD$12,6,FALSE)</f>
        <v>#N/A</v>
      </c>
      <c r="AG406" s="230" t="e">
        <f>T406-HLOOKUP(V406,Minimas!$C$3:$CD$12,7,FALSE)</f>
        <v>#N/A</v>
      </c>
      <c r="AH406" s="230" t="e">
        <f>T406-HLOOKUP(V406,Minimas!$C$3:$CD$12,8,FALSE)</f>
        <v>#N/A</v>
      </c>
      <c r="AI406" s="230" t="e">
        <f>T406-HLOOKUP(V406,Minimas!$C$3:$CD$12,9,FALSE)</f>
        <v>#N/A</v>
      </c>
      <c r="AJ406" s="230" t="e">
        <f>T406-HLOOKUP(V406,Minimas!$C$3:$CD$12,10,FALSE)</f>
        <v>#N/A</v>
      </c>
      <c r="AK406" s="231" t="str">
        <f t="shared" si="112"/>
        <v xml:space="preserve"> </v>
      </c>
      <c r="AL406" s="232"/>
      <c r="AM406" s="232" t="str">
        <f t="shared" si="113"/>
        <v xml:space="preserve"> </v>
      </c>
      <c r="AN406" s="232" t="str">
        <f t="shared" si="114"/>
        <v xml:space="preserve"> </v>
      </c>
    </row>
    <row r="407" spans="28:40" ht="14" x14ac:dyDescent="0.25">
      <c r="AB407" s="230" t="e">
        <f>T407-HLOOKUP(V407,Minimas!$C$3:$CD$12,2,FALSE)</f>
        <v>#N/A</v>
      </c>
      <c r="AC407" s="230" t="e">
        <f>T407-HLOOKUP(V407,Minimas!$C$3:$CD$12,3,FALSE)</f>
        <v>#N/A</v>
      </c>
      <c r="AD407" s="230" t="e">
        <f>T407-HLOOKUP(V407,Minimas!$C$3:$CD$12,4,FALSE)</f>
        <v>#N/A</v>
      </c>
      <c r="AE407" s="230" t="e">
        <f>T407-HLOOKUP(V407,Minimas!$C$3:$CD$12,5,FALSE)</f>
        <v>#N/A</v>
      </c>
      <c r="AF407" s="230" t="e">
        <f>T407-HLOOKUP(V407,Minimas!$C$3:$CD$12,6,FALSE)</f>
        <v>#N/A</v>
      </c>
      <c r="AG407" s="230" t="e">
        <f>T407-HLOOKUP(V407,Minimas!$C$3:$CD$12,7,FALSE)</f>
        <v>#N/A</v>
      </c>
      <c r="AH407" s="230" t="e">
        <f>T407-HLOOKUP(V407,Minimas!$C$3:$CD$12,8,FALSE)</f>
        <v>#N/A</v>
      </c>
      <c r="AI407" s="230" t="e">
        <f>T407-HLOOKUP(V407,Minimas!$C$3:$CD$12,9,FALSE)</f>
        <v>#N/A</v>
      </c>
      <c r="AJ407" s="230" t="e">
        <f>T407-HLOOKUP(V407,Minimas!$C$3:$CD$12,10,FALSE)</f>
        <v>#N/A</v>
      </c>
      <c r="AK407" s="231" t="str">
        <f t="shared" si="112"/>
        <v xml:space="preserve"> </v>
      </c>
      <c r="AL407" s="232"/>
      <c r="AM407" s="232" t="str">
        <f t="shared" si="113"/>
        <v xml:space="preserve"> </v>
      </c>
      <c r="AN407" s="232" t="str">
        <f t="shared" si="114"/>
        <v xml:space="preserve"> </v>
      </c>
    </row>
    <row r="408" spans="28:40" ht="14" x14ac:dyDescent="0.25">
      <c r="AB408" s="230" t="e">
        <f>T408-HLOOKUP(V408,Minimas!$C$3:$CD$12,2,FALSE)</f>
        <v>#N/A</v>
      </c>
      <c r="AC408" s="230" t="e">
        <f>T408-HLOOKUP(V408,Minimas!$C$3:$CD$12,3,FALSE)</f>
        <v>#N/A</v>
      </c>
      <c r="AD408" s="230" t="e">
        <f>T408-HLOOKUP(V408,Minimas!$C$3:$CD$12,4,FALSE)</f>
        <v>#N/A</v>
      </c>
      <c r="AE408" s="230" t="e">
        <f>T408-HLOOKUP(V408,Minimas!$C$3:$CD$12,5,FALSE)</f>
        <v>#N/A</v>
      </c>
      <c r="AF408" s="230" t="e">
        <f>T408-HLOOKUP(V408,Minimas!$C$3:$CD$12,6,FALSE)</f>
        <v>#N/A</v>
      </c>
      <c r="AG408" s="230" t="e">
        <f>T408-HLOOKUP(V408,Minimas!$C$3:$CD$12,7,FALSE)</f>
        <v>#N/A</v>
      </c>
      <c r="AH408" s="230" t="e">
        <f>T408-HLOOKUP(V408,Minimas!$C$3:$CD$12,8,FALSE)</f>
        <v>#N/A</v>
      </c>
      <c r="AI408" s="230" t="e">
        <f>T408-HLOOKUP(V408,Minimas!$C$3:$CD$12,9,FALSE)</f>
        <v>#N/A</v>
      </c>
      <c r="AJ408" s="230" t="e">
        <f>T408-HLOOKUP(V408,Minimas!$C$3:$CD$12,10,FALSE)</f>
        <v>#N/A</v>
      </c>
      <c r="AK408" s="231" t="str">
        <f t="shared" si="112"/>
        <v xml:space="preserve"> </v>
      </c>
      <c r="AL408" s="232"/>
      <c r="AM408" s="232" t="str">
        <f t="shared" si="113"/>
        <v xml:space="preserve"> </v>
      </c>
      <c r="AN408" s="232" t="str">
        <f t="shared" si="114"/>
        <v xml:space="preserve"> </v>
      </c>
    </row>
    <row r="409" spans="28:40" ht="14" x14ac:dyDescent="0.25">
      <c r="AB409" s="230" t="e">
        <f>T409-HLOOKUP(V409,Minimas!$C$3:$CD$12,2,FALSE)</f>
        <v>#N/A</v>
      </c>
      <c r="AC409" s="230" t="e">
        <f>T409-HLOOKUP(V409,Minimas!$C$3:$CD$12,3,FALSE)</f>
        <v>#N/A</v>
      </c>
      <c r="AD409" s="230" t="e">
        <f>T409-HLOOKUP(V409,Minimas!$C$3:$CD$12,4,FALSE)</f>
        <v>#N/A</v>
      </c>
      <c r="AE409" s="230" t="e">
        <f>T409-HLOOKUP(V409,Minimas!$C$3:$CD$12,5,FALSE)</f>
        <v>#N/A</v>
      </c>
      <c r="AF409" s="230" t="e">
        <f>T409-HLOOKUP(V409,Minimas!$C$3:$CD$12,6,FALSE)</f>
        <v>#N/A</v>
      </c>
      <c r="AG409" s="230" t="e">
        <f>T409-HLOOKUP(V409,Minimas!$C$3:$CD$12,7,FALSE)</f>
        <v>#N/A</v>
      </c>
      <c r="AH409" s="230" t="e">
        <f>T409-HLOOKUP(V409,Minimas!$C$3:$CD$12,8,FALSE)</f>
        <v>#N/A</v>
      </c>
      <c r="AI409" s="230" t="e">
        <f>T409-HLOOKUP(V409,Minimas!$C$3:$CD$12,9,FALSE)</f>
        <v>#N/A</v>
      </c>
      <c r="AJ409" s="230" t="e">
        <f>T409-HLOOKUP(V409,Minimas!$C$3:$CD$12,10,FALSE)</f>
        <v>#N/A</v>
      </c>
      <c r="AK409" s="231" t="str">
        <f t="shared" si="112"/>
        <v xml:space="preserve"> </v>
      </c>
      <c r="AL409" s="232"/>
      <c r="AM409" s="232" t="str">
        <f t="shared" si="113"/>
        <v xml:space="preserve"> </v>
      </c>
      <c r="AN409" s="232" t="str">
        <f t="shared" si="114"/>
        <v xml:space="preserve"> </v>
      </c>
    </row>
    <row r="410" spans="28:40" ht="14" x14ac:dyDescent="0.25">
      <c r="AB410" s="230" t="e">
        <f>T410-HLOOKUP(V410,Minimas!$C$3:$CD$12,2,FALSE)</f>
        <v>#N/A</v>
      </c>
      <c r="AC410" s="230" t="e">
        <f>T410-HLOOKUP(V410,Minimas!$C$3:$CD$12,3,FALSE)</f>
        <v>#N/A</v>
      </c>
      <c r="AD410" s="230" t="e">
        <f>T410-HLOOKUP(V410,Minimas!$C$3:$CD$12,4,FALSE)</f>
        <v>#N/A</v>
      </c>
      <c r="AE410" s="230" t="e">
        <f>T410-HLOOKUP(V410,Minimas!$C$3:$CD$12,5,FALSE)</f>
        <v>#N/A</v>
      </c>
      <c r="AF410" s="230" t="e">
        <f>T410-HLOOKUP(V410,Minimas!$C$3:$CD$12,6,FALSE)</f>
        <v>#N/A</v>
      </c>
      <c r="AG410" s="230" t="e">
        <f>T410-HLOOKUP(V410,Minimas!$C$3:$CD$12,7,FALSE)</f>
        <v>#N/A</v>
      </c>
      <c r="AH410" s="230" t="e">
        <f>T410-HLOOKUP(V410,Minimas!$C$3:$CD$12,8,FALSE)</f>
        <v>#N/A</v>
      </c>
      <c r="AI410" s="230" t="e">
        <f>T410-HLOOKUP(V410,Minimas!$C$3:$CD$12,9,FALSE)</f>
        <v>#N/A</v>
      </c>
      <c r="AJ410" s="230" t="e">
        <f>T410-HLOOKUP(V410,Minimas!$C$3:$CD$12,10,FALSE)</f>
        <v>#N/A</v>
      </c>
      <c r="AK410" s="231" t="str">
        <f t="shared" si="112"/>
        <v xml:space="preserve"> </v>
      </c>
      <c r="AL410" s="232"/>
      <c r="AM410" s="232" t="str">
        <f t="shared" si="113"/>
        <v xml:space="preserve"> </v>
      </c>
      <c r="AN410" s="232" t="str">
        <f t="shared" si="114"/>
        <v xml:space="preserve"> </v>
      </c>
    </row>
    <row r="411" spans="28:40" ht="14" x14ac:dyDescent="0.25">
      <c r="AB411" s="230" t="e">
        <f>T411-HLOOKUP(V411,Minimas!$C$3:$CD$12,2,FALSE)</f>
        <v>#N/A</v>
      </c>
      <c r="AC411" s="230" t="e">
        <f>T411-HLOOKUP(V411,Minimas!$C$3:$CD$12,3,FALSE)</f>
        <v>#N/A</v>
      </c>
      <c r="AD411" s="230" t="e">
        <f>T411-HLOOKUP(V411,Minimas!$C$3:$CD$12,4,FALSE)</f>
        <v>#N/A</v>
      </c>
      <c r="AE411" s="230" t="e">
        <f>T411-HLOOKUP(V411,Minimas!$C$3:$CD$12,5,FALSE)</f>
        <v>#N/A</v>
      </c>
      <c r="AF411" s="230" t="e">
        <f>T411-HLOOKUP(V411,Minimas!$C$3:$CD$12,6,FALSE)</f>
        <v>#N/A</v>
      </c>
      <c r="AG411" s="230" t="e">
        <f>T411-HLOOKUP(V411,Minimas!$C$3:$CD$12,7,FALSE)</f>
        <v>#N/A</v>
      </c>
      <c r="AH411" s="230" t="e">
        <f>T411-HLOOKUP(V411,Minimas!$C$3:$CD$12,8,FALSE)</f>
        <v>#N/A</v>
      </c>
      <c r="AI411" s="230" t="e">
        <f>T411-HLOOKUP(V411,Minimas!$C$3:$CD$12,9,FALSE)</f>
        <v>#N/A</v>
      </c>
      <c r="AJ411" s="230" t="e">
        <f>T411-HLOOKUP(V411,Minimas!$C$3:$CD$12,10,FALSE)</f>
        <v>#N/A</v>
      </c>
      <c r="AK411" s="231" t="str">
        <f t="shared" si="112"/>
        <v xml:space="preserve"> </v>
      </c>
      <c r="AL411" s="232"/>
      <c r="AM411" s="232" t="str">
        <f t="shared" si="113"/>
        <v xml:space="preserve"> </v>
      </c>
      <c r="AN411" s="232" t="str">
        <f t="shared" si="114"/>
        <v xml:space="preserve"> </v>
      </c>
    </row>
    <row r="412" spans="28:40" ht="14" x14ac:dyDescent="0.25">
      <c r="AB412" s="230" t="e">
        <f>T412-HLOOKUP(V412,Minimas!$C$3:$CD$12,2,FALSE)</f>
        <v>#N/A</v>
      </c>
      <c r="AC412" s="230" t="e">
        <f>T412-HLOOKUP(V412,Minimas!$C$3:$CD$12,3,FALSE)</f>
        <v>#N/A</v>
      </c>
      <c r="AD412" s="230" t="e">
        <f>T412-HLOOKUP(V412,Minimas!$C$3:$CD$12,4,FALSE)</f>
        <v>#N/A</v>
      </c>
      <c r="AE412" s="230" t="e">
        <f>T412-HLOOKUP(V412,Minimas!$C$3:$CD$12,5,FALSE)</f>
        <v>#N/A</v>
      </c>
      <c r="AF412" s="230" t="e">
        <f>T412-HLOOKUP(V412,Minimas!$C$3:$CD$12,6,FALSE)</f>
        <v>#N/A</v>
      </c>
      <c r="AG412" s="230" t="e">
        <f>T412-HLOOKUP(V412,Minimas!$C$3:$CD$12,7,FALSE)</f>
        <v>#N/A</v>
      </c>
      <c r="AH412" s="230" t="e">
        <f>T412-HLOOKUP(V412,Minimas!$C$3:$CD$12,8,FALSE)</f>
        <v>#N/A</v>
      </c>
      <c r="AI412" s="230" t="e">
        <f>T412-HLOOKUP(V412,Minimas!$C$3:$CD$12,9,FALSE)</f>
        <v>#N/A</v>
      </c>
      <c r="AJ412" s="230" t="e">
        <f>T412-HLOOKUP(V412,Minimas!$C$3:$CD$12,10,FALSE)</f>
        <v>#N/A</v>
      </c>
      <c r="AK412" s="231" t="str">
        <f t="shared" si="112"/>
        <v xml:space="preserve"> </v>
      </c>
      <c r="AL412" s="232"/>
      <c r="AM412" s="232" t="str">
        <f t="shared" si="113"/>
        <v xml:space="preserve"> </v>
      </c>
      <c r="AN412" s="232" t="str">
        <f t="shared" si="114"/>
        <v xml:space="preserve"> </v>
      </c>
    </row>
    <row r="413" spans="28:40" ht="14" x14ac:dyDescent="0.25">
      <c r="AB413" s="230" t="e">
        <f>T413-HLOOKUP(V413,Minimas!$C$3:$CD$12,2,FALSE)</f>
        <v>#N/A</v>
      </c>
      <c r="AC413" s="230" t="e">
        <f>T413-HLOOKUP(V413,Minimas!$C$3:$CD$12,3,FALSE)</f>
        <v>#N/A</v>
      </c>
      <c r="AD413" s="230" t="e">
        <f>T413-HLOOKUP(V413,Minimas!$C$3:$CD$12,4,FALSE)</f>
        <v>#N/A</v>
      </c>
      <c r="AE413" s="230" t="e">
        <f>T413-HLOOKUP(V413,Minimas!$C$3:$CD$12,5,FALSE)</f>
        <v>#N/A</v>
      </c>
      <c r="AF413" s="230" t="e">
        <f>T413-HLOOKUP(V413,Minimas!$C$3:$CD$12,6,FALSE)</f>
        <v>#N/A</v>
      </c>
      <c r="AG413" s="230" t="e">
        <f>T413-HLOOKUP(V413,Minimas!$C$3:$CD$12,7,FALSE)</f>
        <v>#N/A</v>
      </c>
      <c r="AH413" s="230" t="e">
        <f>T413-HLOOKUP(V413,Minimas!$C$3:$CD$12,8,FALSE)</f>
        <v>#N/A</v>
      </c>
      <c r="AI413" s="230" t="e">
        <f>T413-HLOOKUP(V413,Minimas!$C$3:$CD$12,9,FALSE)</f>
        <v>#N/A</v>
      </c>
      <c r="AJ413" s="230" t="e">
        <f>T413-HLOOKUP(V413,Minimas!$C$3:$CD$12,10,FALSE)</f>
        <v>#N/A</v>
      </c>
      <c r="AK413" s="231" t="str">
        <f t="shared" si="112"/>
        <v xml:space="preserve"> </v>
      </c>
      <c r="AL413" s="232"/>
      <c r="AM413" s="232" t="str">
        <f t="shared" si="113"/>
        <v xml:space="preserve"> </v>
      </c>
      <c r="AN413" s="232" t="str">
        <f t="shared" si="114"/>
        <v xml:space="preserve"> </v>
      </c>
    </row>
    <row r="414" spans="28:40" ht="14" x14ac:dyDescent="0.25">
      <c r="AB414" s="230" t="e">
        <f>T414-HLOOKUP(V414,Minimas!$C$3:$CD$12,2,FALSE)</f>
        <v>#N/A</v>
      </c>
      <c r="AC414" s="230" t="e">
        <f>T414-HLOOKUP(V414,Minimas!$C$3:$CD$12,3,FALSE)</f>
        <v>#N/A</v>
      </c>
      <c r="AD414" s="230" t="e">
        <f>T414-HLOOKUP(V414,Minimas!$C$3:$CD$12,4,FALSE)</f>
        <v>#N/A</v>
      </c>
      <c r="AE414" s="230" t="e">
        <f>T414-HLOOKUP(V414,Minimas!$C$3:$CD$12,5,FALSE)</f>
        <v>#N/A</v>
      </c>
      <c r="AF414" s="230" t="e">
        <f>T414-HLOOKUP(V414,Minimas!$C$3:$CD$12,6,FALSE)</f>
        <v>#N/A</v>
      </c>
      <c r="AG414" s="230" t="e">
        <f>T414-HLOOKUP(V414,Minimas!$C$3:$CD$12,7,FALSE)</f>
        <v>#N/A</v>
      </c>
      <c r="AH414" s="230" t="e">
        <f>T414-HLOOKUP(V414,Minimas!$C$3:$CD$12,8,FALSE)</f>
        <v>#N/A</v>
      </c>
      <c r="AI414" s="230" t="e">
        <f>T414-HLOOKUP(V414,Minimas!$C$3:$CD$12,9,FALSE)</f>
        <v>#N/A</v>
      </c>
      <c r="AJ414" s="230" t="e">
        <f>T414-HLOOKUP(V414,Minimas!$C$3:$CD$12,10,FALSE)</f>
        <v>#N/A</v>
      </c>
      <c r="AK414" s="231" t="str">
        <f t="shared" si="112"/>
        <v xml:space="preserve"> </v>
      </c>
      <c r="AL414" s="232"/>
      <c r="AM414" s="232" t="str">
        <f t="shared" si="113"/>
        <v xml:space="preserve"> </v>
      </c>
      <c r="AN414" s="232" t="str">
        <f t="shared" si="114"/>
        <v xml:space="preserve"> </v>
      </c>
    </row>
    <row r="415" spans="28:40" ht="14" x14ac:dyDescent="0.25">
      <c r="AB415" s="230" t="e">
        <f>T415-HLOOKUP(V415,Minimas!$C$3:$CD$12,2,FALSE)</f>
        <v>#N/A</v>
      </c>
      <c r="AC415" s="230" t="e">
        <f>T415-HLOOKUP(V415,Minimas!$C$3:$CD$12,3,FALSE)</f>
        <v>#N/A</v>
      </c>
      <c r="AD415" s="230" t="e">
        <f>T415-HLOOKUP(V415,Minimas!$C$3:$CD$12,4,FALSE)</f>
        <v>#N/A</v>
      </c>
      <c r="AE415" s="230" t="e">
        <f>T415-HLOOKUP(V415,Minimas!$C$3:$CD$12,5,FALSE)</f>
        <v>#N/A</v>
      </c>
      <c r="AF415" s="230" t="e">
        <f>T415-HLOOKUP(V415,Minimas!$C$3:$CD$12,6,FALSE)</f>
        <v>#N/A</v>
      </c>
      <c r="AG415" s="230" t="e">
        <f>T415-HLOOKUP(V415,Minimas!$C$3:$CD$12,7,FALSE)</f>
        <v>#N/A</v>
      </c>
      <c r="AH415" s="230" t="e">
        <f>T415-HLOOKUP(V415,Minimas!$C$3:$CD$12,8,FALSE)</f>
        <v>#N/A</v>
      </c>
      <c r="AI415" s="230" t="e">
        <f>T415-HLOOKUP(V415,Minimas!$C$3:$CD$12,9,FALSE)</f>
        <v>#N/A</v>
      </c>
      <c r="AJ415" s="230" t="e">
        <f>T415-HLOOKUP(V415,Minimas!$C$3:$CD$12,10,FALSE)</f>
        <v>#N/A</v>
      </c>
      <c r="AK415" s="231" t="str">
        <f t="shared" si="112"/>
        <v xml:space="preserve"> </v>
      </c>
      <c r="AL415" s="232"/>
      <c r="AM415" s="232" t="str">
        <f t="shared" si="113"/>
        <v xml:space="preserve"> </v>
      </c>
      <c r="AN415" s="232" t="str">
        <f t="shared" si="114"/>
        <v xml:space="preserve"> </v>
      </c>
    </row>
    <row r="416" spans="28:40" ht="14" x14ac:dyDescent="0.25">
      <c r="AB416" s="230" t="e">
        <f>T416-HLOOKUP(V416,Minimas!$C$3:$CD$12,2,FALSE)</f>
        <v>#N/A</v>
      </c>
      <c r="AC416" s="230" t="e">
        <f>T416-HLOOKUP(V416,Minimas!$C$3:$CD$12,3,FALSE)</f>
        <v>#N/A</v>
      </c>
      <c r="AD416" s="230" t="e">
        <f>T416-HLOOKUP(V416,Minimas!$C$3:$CD$12,4,FALSE)</f>
        <v>#N/A</v>
      </c>
      <c r="AE416" s="230" t="e">
        <f>T416-HLOOKUP(V416,Minimas!$C$3:$CD$12,5,FALSE)</f>
        <v>#N/A</v>
      </c>
      <c r="AF416" s="230" t="e">
        <f>T416-HLOOKUP(V416,Minimas!$C$3:$CD$12,6,FALSE)</f>
        <v>#N/A</v>
      </c>
      <c r="AG416" s="230" t="e">
        <f>T416-HLOOKUP(V416,Minimas!$C$3:$CD$12,7,FALSE)</f>
        <v>#N/A</v>
      </c>
      <c r="AH416" s="230" t="e">
        <f>T416-HLOOKUP(V416,Minimas!$C$3:$CD$12,8,FALSE)</f>
        <v>#N/A</v>
      </c>
      <c r="AI416" s="230" t="e">
        <f>T416-HLOOKUP(V416,Minimas!$C$3:$CD$12,9,FALSE)</f>
        <v>#N/A</v>
      </c>
      <c r="AJ416" s="230" t="e">
        <f>T416-HLOOKUP(V416,Minimas!$C$3:$CD$12,10,FALSE)</f>
        <v>#N/A</v>
      </c>
      <c r="AK416" s="231" t="str">
        <f t="shared" si="112"/>
        <v xml:space="preserve"> </v>
      </c>
      <c r="AL416" s="232"/>
      <c r="AM416" s="232" t="str">
        <f t="shared" si="113"/>
        <v xml:space="preserve"> </v>
      </c>
      <c r="AN416" s="232" t="str">
        <f t="shared" si="114"/>
        <v xml:space="preserve"> </v>
      </c>
    </row>
    <row r="417" spans="28:40" ht="14" x14ac:dyDescent="0.25">
      <c r="AB417" s="230" t="e">
        <f>T417-HLOOKUP(V417,Minimas!$C$3:$CD$12,2,FALSE)</f>
        <v>#N/A</v>
      </c>
      <c r="AC417" s="230" t="e">
        <f>T417-HLOOKUP(V417,Minimas!$C$3:$CD$12,3,FALSE)</f>
        <v>#N/A</v>
      </c>
      <c r="AD417" s="230" t="e">
        <f>T417-HLOOKUP(V417,Minimas!$C$3:$CD$12,4,FALSE)</f>
        <v>#N/A</v>
      </c>
      <c r="AE417" s="230" t="e">
        <f>T417-HLOOKUP(V417,Minimas!$C$3:$CD$12,5,FALSE)</f>
        <v>#N/A</v>
      </c>
      <c r="AF417" s="230" t="e">
        <f>T417-HLOOKUP(V417,Minimas!$C$3:$CD$12,6,FALSE)</f>
        <v>#N/A</v>
      </c>
      <c r="AG417" s="230" t="e">
        <f>T417-HLOOKUP(V417,Minimas!$C$3:$CD$12,7,FALSE)</f>
        <v>#N/A</v>
      </c>
      <c r="AH417" s="230" t="e">
        <f>T417-HLOOKUP(V417,Minimas!$C$3:$CD$12,8,FALSE)</f>
        <v>#N/A</v>
      </c>
      <c r="AI417" s="230" t="e">
        <f>T417-HLOOKUP(V417,Minimas!$C$3:$CD$12,9,FALSE)</f>
        <v>#N/A</v>
      </c>
      <c r="AJ417" s="230" t="e">
        <f>T417-HLOOKUP(V417,Minimas!$C$3:$CD$12,10,FALSE)</f>
        <v>#N/A</v>
      </c>
      <c r="AK417" s="231" t="str">
        <f t="shared" si="112"/>
        <v xml:space="preserve"> </v>
      </c>
      <c r="AL417" s="232"/>
      <c r="AM417" s="232" t="str">
        <f t="shared" si="113"/>
        <v xml:space="preserve"> </v>
      </c>
      <c r="AN417" s="232" t="str">
        <f t="shared" si="114"/>
        <v xml:space="preserve"> </v>
      </c>
    </row>
    <row r="418" spans="28:40" ht="14" x14ac:dyDescent="0.25">
      <c r="AB418" s="230" t="e">
        <f>T418-HLOOKUP(V418,Minimas!$C$3:$CD$12,2,FALSE)</f>
        <v>#N/A</v>
      </c>
      <c r="AC418" s="230" t="e">
        <f>T418-HLOOKUP(V418,Minimas!$C$3:$CD$12,3,FALSE)</f>
        <v>#N/A</v>
      </c>
      <c r="AD418" s="230" t="e">
        <f>T418-HLOOKUP(V418,Minimas!$C$3:$CD$12,4,FALSE)</f>
        <v>#N/A</v>
      </c>
      <c r="AE418" s="230" t="e">
        <f>T418-HLOOKUP(V418,Minimas!$C$3:$CD$12,5,FALSE)</f>
        <v>#N/A</v>
      </c>
      <c r="AF418" s="230" t="e">
        <f>T418-HLOOKUP(V418,Minimas!$C$3:$CD$12,6,FALSE)</f>
        <v>#N/A</v>
      </c>
      <c r="AG418" s="230" t="e">
        <f>T418-HLOOKUP(V418,Minimas!$C$3:$CD$12,7,FALSE)</f>
        <v>#N/A</v>
      </c>
      <c r="AH418" s="230" t="e">
        <f>T418-HLOOKUP(V418,Minimas!$C$3:$CD$12,8,FALSE)</f>
        <v>#N/A</v>
      </c>
      <c r="AI418" s="230" t="e">
        <f>T418-HLOOKUP(V418,Minimas!$C$3:$CD$12,9,FALSE)</f>
        <v>#N/A</v>
      </c>
      <c r="AJ418" s="230" t="e">
        <f>T418-HLOOKUP(V418,Minimas!$C$3:$CD$12,10,FALSE)</f>
        <v>#N/A</v>
      </c>
      <c r="AK418" s="231" t="str">
        <f t="shared" si="112"/>
        <v xml:space="preserve"> </v>
      </c>
      <c r="AL418" s="232"/>
      <c r="AM418" s="232" t="str">
        <f t="shared" si="113"/>
        <v xml:space="preserve"> </v>
      </c>
      <c r="AN418" s="232" t="str">
        <f t="shared" si="114"/>
        <v xml:space="preserve"> </v>
      </c>
    </row>
    <row r="419" spans="28:40" ht="14" x14ac:dyDescent="0.25">
      <c r="AB419" s="230" t="e">
        <f>T419-HLOOKUP(V419,Minimas!$C$3:$CD$12,2,FALSE)</f>
        <v>#N/A</v>
      </c>
      <c r="AC419" s="230" t="e">
        <f>T419-HLOOKUP(V419,Minimas!$C$3:$CD$12,3,FALSE)</f>
        <v>#N/A</v>
      </c>
      <c r="AD419" s="230" t="e">
        <f>T419-HLOOKUP(V419,Minimas!$C$3:$CD$12,4,FALSE)</f>
        <v>#N/A</v>
      </c>
      <c r="AE419" s="230" t="e">
        <f>T419-HLOOKUP(V419,Minimas!$C$3:$CD$12,5,FALSE)</f>
        <v>#N/A</v>
      </c>
      <c r="AF419" s="230" t="e">
        <f>T419-HLOOKUP(V419,Minimas!$C$3:$CD$12,6,FALSE)</f>
        <v>#N/A</v>
      </c>
      <c r="AG419" s="230" t="e">
        <f>T419-HLOOKUP(V419,Minimas!$C$3:$CD$12,7,FALSE)</f>
        <v>#N/A</v>
      </c>
      <c r="AH419" s="230" t="e">
        <f>T419-HLOOKUP(V419,Minimas!$C$3:$CD$12,8,FALSE)</f>
        <v>#N/A</v>
      </c>
      <c r="AI419" s="230" t="e">
        <f>T419-HLOOKUP(V419,Minimas!$C$3:$CD$12,9,FALSE)</f>
        <v>#N/A</v>
      </c>
      <c r="AJ419" s="230" t="e">
        <f>T419-HLOOKUP(V419,Minimas!$C$3:$CD$12,10,FALSE)</f>
        <v>#N/A</v>
      </c>
      <c r="AK419" s="231" t="str">
        <f t="shared" si="112"/>
        <v xml:space="preserve"> </v>
      </c>
      <c r="AL419" s="232"/>
      <c r="AM419" s="232" t="str">
        <f t="shared" si="113"/>
        <v xml:space="preserve"> </v>
      </c>
      <c r="AN419" s="232" t="str">
        <f t="shared" si="114"/>
        <v xml:space="preserve"> </v>
      </c>
    </row>
    <row r="420" spans="28:40" ht="14" x14ac:dyDescent="0.25">
      <c r="AB420" s="230" t="e">
        <f>T420-HLOOKUP(V420,Minimas!$C$3:$CD$12,2,FALSE)</f>
        <v>#N/A</v>
      </c>
      <c r="AC420" s="230" t="e">
        <f>T420-HLOOKUP(V420,Minimas!$C$3:$CD$12,3,FALSE)</f>
        <v>#N/A</v>
      </c>
      <c r="AD420" s="230" t="e">
        <f>T420-HLOOKUP(V420,Minimas!$C$3:$CD$12,4,FALSE)</f>
        <v>#N/A</v>
      </c>
      <c r="AE420" s="230" t="e">
        <f>T420-HLOOKUP(V420,Minimas!$C$3:$CD$12,5,FALSE)</f>
        <v>#N/A</v>
      </c>
      <c r="AF420" s="230" t="e">
        <f>T420-HLOOKUP(V420,Minimas!$C$3:$CD$12,6,FALSE)</f>
        <v>#N/A</v>
      </c>
      <c r="AG420" s="230" t="e">
        <f>T420-HLOOKUP(V420,Minimas!$C$3:$CD$12,7,FALSE)</f>
        <v>#N/A</v>
      </c>
      <c r="AH420" s="230" t="e">
        <f>T420-HLOOKUP(V420,Minimas!$C$3:$CD$12,8,FALSE)</f>
        <v>#N/A</v>
      </c>
      <c r="AI420" s="230" t="e">
        <f>T420-HLOOKUP(V420,Minimas!$C$3:$CD$12,9,FALSE)</f>
        <v>#N/A</v>
      </c>
      <c r="AJ420" s="230" t="e">
        <f>T420-HLOOKUP(V420,Minimas!$C$3:$CD$12,10,FALSE)</f>
        <v>#N/A</v>
      </c>
      <c r="AK420" s="231" t="str">
        <f t="shared" si="112"/>
        <v xml:space="preserve"> </v>
      </c>
      <c r="AL420" s="232"/>
      <c r="AM420" s="232" t="str">
        <f t="shared" si="113"/>
        <v xml:space="preserve"> </v>
      </c>
      <c r="AN420" s="232" t="str">
        <f t="shared" si="114"/>
        <v xml:space="preserve"> </v>
      </c>
    </row>
    <row r="421" spans="28:40" ht="14" x14ac:dyDescent="0.25">
      <c r="AB421" s="230" t="e">
        <f>T421-HLOOKUP(V421,Minimas!$C$3:$CD$12,2,FALSE)</f>
        <v>#N/A</v>
      </c>
      <c r="AC421" s="230" t="e">
        <f>T421-HLOOKUP(V421,Minimas!$C$3:$CD$12,3,FALSE)</f>
        <v>#N/A</v>
      </c>
      <c r="AD421" s="230" t="e">
        <f>T421-HLOOKUP(V421,Minimas!$C$3:$CD$12,4,FALSE)</f>
        <v>#N/A</v>
      </c>
      <c r="AE421" s="230" t="e">
        <f>T421-HLOOKUP(V421,Minimas!$C$3:$CD$12,5,FALSE)</f>
        <v>#N/A</v>
      </c>
      <c r="AF421" s="230" t="e">
        <f>T421-HLOOKUP(V421,Minimas!$C$3:$CD$12,6,FALSE)</f>
        <v>#N/A</v>
      </c>
      <c r="AG421" s="230" t="e">
        <f>T421-HLOOKUP(V421,Minimas!$C$3:$CD$12,7,FALSE)</f>
        <v>#N/A</v>
      </c>
      <c r="AH421" s="230" t="e">
        <f>T421-HLOOKUP(V421,Minimas!$C$3:$CD$12,8,FALSE)</f>
        <v>#N/A</v>
      </c>
      <c r="AI421" s="230" t="e">
        <f>T421-HLOOKUP(V421,Minimas!$C$3:$CD$12,9,FALSE)</f>
        <v>#N/A</v>
      </c>
      <c r="AJ421" s="230" t="e">
        <f>T421-HLOOKUP(V421,Minimas!$C$3:$CD$12,10,FALSE)</f>
        <v>#N/A</v>
      </c>
      <c r="AK421" s="231" t="str">
        <f t="shared" si="112"/>
        <v xml:space="preserve"> </v>
      </c>
      <c r="AL421" s="232"/>
      <c r="AM421" s="232" t="str">
        <f t="shared" si="113"/>
        <v xml:space="preserve"> </v>
      </c>
      <c r="AN421" s="232" t="str">
        <f t="shared" si="114"/>
        <v xml:space="preserve"> </v>
      </c>
    </row>
    <row r="422" spans="28:40" ht="14" x14ac:dyDescent="0.25">
      <c r="AB422" s="230" t="e">
        <f>T422-HLOOKUP(V422,Minimas!$C$3:$CD$12,2,FALSE)</f>
        <v>#N/A</v>
      </c>
      <c r="AC422" s="230" t="e">
        <f>T422-HLOOKUP(V422,Minimas!$C$3:$CD$12,3,FALSE)</f>
        <v>#N/A</v>
      </c>
      <c r="AD422" s="230" t="e">
        <f>T422-HLOOKUP(V422,Minimas!$C$3:$CD$12,4,FALSE)</f>
        <v>#N/A</v>
      </c>
      <c r="AE422" s="230" t="e">
        <f>T422-HLOOKUP(V422,Minimas!$C$3:$CD$12,5,FALSE)</f>
        <v>#N/A</v>
      </c>
      <c r="AF422" s="230" t="e">
        <f>T422-HLOOKUP(V422,Minimas!$C$3:$CD$12,6,FALSE)</f>
        <v>#N/A</v>
      </c>
      <c r="AG422" s="230" t="e">
        <f>T422-HLOOKUP(V422,Minimas!$C$3:$CD$12,7,FALSE)</f>
        <v>#N/A</v>
      </c>
      <c r="AH422" s="230" t="e">
        <f>T422-HLOOKUP(V422,Minimas!$C$3:$CD$12,8,FALSE)</f>
        <v>#N/A</v>
      </c>
      <c r="AI422" s="230" t="e">
        <f>T422-HLOOKUP(V422,Minimas!$C$3:$CD$12,9,FALSE)</f>
        <v>#N/A</v>
      </c>
      <c r="AJ422" s="230" t="e">
        <f>T422-HLOOKUP(V422,Minimas!$C$3:$CD$12,10,FALSE)</f>
        <v>#N/A</v>
      </c>
      <c r="AK422" s="231" t="str">
        <f t="shared" si="112"/>
        <v xml:space="preserve"> </v>
      </c>
      <c r="AL422" s="232"/>
      <c r="AM422" s="232" t="str">
        <f t="shared" si="113"/>
        <v xml:space="preserve"> </v>
      </c>
      <c r="AN422" s="232" t="str">
        <f t="shared" si="114"/>
        <v xml:space="preserve"> </v>
      </c>
    </row>
    <row r="423" spans="28:40" ht="14" x14ac:dyDescent="0.25">
      <c r="AB423" s="230" t="e">
        <f>T423-HLOOKUP(V423,Minimas!$C$3:$CD$12,2,FALSE)</f>
        <v>#N/A</v>
      </c>
      <c r="AC423" s="230" t="e">
        <f>T423-HLOOKUP(V423,Minimas!$C$3:$CD$12,3,FALSE)</f>
        <v>#N/A</v>
      </c>
      <c r="AD423" s="230" t="e">
        <f>T423-HLOOKUP(V423,Minimas!$C$3:$CD$12,4,FALSE)</f>
        <v>#N/A</v>
      </c>
      <c r="AE423" s="230" t="e">
        <f>T423-HLOOKUP(V423,Minimas!$C$3:$CD$12,5,FALSE)</f>
        <v>#N/A</v>
      </c>
      <c r="AF423" s="230" t="e">
        <f>T423-HLOOKUP(V423,Minimas!$C$3:$CD$12,6,FALSE)</f>
        <v>#N/A</v>
      </c>
      <c r="AG423" s="230" t="e">
        <f>T423-HLOOKUP(V423,Minimas!$C$3:$CD$12,7,FALSE)</f>
        <v>#N/A</v>
      </c>
      <c r="AH423" s="230" t="e">
        <f>T423-HLOOKUP(V423,Minimas!$C$3:$CD$12,8,FALSE)</f>
        <v>#N/A</v>
      </c>
      <c r="AI423" s="230" t="e">
        <f>T423-HLOOKUP(V423,Minimas!$C$3:$CD$12,9,FALSE)</f>
        <v>#N/A</v>
      </c>
      <c r="AJ423" s="230" t="e">
        <f>T423-HLOOKUP(V423,Minimas!$C$3:$CD$12,10,FALSE)</f>
        <v>#N/A</v>
      </c>
      <c r="AK423" s="231" t="str">
        <f t="shared" si="112"/>
        <v xml:space="preserve"> </v>
      </c>
      <c r="AL423" s="232"/>
      <c r="AM423" s="232" t="str">
        <f t="shared" si="113"/>
        <v xml:space="preserve"> </v>
      </c>
      <c r="AN423" s="232" t="str">
        <f t="shared" si="114"/>
        <v xml:space="preserve"> </v>
      </c>
    </row>
    <row r="424" spans="28:40" ht="14" x14ac:dyDescent="0.25">
      <c r="AB424" s="230" t="e">
        <f>T424-HLOOKUP(V424,Minimas!$C$3:$CD$12,2,FALSE)</f>
        <v>#N/A</v>
      </c>
      <c r="AC424" s="230" t="e">
        <f>T424-HLOOKUP(V424,Minimas!$C$3:$CD$12,3,FALSE)</f>
        <v>#N/A</v>
      </c>
      <c r="AD424" s="230" t="e">
        <f>T424-HLOOKUP(V424,Minimas!$C$3:$CD$12,4,FALSE)</f>
        <v>#N/A</v>
      </c>
      <c r="AE424" s="230" t="e">
        <f>T424-HLOOKUP(V424,Minimas!$C$3:$CD$12,5,FALSE)</f>
        <v>#N/A</v>
      </c>
      <c r="AF424" s="230" t="e">
        <f>T424-HLOOKUP(V424,Minimas!$C$3:$CD$12,6,FALSE)</f>
        <v>#N/A</v>
      </c>
      <c r="AG424" s="230" t="e">
        <f>T424-HLOOKUP(V424,Minimas!$C$3:$CD$12,7,FALSE)</f>
        <v>#N/A</v>
      </c>
      <c r="AH424" s="230" t="e">
        <f>T424-HLOOKUP(V424,Minimas!$C$3:$CD$12,8,FALSE)</f>
        <v>#N/A</v>
      </c>
      <c r="AI424" s="230" t="e">
        <f>T424-HLOOKUP(V424,Minimas!$C$3:$CD$12,9,FALSE)</f>
        <v>#N/A</v>
      </c>
      <c r="AJ424" s="230" t="e">
        <f>T424-HLOOKUP(V424,Minimas!$C$3:$CD$12,10,FALSE)</f>
        <v>#N/A</v>
      </c>
      <c r="AK424" s="231" t="str">
        <f t="shared" si="112"/>
        <v xml:space="preserve"> </v>
      </c>
      <c r="AL424" s="232"/>
      <c r="AM424" s="232" t="str">
        <f t="shared" si="113"/>
        <v xml:space="preserve"> </v>
      </c>
      <c r="AN424" s="232" t="str">
        <f t="shared" si="114"/>
        <v xml:space="preserve"> </v>
      </c>
    </row>
    <row r="425" spans="28:40" ht="14" x14ac:dyDescent="0.25">
      <c r="AB425" s="230" t="e">
        <f>T425-HLOOKUP(V425,Minimas!$C$3:$CD$12,2,FALSE)</f>
        <v>#N/A</v>
      </c>
      <c r="AC425" s="230" t="e">
        <f>T425-HLOOKUP(V425,Minimas!$C$3:$CD$12,3,FALSE)</f>
        <v>#N/A</v>
      </c>
      <c r="AD425" s="230" t="e">
        <f>T425-HLOOKUP(V425,Minimas!$C$3:$CD$12,4,FALSE)</f>
        <v>#N/A</v>
      </c>
      <c r="AE425" s="230" t="e">
        <f>T425-HLOOKUP(V425,Minimas!$C$3:$CD$12,5,FALSE)</f>
        <v>#N/A</v>
      </c>
      <c r="AF425" s="230" t="e">
        <f>T425-HLOOKUP(V425,Minimas!$C$3:$CD$12,6,FALSE)</f>
        <v>#N/A</v>
      </c>
      <c r="AG425" s="230" t="e">
        <f>T425-HLOOKUP(V425,Minimas!$C$3:$CD$12,7,FALSE)</f>
        <v>#N/A</v>
      </c>
      <c r="AH425" s="230" t="e">
        <f>T425-HLOOKUP(V425,Minimas!$C$3:$CD$12,8,FALSE)</f>
        <v>#N/A</v>
      </c>
      <c r="AI425" s="230" t="e">
        <f>T425-HLOOKUP(V425,Minimas!$C$3:$CD$12,9,FALSE)</f>
        <v>#N/A</v>
      </c>
      <c r="AJ425" s="230" t="e">
        <f>T425-HLOOKUP(V425,Minimas!$C$3:$CD$12,10,FALSE)</f>
        <v>#N/A</v>
      </c>
      <c r="AK425" s="231" t="str">
        <f t="shared" si="112"/>
        <v xml:space="preserve"> </v>
      </c>
      <c r="AL425" s="232"/>
      <c r="AM425" s="232" t="str">
        <f t="shared" si="113"/>
        <v xml:space="preserve"> </v>
      </c>
      <c r="AN425" s="232" t="str">
        <f t="shared" si="114"/>
        <v xml:space="preserve"> </v>
      </c>
    </row>
    <row r="426" spans="28:40" ht="14" x14ac:dyDescent="0.25">
      <c r="AB426" s="230" t="e">
        <f>T426-HLOOKUP(V426,Minimas!$C$3:$CD$12,2,FALSE)</f>
        <v>#N/A</v>
      </c>
      <c r="AC426" s="230" t="e">
        <f>T426-HLOOKUP(V426,Minimas!$C$3:$CD$12,3,FALSE)</f>
        <v>#N/A</v>
      </c>
      <c r="AD426" s="230" t="e">
        <f>T426-HLOOKUP(V426,Minimas!$C$3:$CD$12,4,FALSE)</f>
        <v>#N/A</v>
      </c>
      <c r="AE426" s="230" t="e">
        <f>T426-HLOOKUP(V426,Minimas!$C$3:$CD$12,5,FALSE)</f>
        <v>#N/A</v>
      </c>
      <c r="AF426" s="230" t="e">
        <f>T426-HLOOKUP(V426,Minimas!$C$3:$CD$12,6,FALSE)</f>
        <v>#N/A</v>
      </c>
      <c r="AG426" s="230" t="e">
        <f>T426-HLOOKUP(V426,Minimas!$C$3:$CD$12,7,FALSE)</f>
        <v>#N/A</v>
      </c>
      <c r="AH426" s="230" t="e">
        <f>T426-HLOOKUP(V426,Minimas!$C$3:$CD$12,8,FALSE)</f>
        <v>#N/A</v>
      </c>
      <c r="AI426" s="230" t="e">
        <f>T426-HLOOKUP(V426,Minimas!$C$3:$CD$12,9,FALSE)</f>
        <v>#N/A</v>
      </c>
      <c r="AJ426" s="230" t="e">
        <f>T426-HLOOKUP(V426,Minimas!$C$3:$CD$12,10,FALSE)</f>
        <v>#N/A</v>
      </c>
      <c r="AK426" s="231" t="str">
        <f t="shared" si="112"/>
        <v xml:space="preserve"> </v>
      </c>
      <c r="AL426" s="232"/>
      <c r="AM426" s="232" t="str">
        <f t="shared" si="113"/>
        <v xml:space="preserve"> </v>
      </c>
      <c r="AN426" s="232" t="str">
        <f t="shared" si="114"/>
        <v xml:space="preserve"> </v>
      </c>
    </row>
    <row r="427" spans="28:40" ht="14" x14ac:dyDescent="0.25">
      <c r="AB427" s="230" t="e">
        <f>T427-HLOOKUP(V427,Minimas!$C$3:$CD$12,2,FALSE)</f>
        <v>#N/A</v>
      </c>
      <c r="AC427" s="230" t="e">
        <f>T427-HLOOKUP(V427,Minimas!$C$3:$CD$12,3,FALSE)</f>
        <v>#N/A</v>
      </c>
      <c r="AD427" s="230" t="e">
        <f>T427-HLOOKUP(V427,Minimas!$C$3:$CD$12,4,FALSE)</f>
        <v>#N/A</v>
      </c>
      <c r="AE427" s="230" t="e">
        <f>T427-HLOOKUP(V427,Minimas!$C$3:$CD$12,5,FALSE)</f>
        <v>#N/A</v>
      </c>
      <c r="AF427" s="230" t="e">
        <f>T427-HLOOKUP(V427,Minimas!$C$3:$CD$12,6,FALSE)</f>
        <v>#N/A</v>
      </c>
      <c r="AG427" s="230" t="e">
        <f>T427-HLOOKUP(V427,Minimas!$C$3:$CD$12,7,FALSE)</f>
        <v>#N/A</v>
      </c>
      <c r="AH427" s="230" t="e">
        <f>T427-HLOOKUP(V427,Minimas!$C$3:$CD$12,8,FALSE)</f>
        <v>#N/A</v>
      </c>
      <c r="AI427" s="230" t="e">
        <f>T427-HLOOKUP(V427,Minimas!$C$3:$CD$12,9,FALSE)</f>
        <v>#N/A</v>
      </c>
      <c r="AJ427" s="230" t="e">
        <f>T427-HLOOKUP(V427,Minimas!$C$3:$CD$12,10,FALSE)</f>
        <v>#N/A</v>
      </c>
      <c r="AK427" s="231" t="str">
        <f t="shared" si="112"/>
        <v xml:space="preserve"> </v>
      </c>
      <c r="AL427" s="232"/>
      <c r="AM427" s="232" t="str">
        <f t="shared" si="113"/>
        <v xml:space="preserve"> </v>
      </c>
      <c r="AN427" s="232" t="str">
        <f t="shared" si="114"/>
        <v xml:space="preserve"> </v>
      </c>
    </row>
    <row r="428" spans="28:40" ht="14" x14ac:dyDescent="0.25">
      <c r="AB428" s="230" t="e">
        <f>T428-HLOOKUP(V428,Minimas!$C$3:$CD$12,2,FALSE)</f>
        <v>#N/A</v>
      </c>
      <c r="AC428" s="230" t="e">
        <f>T428-HLOOKUP(V428,Minimas!$C$3:$CD$12,3,FALSE)</f>
        <v>#N/A</v>
      </c>
      <c r="AD428" s="230" t="e">
        <f>T428-HLOOKUP(V428,Minimas!$C$3:$CD$12,4,FALSE)</f>
        <v>#N/A</v>
      </c>
      <c r="AE428" s="230" t="e">
        <f>T428-HLOOKUP(V428,Minimas!$C$3:$CD$12,5,FALSE)</f>
        <v>#N/A</v>
      </c>
      <c r="AF428" s="230" t="e">
        <f>T428-HLOOKUP(V428,Minimas!$C$3:$CD$12,6,FALSE)</f>
        <v>#N/A</v>
      </c>
      <c r="AG428" s="230" t="e">
        <f>T428-HLOOKUP(V428,Minimas!$C$3:$CD$12,7,FALSE)</f>
        <v>#N/A</v>
      </c>
      <c r="AH428" s="230" t="e">
        <f>T428-HLOOKUP(V428,Minimas!$C$3:$CD$12,8,FALSE)</f>
        <v>#N/A</v>
      </c>
      <c r="AI428" s="230" t="e">
        <f>T428-HLOOKUP(V428,Minimas!$C$3:$CD$12,9,FALSE)</f>
        <v>#N/A</v>
      </c>
      <c r="AJ428" s="230" t="e">
        <f>T428-HLOOKUP(V428,Minimas!$C$3:$CD$12,10,FALSE)</f>
        <v>#N/A</v>
      </c>
      <c r="AK428" s="231" t="str">
        <f t="shared" si="112"/>
        <v xml:space="preserve"> </v>
      </c>
      <c r="AL428" s="232"/>
      <c r="AM428" s="232" t="str">
        <f t="shared" si="113"/>
        <v xml:space="preserve"> </v>
      </c>
      <c r="AN428" s="232" t="str">
        <f t="shared" si="114"/>
        <v xml:space="preserve"> </v>
      </c>
    </row>
    <row r="429" spans="28:40" ht="14" x14ac:dyDescent="0.25">
      <c r="AB429" s="230" t="e">
        <f>T429-HLOOKUP(V429,Minimas!$C$3:$CD$12,2,FALSE)</f>
        <v>#N/A</v>
      </c>
      <c r="AC429" s="230" t="e">
        <f>T429-HLOOKUP(V429,Minimas!$C$3:$CD$12,3,FALSE)</f>
        <v>#N/A</v>
      </c>
      <c r="AD429" s="230" t="e">
        <f>T429-HLOOKUP(V429,Minimas!$C$3:$CD$12,4,FALSE)</f>
        <v>#N/A</v>
      </c>
      <c r="AE429" s="230" t="e">
        <f>T429-HLOOKUP(V429,Minimas!$C$3:$CD$12,5,FALSE)</f>
        <v>#N/A</v>
      </c>
      <c r="AF429" s="230" t="e">
        <f>T429-HLOOKUP(V429,Minimas!$C$3:$CD$12,6,FALSE)</f>
        <v>#N/A</v>
      </c>
      <c r="AG429" s="230" t="e">
        <f>T429-HLOOKUP(V429,Minimas!$C$3:$CD$12,7,FALSE)</f>
        <v>#N/A</v>
      </c>
      <c r="AH429" s="230" t="e">
        <f>T429-HLOOKUP(V429,Minimas!$C$3:$CD$12,8,FALSE)</f>
        <v>#N/A</v>
      </c>
      <c r="AI429" s="230" t="e">
        <f>T429-HLOOKUP(V429,Minimas!$C$3:$CD$12,9,FALSE)</f>
        <v>#N/A</v>
      </c>
      <c r="AJ429" s="230" t="e">
        <f>T429-HLOOKUP(V429,Minimas!$C$3:$CD$12,10,FALSE)</f>
        <v>#N/A</v>
      </c>
      <c r="AK429" s="231" t="str">
        <f t="shared" si="112"/>
        <v xml:space="preserve"> </v>
      </c>
      <c r="AL429" s="232"/>
      <c r="AM429" s="232" t="str">
        <f t="shared" si="113"/>
        <v xml:space="preserve"> </v>
      </c>
      <c r="AN429" s="232" t="str">
        <f t="shared" si="114"/>
        <v xml:space="preserve"> </v>
      </c>
    </row>
    <row r="430" spans="28:40" ht="14" x14ac:dyDescent="0.25">
      <c r="AB430" s="230" t="e">
        <f>T430-HLOOKUP(V430,Minimas!$C$3:$CD$12,2,FALSE)</f>
        <v>#N/A</v>
      </c>
      <c r="AC430" s="230" t="e">
        <f>T430-HLOOKUP(V430,Minimas!$C$3:$CD$12,3,FALSE)</f>
        <v>#N/A</v>
      </c>
      <c r="AD430" s="230" t="e">
        <f>T430-HLOOKUP(V430,Minimas!$C$3:$CD$12,4,FALSE)</f>
        <v>#N/A</v>
      </c>
      <c r="AE430" s="230" t="e">
        <f>T430-HLOOKUP(V430,Minimas!$C$3:$CD$12,5,FALSE)</f>
        <v>#N/A</v>
      </c>
      <c r="AF430" s="230" t="e">
        <f>T430-HLOOKUP(V430,Minimas!$C$3:$CD$12,6,FALSE)</f>
        <v>#N/A</v>
      </c>
      <c r="AG430" s="230" t="e">
        <f>T430-HLOOKUP(V430,Minimas!$C$3:$CD$12,7,FALSE)</f>
        <v>#N/A</v>
      </c>
      <c r="AH430" s="230" t="e">
        <f>T430-HLOOKUP(V430,Minimas!$C$3:$CD$12,8,FALSE)</f>
        <v>#N/A</v>
      </c>
      <c r="AI430" s="230" t="e">
        <f>T430-HLOOKUP(V430,Minimas!$C$3:$CD$12,9,FALSE)</f>
        <v>#N/A</v>
      </c>
      <c r="AJ430" s="230" t="e">
        <f>T430-HLOOKUP(V430,Minimas!$C$3:$CD$12,10,FALSE)</f>
        <v>#N/A</v>
      </c>
      <c r="AK430" s="231" t="str">
        <f t="shared" si="112"/>
        <v xml:space="preserve"> </v>
      </c>
      <c r="AL430" s="232"/>
      <c r="AM430" s="232" t="str">
        <f t="shared" si="113"/>
        <v xml:space="preserve"> </v>
      </c>
      <c r="AN430" s="232" t="str">
        <f t="shared" si="114"/>
        <v xml:space="preserve"> </v>
      </c>
    </row>
    <row r="431" spans="28:40" ht="14" x14ac:dyDescent="0.25">
      <c r="AB431" s="230" t="e">
        <f>T431-HLOOKUP(V431,Minimas!$C$3:$CD$12,2,FALSE)</f>
        <v>#N/A</v>
      </c>
      <c r="AC431" s="230" t="e">
        <f>T431-HLOOKUP(V431,Minimas!$C$3:$CD$12,3,FALSE)</f>
        <v>#N/A</v>
      </c>
      <c r="AD431" s="230" t="e">
        <f>T431-HLOOKUP(V431,Minimas!$C$3:$CD$12,4,FALSE)</f>
        <v>#N/A</v>
      </c>
      <c r="AE431" s="230" t="e">
        <f>T431-HLOOKUP(V431,Minimas!$C$3:$CD$12,5,FALSE)</f>
        <v>#N/A</v>
      </c>
      <c r="AF431" s="230" t="e">
        <f>T431-HLOOKUP(V431,Minimas!$C$3:$CD$12,6,FALSE)</f>
        <v>#N/A</v>
      </c>
      <c r="AG431" s="230" t="e">
        <f>T431-HLOOKUP(V431,Minimas!$C$3:$CD$12,7,FALSE)</f>
        <v>#N/A</v>
      </c>
      <c r="AH431" s="230" t="e">
        <f>T431-HLOOKUP(V431,Minimas!$C$3:$CD$12,8,FALSE)</f>
        <v>#N/A</v>
      </c>
      <c r="AI431" s="230" t="e">
        <f>T431-HLOOKUP(V431,Minimas!$C$3:$CD$12,9,FALSE)</f>
        <v>#N/A</v>
      </c>
      <c r="AJ431" s="230" t="e">
        <f>T431-HLOOKUP(V431,Minimas!$C$3:$CD$12,10,FALSE)</f>
        <v>#N/A</v>
      </c>
      <c r="AK431" s="231" t="str">
        <f t="shared" si="112"/>
        <v xml:space="preserve"> </v>
      </c>
      <c r="AL431" s="232"/>
      <c r="AM431" s="232" t="str">
        <f t="shared" si="113"/>
        <v xml:space="preserve"> </v>
      </c>
      <c r="AN431" s="232" t="str">
        <f t="shared" si="114"/>
        <v xml:space="preserve"> </v>
      </c>
    </row>
    <row r="432" spans="28:40" ht="14" x14ac:dyDescent="0.25">
      <c r="AB432" s="230" t="e">
        <f>T432-HLOOKUP(V432,Minimas!$C$3:$CD$12,2,FALSE)</f>
        <v>#N/A</v>
      </c>
      <c r="AC432" s="230" t="e">
        <f>T432-HLOOKUP(V432,Minimas!$C$3:$CD$12,3,FALSE)</f>
        <v>#N/A</v>
      </c>
      <c r="AD432" s="230" t="e">
        <f>T432-HLOOKUP(V432,Minimas!$C$3:$CD$12,4,FALSE)</f>
        <v>#N/A</v>
      </c>
      <c r="AE432" s="230" t="e">
        <f>T432-HLOOKUP(V432,Minimas!$C$3:$CD$12,5,FALSE)</f>
        <v>#N/A</v>
      </c>
      <c r="AF432" s="230" t="e">
        <f>T432-HLOOKUP(V432,Minimas!$C$3:$CD$12,6,FALSE)</f>
        <v>#N/A</v>
      </c>
      <c r="AG432" s="230" t="e">
        <f>T432-HLOOKUP(V432,Minimas!$C$3:$CD$12,7,FALSE)</f>
        <v>#N/A</v>
      </c>
      <c r="AH432" s="230" t="e">
        <f>T432-HLOOKUP(V432,Minimas!$C$3:$CD$12,8,FALSE)</f>
        <v>#N/A</v>
      </c>
      <c r="AI432" s="230" t="e">
        <f>T432-HLOOKUP(V432,Minimas!$C$3:$CD$12,9,FALSE)</f>
        <v>#N/A</v>
      </c>
      <c r="AJ432" s="230" t="e">
        <f>T432-HLOOKUP(V432,Minimas!$C$3:$CD$12,10,FALSE)</f>
        <v>#N/A</v>
      </c>
      <c r="AK432" s="231" t="str">
        <f t="shared" si="112"/>
        <v xml:space="preserve"> </v>
      </c>
      <c r="AL432" s="232"/>
      <c r="AM432" s="232" t="str">
        <f t="shared" si="113"/>
        <v xml:space="preserve"> </v>
      </c>
      <c r="AN432" s="232" t="str">
        <f t="shared" si="114"/>
        <v xml:space="preserve"> </v>
      </c>
    </row>
    <row r="433" spans="28:40" ht="14" x14ac:dyDescent="0.25">
      <c r="AB433" s="230" t="e">
        <f>T433-HLOOKUP(V433,Minimas!$C$3:$CD$12,2,FALSE)</f>
        <v>#N/A</v>
      </c>
      <c r="AC433" s="230" t="e">
        <f>T433-HLOOKUP(V433,Minimas!$C$3:$CD$12,3,FALSE)</f>
        <v>#N/A</v>
      </c>
      <c r="AD433" s="230" t="e">
        <f>T433-HLOOKUP(V433,Minimas!$C$3:$CD$12,4,FALSE)</f>
        <v>#N/A</v>
      </c>
      <c r="AE433" s="230" t="e">
        <f>T433-HLOOKUP(V433,Minimas!$C$3:$CD$12,5,FALSE)</f>
        <v>#N/A</v>
      </c>
      <c r="AF433" s="230" t="e">
        <f>T433-HLOOKUP(V433,Minimas!$C$3:$CD$12,6,FALSE)</f>
        <v>#N/A</v>
      </c>
      <c r="AG433" s="230" t="e">
        <f>T433-HLOOKUP(V433,Minimas!$C$3:$CD$12,7,FALSE)</f>
        <v>#N/A</v>
      </c>
      <c r="AH433" s="230" t="e">
        <f>T433-HLOOKUP(V433,Minimas!$C$3:$CD$12,8,FALSE)</f>
        <v>#N/A</v>
      </c>
      <c r="AI433" s="230" t="e">
        <f>T433-HLOOKUP(V433,Minimas!$C$3:$CD$12,9,FALSE)</f>
        <v>#N/A</v>
      </c>
      <c r="AJ433" s="230" t="e">
        <f>T433-HLOOKUP(V433,Minimas!$C$3:$CD$12,10,FALSE)</f>
        <v>#N/A</v>
      </c>
      <c r="AK433" s="231" t="str">
        <f t="shared" si="112"/>
        <v xml:space="preserve"> </v>
      </c>
      <c r="AL433" s="232"/>
      <c r="AM433" s="232" t="str">
        <f t="shared" si="113"/>
        <v xml:space="preserve"> </v>
      </c>
      <c r="AN433" s="232" t="str">
        <f t="shared" si="114"/>
        <v xml:space="preserve"> </v>
      </c>
    </row>
    <row r="434" spans="28:40" ht="14" x14ac:dyDescent="0.25">
      <c r="AB434" s="230" t="e">
        <f>T434-HLOOKUP(V434,Minimas!$C$3:$CD$12,2,FALSE)</f>
        <v>#N/A</v>
      </c>
      <c r="AC434" s="230" t="e">
        <f>T434-HLOOKUP(V434,Minimas!$C$3:$CD$12,3,FALSE)</f>
        <v>#N/A</v>
      </c>
      <c r="AD434" s="230" t="e">
        <f>T434-HLOOKUP(V434,Minimas!$C$3:$CD$12,4,FALSE)</f>
        <v>#N/A</v>
      </c>
      <c r="AE434" s="230" t="e">
        <f>T434-HLOOKUP(V434,Minimas!$C$3:$CD$12,5,FALSE)</f>
        <v>#N/A</v>
      </c>
      <c r="AF434" s="230" t="e">
        <f>T434-HLOOKUP(V434,Minimas!$C$3:$CD$12,6,FALSE)</f>
        <v>#N/A</v>
      </c>
      <c r="AG434" s="230" t="e">
        <f>T434-HLOOKUP(V434,Minimas!$C$3:$CD$12,7,FALSE)</f>
        <v>#N/A</v>
      </c>
      <c r="AH434" s="230" t="e">
        <f>T434-HLOOKUP(V434,Minimas!$C$3:$CD$12,8,FALSE)</f>
        <v>#N/A</v>
      </c>
      <c r="AI434" s="230" t="e">
        <f>T434-HLOOKUP(V434,Minimas!$C$3:$CD$12,9,FALSE)</f>
        <v>#N/A</v>
      </c>
      <c r="AJ434" s="230" t="e">
        <f>T434-HLOOKUP(V434,Minimas!$C$3:$CD$12,10,FALSE)</f>
        <v>#N/A</v>
      </c>
      <c r="AK434" s="231" t="str">
        <f t="shared" si="112"/>
        <v xml:space="preserve"> </v>
      </c>
      <c r="AL434" s="232"/>
      <c r="AM434" s="232" t="str">
        <f t="shared" si="113"/>
        <v xml:space="preserve"> </v>
      </c>
      <c r="AN434" s="232" t="str">
        <f t="shared" si="114"/>
        <v xml:space="preserve"> </v>
      </c>
    </row>
    <row r="435" spans="28:40" ht="14" x14ac:dyDescent="0.25">
      <c r="AB435" s="230" t="e">
        <f>T435-HLOOKUP(V435,Minimas!$C$3:$CD$12,2,FALSE)</f>
        <v>#N/A</v>
      </c>
      <c r="AC435" s="230" t="e">
        <f>T435-HLOOKUP(V435,Minimas!$C$3:$CD$12,3,FALSE)</f>
        <v>#N/A</v>
      </c>
      <c r="AD435" s="230" t="e">
        <f>T435-HLOOKUP(V435,Minimas!$C$3:$CD$12,4,FALSE)</f>
        <v>#N/A</v>
      </c>
      <c r="AE435" s="230" t="e">
        <f>T435-HLOOKUP(V435,Minimas!$C$3:$CD$12,5,FALSE)</f>
        <v>#N/A</v>
      </c>
      <c r="AF435" s="230" t="e">
        <f>T435-HLOOKUP(V435,Minimas!$C$3:$CD$12,6,FALSE)</f>
        <v>#N/A</v>
      </c>
      <c r="AG435" s="230" t="e">
        <f>T435-HLOOKUP(V435,Minimas!$C$3:$CD$12,7,FALSE)</f>
        <v>#N/A</v>
      </c>
      <c r="AH435" s="230" t="e">
        <f>T435-HLOOKUP(V435,Minimas!$C$3:$CD$12,8,FALSE)</f>
        <v>#N/A</v>
      </c>
      <c r="AI435" s="230" t="e">
        <f>T435-HLOOKUP(V435,Minimas!$C$3:$CD$12,9,FALSE)</f>
        <v>#N/A</v>
      </c>
      <c r="AJ435" s="230" t="e">
        <f>T435-HLOOKUP(V435,Minimas!$C$3:$CD$12,10,FALSE)</f>
        <v>#N/A</v>
      </c>
      <c r="AK435" s="231" t="str">
        <f t="shared" si="112"/>
        <v xml:space="preserve"> </v>
      </c>
      <c r="AL435" s="232"/>
      <c r="AM435" s="232" t="str">
        <f t="shared" si="113"/>
        <v xml:space="preserve"> </v>
      </c>
      <c r="AN435" s="232" t="str">
        <f t="shared" si="114"/>
        <v xml:space="preserve"> </v>
      </c>
    </row>
    <row r="436" spans="28:40" ht="14" x14ac:dyDescent="0.25">
      <c r="AB436" s="230" t="e">
        <f>T436-HLOOKUP(V436,Minimas!$C$3:$CD$12,2,FALSE)</f>
        <v>#N/A</v>
      </c>
      <c r="AC436" s="230" t="e">
        <f>T436-HLOOKUP(V436,Minimas!$C$3:$CD$12,3,FALSE)</f>
        <v>#N/A</v>
      </c>
      <c r="AD436" s="230" t="e">
        <f>T436-HLOOKUP(V436,Minimas!$C$3:$CD$12,4,FALSE)</f>
        <v>#N/A</v>
      </c>
      <c r="AE436" s="230" t="e">
        <f>T436-HLOOKUP(V436,Minimas!$C$3:$CD$12,5,FALSE)</f>
        <v>#N/A</v>
      </c>
      <c r="AF436" s="230" t="e">
        <f>T436-HLOOKUP(V436,Minimas!$C$3:$CD$12,6,FALSE)</f>
        <v>#N/A</v>
      </c>
      <c r="AG436" s="230" t="e">
        <f>T436-HLOOKUP(V436,Minimas!$C$3:$CD$12,7,FALSE)</f>
        <v>#N/A</v>
      </c>
      <c r="AH436" s="230" t="e">
        <f>T436-HLOOKUP(V436,Minimas!$C$3:$CD$12,8,FALSE)</f>
        <v>#N/A</v>
      </c>
      <c r="AI436" s="230" t="e">
        <f>T436-HLOOKUP(V436,Minimas!$C$3:$CD$12,9,FALSE)</f>
        <v>#N/A</v>
      </c>
      <c r="AJ436" s="230" t="e">
        <f>T436-HLOOKUP(V436,Minimas!$C$3:$CD$12,10,FALSE)</f>
        <v>#N/A</v>
      </c>
      <c r="AK436" s="231" t="str">
        <f t="shared" si="112"/>
        <v xml:space="preserve"> </v>
      </c>
      <c r="AL436" s="232"/>
      <c r="AM436" s="232" t="str">
        <f t="shared" si="113"/>
        <v xml:space="preserve"> </v>
      </c>
      <c r="AN436" s="232" t="str">
        <f t="shared" si="114"/>
        <v xml:space="preserve"> </v>
      </c>
    </row>
    <row r="437" spans="28:40" ht="14" x14ac:dyDescent="0.25">
      <c r="AB437" s="230" t="e">
        <f>T437-HLOOKUP(V437,Minimas!$C$3:$CD$12,2,FALSE)</f>
        <v>#N/A</v>
      </c>
      <c r="AC437" s="230" t="e">
        <f>T437-HLOOKUP(V437,Minimas!$C$3:$CD$12,3,FALSE)</f>
        <v>#N/A</v>
      </c>
      <c r="AD437" s="230" t="e">
        <f>T437-HLOOKUP(V437,Minimas!$C$3:$CD$12,4,FALSE)</f>
        <v>#N/A</v>
      </c>
      <c r="AE437" s="230" t="e">
        <f>T437-HLOOKUP(V437,Minimas!$C$3:$CD$12,5,FALSE)</f>
        <v>#N/A</v>
      </c>
      <c r="AF437" s="230" t="e">
        <f>T437-HLOOKUP(V437,Minimas!$C$3:$CD$12,6,FALSE)</f>
        <v>#N/A</v>
      </c>
      <c r="AG437" s="230" t="e">
        <f>T437-HLOOKUP(V437,Minimas!$C$3:$CD$12,7,FALSE)</f>
        <v>#N/A</v>
      </c>
      <c r="AH437" s="230" t="e">
        <f>T437-HLOOKUP(V437,Minimas!$C$3:$CD$12,8,FALSE)</f>
        <v>#N/A</v>
      </c>
      <c r="AI437" s="230" t="e">
        <f>T437-HLOOKUP(V437,Minimas!$C$3:$CD$12,9,FALSE)</f>
        <v>#N/A</v>
      </c>
      <c r="AJ437" s="230" t="e">
        <f>T437-HLOOKUP(V437,Minimas!$C$3:$CD$12,10,FALSE)</f>
        <v>#N/A</v>
      </c>
      <c r="AK437" s="231" t="str">
        <f t="shared" si="112"/>
        <v xml:space="preserve"> </v>
      </c>
      <c r="AL437" s="232"/>
      <c r="AM437" s="232" t="str">
        <f t="shared" si="113"/>
        <v xml:space="preserve"> </v>
      </c>
      <c r="AN437" s="232" t="str">
        <f t="shared" si="114"/>
        <v xml:space="preserve"> </v>
      </c>
    </row>
    <row r="438" spans="28:40" ht="14" x14ac:dyDescent="0.25">
      <c r="AB438" s="230" t="e">
        <f>T438-HLOOKUP(V438,Minimas!$C$3:$CD$12,2,FALSE)</f>
        <v>#N/A</v>
      </c>
      <c r="AC438" s="230" t="e">
        <f>T438-HLOOKUP(V438,Minimas!$C$3:$CD$12,3,FALSE)</f>
        <v>#N/A</v>
      </c>
      <c r="AD438" s="230" t="e">
        <f>T438-HLOOKUP(V438,Minimas!$C$3:$CD$12,4,FALSE)</f>
        <v>#N/A</v>
      </c>
      <c r="AE438" s="230" t="e">
        <f>T438-HLOOKUP(V438,Minimas!$C$3:$CD$12,5,FALSE)</f>
        <v>#N/A</v>
      </c>
      <c r="AF438" s="230" t="e">
        <f>T438-HLOOKUP(V438,Minimas!$C$3:$CD$12,6,FALSE)</f>
        <v>#N/A</v>
      </c>
      <c r="AG438" s="230" t="e">
        <f>T438-HLOOKUP(V438,Minimas!$C$3:$CD$12,7,FALSE)</f>
        <v>#N/A</v>
      </c>
      <c r="AH438" s="230" t="e">
        <f>T438-HLOOKUP(V438,Minimas!$C$3:$CD$12,8,FALSE)</f>
        <v>#N/A</v>
      </c>
      <c r="AI438" s="230" t="e">
        <f>T438-HLOOKUP(V438,Minimas!$C$3:$CD$12,9,FALSE)</f>
        <v>#N/A</v>
      </c>
      <c r="AJ438" s="230" t="e">
        <f>T438-HLOOKUP(V438,Minimas!$C$3:$CD$12,10,FALSE)</f>
        <v>#N/A</v>
      </c>
      <c r="AK438" s="231" t="str">
        <f t="shared" si="112"/>
        <v xml:space="preserve"> </v>
      </c>
      <c r="AL438" s="232"/>
      <c r="AM438" s="232" t="str">
        <f t="shared" si="113"/>
        <v xml:space="preserve"> </v>
      </c>
      <c r="AN438" s="232" t="str">
        <f t="shared" si="114"/>
        <v xml:space="preserve"> </v>
      </c>
    </row>
    <row r="439" spans="28:40" ht="14" x14ac:dyDescent="0.25">
      <c r="AB439" s="230" t="e">
        <f>T439-HLOOKUP(V439,Minimas!$C$3:$CD$12,2,FALSE)</f>
        <v>#N/A</v>
      </c>
      <c r="AC439" s="230" t="e">
        <f>T439-HLOOKUP(V439,Minimas!$C$3:$CD$12,3,FALSE)</f>
        <v>#N/A</v>
      </c>
      <c r="AD439" s="230" t="e">
        <f>T439-HLOOKUP(V439,Minimas!$C$3:$CD$12,4,FALSE)</f>
        <v>#N/A</v>
      </c>
      <c r="AE439" s="230" t="e">
        <f>T439-HLOOKUP(V439,Minimas!$C$3:$CD$12,5,FALSE)</f>
        <v>#N/A</v>
      </c>
      <c r="AF439" s="230" t="e">
        <f>T439-HLOOKUP(V439,Minimas!$C$3:$CD$12,6,FALSE)</f>
        <v>#N/A</v>
      </c>
      <c r="AG439" s="230" t="e">
        <f>T439-HLOOKUP(V439,Minimas!$C$3:$CD$12,7,FALSE)</f>
        <v>#N/A</v>
      </c>
      <c r="AH439" s="230" t="e">
        <f>T439-HLOOKUP(V439,Minimas!$C$3:$CD$12,8,FALSE)</f>
        <v>#N/A</v>
      </c>
      <c r="AI439" s="230" t="e">
        <f>T439-HLOOKUP(V439,Minimas!$C$3:$CD$12,9,FALSE)</f>
        <v>#N/A</v>
      </c>
      <c r="AJ439" s="230" t="e">
        <f>T439-HLOOKUP(V439,Minimas!$C$3:$CD$12,10,FALSE)</f>
        <v>#N/A</v>
      </c>
      <c r="AK439" s="231" t="str">
        <f t="shared" si="112"/>
        <v xml:space="preserve"> </v>
      </c>
      <c r="AL439" s="232"/>
      <c r="AM439" s="232" t="str">
        <f t="shared" si="113"/>
        <v xml:space="preserve"> </v>
      </c>
      <c r="AN439" s="232" t="str">
        <f t="shared" si="114"/>
        <v xml:space="preserve"> </v>
      </c>
    </row>
    <row r="440" spans="28:40" ht="14" x14ac:dyDescent="0.25">
      <c r="AB440" s="230" t="e">
        <f>T440-HLOOKUP(V440,Minimas!$C$3:$CD$12,2,FALSE)</f>
        <v>#N/A</v>
      </c>
      <c r="AC440" s="230" t="e">
        <f>T440-HLOOKUP(V440,Minimas!$C$3:$CD$12,3,FALSE)</f>
        <v>#N/A</v>
      </c>
      <c r="AD440" s="230" t="e">
        <f>T440-HLOOKUP(V440,Minimas!$C$3:$CD$12,4,FALSE)</f>
        <v>#N/A</v>
      </c>
      <c r="AE440" s="230" t="e">
        <f>T440-HLOOKUP(V440,Minimas!$C$3:$CD$12,5,FALSE)</f>
        <v>#N/A</v>
      </c>
      <c r="AF440" s="230" t="e">
        <f>T440-HLOOKUP(V440,Minimas!$C$3:$CD$12,6,FALSE)</f>
        <v>#N/A</v>
      </c>
      <c r="AG440" s="230" t="e">
        <f>T440-HLOOKUP(V440,Minimas!$C$3:$CD$12,7,FALSE)</f>
        <v>#N/A</v>
      </c>
      <c r="AH440" s="230" t="e">
        <f>T440-HLOOKUP(V440,Minimas!$C$3:$CD$12,8,FALSE)</f>
        <v>#N/A</v>
      </c>
      <c r="AI440" s="230" t="e">
        <f>T440-HLOOKUP(V440,Minimas!$C$3:$CD$12,9,FALSE)</f>
        <v>#N/A</v>
      </c>
      <c r="AJ440" s="230" t="e">
        <f>T440-HLOOKUP(V440,Minimas!$C$3:$CD$12,10,FALSE)</f>
        <v>#N/A</v>
      </c>
      <c r="AK440" s="231" t="str">
        <f t="shared" si="112"/>
        <v xml:space="preserve"> </v>
      </c>
      <c r="AL440" s="232"/>
      <c r="AM440" s="232" t="str">
        <f t="shared" si="113"/>
        <v xml:space="preserve"> </v>
      </c>
      <c r="AN440" s="232" t="str">
        <f t="shared" si="114"/>
        <v xml:space="preserve"> </v>
      </c>
    </row>
    <row r="441" spans="28:40" ht="14" x14ac:dyDescent="0.25">
      <c r="AB441" s="230" t="e">
        <f>T441-HLOOKUP(V441,Minimas!$C$3:$CD$12,2,FALSE)</f>
        <v>#N/A</v>
      </c>
      <c r="AC441" s="230" t="e">
        <f>T441-HLOOKUP(V441,Minimas!$C$3:$CD$12,3,FALSE)</f>
        <v>#N/A</v>
      </c>
      <c r="AD441" s="230" t="e">
        <f>T441-HLOOKUP(V441,Minimas!$C$3:$CD$12,4,FALSE)</f>
        <v>#N/A</v>
      </c>
      <c r="AE441" s="230" t="e">
        <f>T441-HLOOKUP(V441,Minimas!$C$3:$CD$12,5,FALSE)</f>
        <v>#N/A</v>
      </c>
      <c r="AF441" s="230" t="e">
        <f>T441-HLOOKUP(V441,Minimas!$C$3:$CD$12,6,FALSE)</f>
        <v>#N/A</v>
      </c>
      <c r="AG441" s="230" t="e">
        <f>T441-HLOOKUP(V441,Minimas!$C$3:$CD$12,7,FALSE)</f>
        <v>#N/A</v>
      </c>
      <c r="AH441" s="230" t="e">
        <f>T441-HLOOKUP(V441,Minimas!$C$3:$CD$12,8,FALSE)</f>
        <v>#N/A</v>
      </c>
      <c r="AI441" s="230" t="e">
        <f>T441-HLOOKUP(V441,Minimas!$C$3:$CD$12,9,FALSE)</f>
        <v>#N/A</v>
      </c>
      <c r="AJ441" s="230" t="e">
        <f>T441-HLOOKUP(V441,Minimas!$C$3:$CD$12,10,FALSE)</f>
        <v>#N/A</v>
      </c>
      <c r="AK441" s="231" t="str">
        <f t="shared" si="112"/>
        <v xml:space="preserve"> </v>
      </c>
      <c r="AL441" s="232"/>
      <c r="AM441" s="232" t="str">
        <f t="shared" si="113"/>
        <v xml:space="preserve"> </v>
      </c>
      <c r="AN441" s="232" t="str">
        <f t="shared" si="114"/>
        <v xml:space="preserve"> </v>
      </c>
    </row>
    <row r="442" spans="28:40" ht="14" x14ac:dyDescent="0.25">
      <c r="AB442" s="230" t="e">
        <f>T442-HLOOKUP(V442,Minimas!$C$3:$CD$12,2,FALSE)</f>
        <v>#N/A</v>
      </c>
      <c r="AC442" s="230" t="e">
        <f>T442-HLOOKUP(V442,Minimas!$C$3:$CD$12,3,FALSE)</f>
        <v>#N/A</v>
      </c>
      <c r="AD442" s="230" t="e">
        <f>T442-HLOOKUP(V442,Minimas!$C$3:$CD$12,4,FALSE)</f>
        <v>#N/A</v>
      </c>
      <c r="AE442" s="230" t="e">
        <f>T442-HLOOKUP(V442,Minimas!$C$3:$CD$12,5,FALSE)</f>
        <v>#N/A</v>
      </c>
      <c r="AF442" s="230" t="e">
        <f>T442-HLOOKUP(V442,Minimas!$C$3:$CD$12,6,FALSE)</f>
        <v>#N/A</v>
      </c>
      <c r="AG442" s="230" t="e">
        <f>T442-HLOOKUP(V442,Minimas!$C$3:$CD$12,7,FALSE)</f>
        <v>#N/A</v>
      </c>
      <c r="AH442" s="230" t="e">
        <f>T442-HLOOKUP(V442,Minimas!$C$3:$CD$12,8,FALSE)</f>
        <v>#N/A</v>
      </c>
      <c r="AI442" s="230" t="e">
        <f>T442-HLOOKUP(V442,Minimas!$C$3:$CD$12,9,FALSE)</f>
        <v>#N/A</v>
      </c>
      <c r="AJ442" s="230" t="e">
        <f>T442-HLOOKUP(V442,Minimas!$C$3:$CD$12,10,FALSE)</f>
        <v>#N/A</v>
      </c>
      <c r="AK442" s="231" t="str">
        <f t="shared" si="112"/>
        <v xml:space="preserve"> </v>
      </c>
      <c r="AL442" s="232"/>
      <c r="AM442" s="232" t="str">
        <f t="shared" si="113"/>
        <v xml:space="preserve"> </v>
      </c>
      <c r="AN442" s="232" t="str">
        <f t="shared" si="114"/>
        <v xml:space="preserve"> </v>
      </c>
    </row>
    <row r="443" spans="28:40" ht="14" x14ac:dyDescent="0.25">
      <c r="AB443" s="230" t="e">
        <f>T443-HLOOKUP(V443,Minimas!$C$3:$CD$12,2,FALSE)</f>
        <v>#N/A</v>
      </c>
      <c r="AC443" s="230" t="e">
        <f>T443-HLOOKUP(V443,Minimas!$C$3:$CD$12,3,FALSE)</f>
        <v>#N/A</v>
      </c>
      <c r="AD443" s="230" t="e">
        <f>T443-HLOOKUP(V443,Minimas!$C$3:$CD$12,4,FALSE)</f>
        <v>#N/A</v>
      </c>
      <c r="AE443" s="230" t="e">
        <f>T443-HLOOKUP(V443,Minimas!$C$3:$CD$12,5,FALSE)</f>
        <v>#N/A</v>
      </c>
      <c r="AF443" s="230" t="e">
        <f>T443-HLOOKUP(V443,Minimas!$C$3:$CD$12,6,FALSE)</f>
        <v>#N/A</v>
      </c>
      <c r="AG443" s="230" t="e">
        <f>T443-HLOOKUP(V443,Minimas!$C$3:$CD$12,7,FALSE)</f>
        <v>#N/A</v>
      </c>
      <c r="AH443" s="230" t="e">
        <f>T443-HLOOKUP(V443,Minimas!$C$3:$CD$12,8,FALSE)</f>
        <v>#N/A</v>
      </c>
      <c r="AI443" s="230" t="e">
        <f>T443-HLOOKUP(V443,Minimas!$C$3:$CD$12,9,FALSE)</f>
        <v>#N/A</v>
      </c>
      <c r="AJ443" s="230" t="e">
        <f>T443-HLOOKUP(V443,Minimas!$C$3:$CD$12,10,FALSE)</f>
        <v>#N/A</v>
      </c>
      <c r="AK443" s="231" t="str">
        <f t="shared" ref="AK443:AK506" si="115">IF(E443=0," ",IF(AJ443&gt;=0,$AJ$5,IF(AI443&gt;=0,$AI$5,IF(AH443&gt;=0,$AH$5,IF(AG443&gt;=0,$AG$5,IF(AF443&gt;=0,$AF$5,IF(AE443&gt;=0,$AE$5,IF(AD443&gt;=0,$AD$5,IF(AC443&gt;=0,$AC$5,$AB$5)))))))))</f>
        <v xml:space="preserve"> </v>
      </c>
      <c r="AL443" s="232"/>
      <c r="AM443" s="232" t="str">
        <f t="shared" ref="AM443:AM506" si="116">IF(AK443="","",AK443)</f>
        <v xml:space="preserve"> </v>
      </c>
      <c r="AN443" s="232" t="str">
        <f t="shared" ref="AN443:AN506" si="117">IF(E443=0," ",IF(AJ443&gt;=0,AJ443,IF(AI443&gt;=0,AI443,IF(AH443&gt;=0,AH443,IF(AG443&gt;=0,AG443,IF(AF443&gt;=0,AF443,IF(AE443&gt;=0,AE443,IF(AD443&gt;=0,AD443,IF(AC443&gt;=0,AC443,AB443)))))))))</f>
        <v xml:space="preserve"> </v>
      </c>
    </row>
    <row r="444" spans="28:40" ht="14" x14ac:dyDescent="0.25">
      <c r="AB444" s="230" t="e">
        <f>T444-HLOOKUP(V444,Minimas!$C$3:$CD$12,2,FALSE)</f>
        <v>#N/A</v>
      </c>
      <c r="AC444" s="230" t="e">
        <f>T444-HLOOKUP(V444,Minimas!$C$3:$CD$12,3,FALSE)</f>
        <v>#N/A</v>
      </c>
      <c r="AD444" s="230" t="e">
        <f>T444-HLOOKUP(V444,Minimas!$C$3:$CD$12,4,FALSE)</f>
        <v>#N/A</v>
      </c>
      <c r="AE444" s="230" t="e">
        <f>T444-HLOOKUP(V444,Minimas!$C$3:$CD$12,5,FALSE)</f>
        <v>#N/A</v>
      </c>
      <c r="AF444" s="230" t="e">
        <f>T444-HLOOKUP(V444,Minimas!$C$3:$CD$12,6,FALSE)</f>
        <v>#N/A</v>
      </c>
      <c r="AG444" s="230" t="e">
        <f>T444-HLOOKUP(V444,Minimas!$C$3:$CD$12,7,FALSE)</f>
        <v>#N/A</v>
      </c>
      <c r="AH444" s="230" t="e">
        <f>T444-HLOOKUP(V444,Minimas!$C$3:$CD$12,8,FALSE)</f>
        <v>#N/A</v>
      </c>
      <c r="AI444" s="230" t="e">
        <f>T444-HLOOKUP(V444,Minimas!$C$3:$CD$12,9,FALSE)</f>
        <v>#N/A</v>
      </c>
      <c r="AJ444" s="230" t="e">
        <f>T444-HLOOKUP(V444,Minimas!$C$3:$CD$12,10,FALSE)</f>
        <v>#N/A</v>
      </c>
      <c r="AK444" s="231" t="str">
        <f t="shared" si="115"/>
        <v xml:space="preserve"> </v>
      </c>
      <c r="AL444" s="232"/>
      <c r="AM444" s="232" t="str">
        <f t="shared" si="116"/>
        <v xml:space="preserve"> </v>
      </c>
      <c r="AN444" s="232" t="str">
        <f t="shared" si="117"/>
        <v xml:space="preserve"> </v>
      </c>
    </row>
    <row r="445" spans="28:40" ht="14" x14ac:dyDescent="0.25">
      <c r="AB445" s="230" t="e">
        <f>T445-HLOOKUP(V445,Minimas!$C$3:$CD$12,2,FALSE)</f>
        <v>#N/A</v>
      </c>
      <c r="AC445" s="230" t="e">
        <f>T445-HLOOKUP(V445,Minimas!$C$3:$CD$12,3,FALSE)</f>
        <v>#N/A</v>
      </c>
      <c r="AD445" s="230" t="e">
        <f>T445-HLOOKUP(V445,Minimas!$C$3:$CD$12,4,FALSE)</f>
        <v>#N/A</v>
      </c>
      <c r="AE445" s="230" t="e">
        <f>T445-HLOOKUP(V445,Minimas!$C$3:$CD$12,5,FALSE)</f>
        <v>#N/A</v>
      </c>
      <c r="AF445" s="230" t="e">
        <f>T445-HLOOKUP(V445,Minimas!$C$3:$CD$12,6,FALSE)</f>
        <v>#N/A</v>
      </c>
      <c r="AG445" s="230" t="e">
        <f>T445-HLOOKUP(V445,Minimas!$C$3:$CD$12,7,FALSE)</f>
        <v>#N/A</v>
      </c>
      <c r="AH445" s="230" t="e">
        <f>T445-HLOOKUP(V445,Minimas!$C$3:$CD$12,8,FALSE)</f>
        <v>#N/A</v>
      </c>
      <c r="AI445" s="230" t="e">
        <f>T445-HLOOKUP(V445,Minimas!$C$3:$CD$12,9,FALSE)</f>
        <v>#N/A</v>
      </c>
      <c r="AJ445" s="230" t="e">
        <f>T445-HLOOKUP(V445,Minimas!$C$3:$CD$12,10,FALSE)</f>
        <v>#N/A</v>
      </c>
      <c r="AK445" s="231" t="str">
        <f t="shared" si="115"/>
        <v xml:space="preserve"> </v>
      </c>
      <c r="AL445" s="232"/>
      <c r="AM445" s="232" t="str">
        <f t="shared" si="116"/>
        <v xml:space="preserve"> </v>
      </c>
      <c r="AN445" s="232" t="str">
        <f t="shared" si="117"/>
        <v xml:space="preserve"> </v>
      </c>
    </row>
    <row r="446" spans="28:40" ht="14" x14ac:dyDescent="0.25">
      <c r="AB446" s="230" t="e">
        <f>T446-HLOOKUP(V446,Minimas!$C$3:$CD$12,2,FALSE)</f>
        <v>#N/A</v>
      </c>
      <c r="AC446" s="230" t="e">
        <f>T446-HLOOKUP(V446,Minimas!$C$3:$CD$12,3,FALSE)</f>
        <v>#N/A</v>
      </c>
      <c r="AD446" s="230" t="e">
        <f>T446-HLOOKUP(V446,Minimas!$C$3:$CD$12,4,FALSE)</f>
        <v>#N/A</v>
      </c>
      <c r="AE446" s="230" t="e">
        <f>T446-HLOOKUP(V446,Minimas!$C$3:$CD$12,5,FALSE)</f>
        <v>#N/A</v>
      </c>
      <c r="AF446" s="230" t="e">
        <f>T446-HLOOKUP(V446,Minimas!$C$3:$CD$12,6,FALSE)</f>
        <v>#N/A</v>
      </c>
      <c r="AG446" s="230" t="e">
        <f>T446-HLOOKUP(V446,Minimas!$C$3:$CD$12,7,FALSE)</f>
        <v>#N/A</v>
      </c>
      <c r="AH446" s="230" t="e">
        <f>T446-HLOOKUP(V446,Minimas!$C$3:$CD$12,8,FALSE)</f>
        <v>#N/A</v>
      </c>
      <c r="AI446" s="230" t="e">
        <f>T446-HLOOKUP(V446,Minimas!$C$3:$CD$12,9,FALSE)</f>
        <v>#N/A</v>
      </c>
      <c r="AJ446" s="230" t="e">
        <f>T446-HLOOKUP(V446,Minimas!$C$3:$CD$12,10,FALSE)</f>
        <v>#N/A</v>
      </c>
      <c r="AK446" s="231" t="str">
        <f t="shared" si="115"/>
        <v xml:space="preserve"> </v>
      </c>
      <c r="AL446" s="232"/>
      <c r="AM446" s="232" t="str">
        <f t="shared" si="116"/>
        <v xml:space="preserve"> </v>
      </c>
      <c r="AN446" s="232" t="str">
        <f t="shared" si="117"/>
        <v xml:space="preserve"> </v>
      </c>
    </row>
    <row r="447" spans="28:40" ht="14" x14ac:dyDescent="0.25">
      <c r="AB447" s="230" t="e">
        <f>T447-HLOOKUP(V447,Minimas!$C$3:$CD$12,2,FALSE)</f>
        <v>#N/A</v>
      </c>
      <c r="AC447" s="230" t="e">
        <f>T447-HLOOKUP(V447,Minimas!$C$3:$CD$12,3,FALSE)</f>
        <v>#N/A</v>
      </c>
      <c r="AD447" s="230" t="e">
        <f>T447-HLOOKUP(V447,Minimas!$C$3:$CD$12,4,FALSE)</f>
        <v>#N/A</v>
      </c>
      <c r="AE447" s="230" t="e">
        <f>T447-HLOOKUP(V447,Minimas!$C$3:$CD$12,5,FALSE)</f>
        <v>#N/A</v>
      </c>
      <c r="AF447" s="230" t="e">
        <f>T447-HLOOKUP(V447,Minimas!$C$3:$CD$12,6,FALSE)</f>
        <v>#N/A</v>
      </c>
      <c r="AG447" s="230" t="e">
        <f>T447-HLOOKUP(V447,Minimas!$C$3:$CD$12,7,FALSE)</f>
        <v>#N/A</v>
      </c>
      <c r="AH447" s="230" t="e">
        <f>T447-HLOOKUP(V447,Minimas!$C$3:$CD$12,8,FALSE)</f>
        <v>#N/A</v>
      </c>
      <c r="AI447" s="230" t="e">
        <f>T447-HLOOKUP(V447,Minimas!$C$3:$CD$12,9,FALSE)</f>
        <v>#N/A</v>
      </c>
      <c r="AJ447" s="230" t="e">
        <f>T447-HLOOKUP(V447,Minimas!$C$3:$CD$12,10,FALSE)</f>
        <v>#N/A</v>
      </c>
      <c r="AK447" s="231" t="str">
        <f t="shared" si="115"/>
        <v xml:space="preserve"> </v>
      </c>
      <c r="AL447" s="232"/>
      <c r="AM447" s="232" t="str">
        <f t="shared" si="116"/>
        <v xml:space="preserve"> </v>
      </c>
      <c r="AN447" s="232" t="str">
        <f t="shared" si="117"/>
        <v xml:space="preserve"> </v>
      </c>
    </row>
    <row r="448" spans="28:40" ht="14" x14ac:dyDescent="0.25">
      <c r="AB448" s="230" t="e">
        <f>T448-HLOOKUP(V448,Minimas!$C$3:$CD$12,2,FALSE)</f>
        <v>#N/A</v>
      </c>
      <c r="AC448" s="230" t="e">
        <f>T448-HLOOKUP(V448,Minimas!$C$3:$CD$12,3,FALSE)</f>
        <v>#N/A</v>
      </c>
      <c r="AD448" s="230" t="e">
        <f>T448-HLOOKUP(V448,Minimas!$C$3:$CD$12,4,FALSE)</f>
        <v>#N/A</v>
      </c>
      <c r="AE448" s="230" t="e">
        <f>T448-HLOOKUP(V448,Minimas!$C$3:$CD$12,5,FALSE)</f>
        <v>#N/A</v>
      </c>
      <c r="AF448" s="230" t="e">
        <f>T448-HLOOKUP(V448,Minimas!$C$3:$CD$12,6,FALSE)</f>
        <v>#N/A</v>
      </c>
      <c r="AG448" s="230" t="e">
        <f>T448-HLOOKUP(V448,Minimas!$C$3:$CD$12,7,FALSE)</f>
        <v>#N/A</v>
      </c>
      <c r="AH448" s="230" t="e">
        <f>T448-HLOOKUP(V448,Minimas!$C$3:$CD$12,8,FALSE)</f>
        <v>#N/A</v>
      </c>
      <c r="AI448" s="230" t="e">
        <f>T448-HLOOKUP(V448,Minimas!$C$3:$CD$12,9,FALSE)</f>
        <v>#N/A</v>
      </c>
      <c r="AJ448" s="230" t="e">
        <f>T448-HLOOKUP(V448,Minimas!$C$3:$CD$12,10,FALSE)</f>
        <v>#N/A</v>
      </c>
      <c r="AK448" s="231" t="str">
        <f t="shared" si="115"/>
        <v xml:space="preserve"> </v>
      </c>
      <c r="AL448" s="232"/>
      <c r="AM448" s="232" t="str">
        <f t="shared" si="116"/>
        <v xml:space="preserve"> </v>
      </c>
      <c r="AN448" s="232" t="str">
        <f t="shared" si="117"/>
        <v xml:space="preserve"> </v>
      </c>
    </row>
    <row r="449" spans="28:40" ht="14" x14ac:dyDescent="0.25">
      <c r="AB449" s="230" t="e">
        <f>T449-HLOOKUP(V449,Minimas!$C$3:$CD$12,2,FALSE)</f>
        <v>#N/A</v>
      </c>
      <c r="AC449" s="230" t="e">
        <f>T449-HLOOKUP(V449,Minimas!$C$3:$CD$12,3,FALSE)</f>
        <v>#N/A</v>
      </c>
      <c r="AD449" s="230" t="e">
        <f>T449-HLOOKUP(V449,Minimas!$C$3:$CD$12,4,FALSE)</f>
        <v>#N/A</v>
      </c>
      <c r="AE449" s="230" t="e">
        <f>T449-HLOOKUP(V449,Minimas!$C$3:$CD$12,5,FALSE)</f>
        <v>#N/A</v>
      </c>
      <c r="AF449" s="230" t="e">
        <f>T449-HLOOKUP(V449,Minimas!$C$3:$CD$12,6,FALSE)</f>
        <v>#N/A</v>
      </c>
      <c r="AG449" s="230" t="e">
        <f>T449-HLOOKUP(V449,Minimas!$C$3:$CD$12,7,FALSE)</f>
        <v>#N/A</v>
      </c>
      <c r="AH449" s="230" t="e">
        <f>T449-HLOOKUP(V449,Minimas!$C$3:$CD$12,8,FALSE)</f>
        <v>#N/A</v>
      </c>
      <c r="AI449" s="230" t="e">
        <f>T449-HLOOKUP(V449,Minimas!$C$3:$CD$12,9,FALSE)</f>
        <v>#N/A</v>
      </c>
      <c r="AJ449" s="230" t="e">
        <f>T449-HLOOKUP(V449,Minimas!$C$3:$CD$12,10,FALSE)</f>
        <v>#N/A</v>
      </c>
      <c r="AK449" s="231" t="str">
        <f t="shared" si="115"/>
        <v xml:space="preserve"> </v>
      </c>
      <c r="AL449" s="232"/>
      <c r="AM449" s="232" t="str">
        <f t="shared" si="116"/>
        <v xml:space="preserve"> </v>
      </c>
      <c r="AN449" s="232" t="str">
        <f t="shared" si="117"/>
        <v xml:space="preserve"> </v>
      </c>
    </row>
    <row r="450" spans="28:40" ht="14" x14ac:dyDescent="0.25">
      <c r="AB450" s="230" t="e">
        <f>T450-HLOOKUP(V450,Minimas!$C$3:$CD$12,2,FALSE)</f>
        <v>#N/A</v>
      </c>
      <c r="AC450" s="230" t="e">
        <f>T450-HLOOKUP(V450,Minimas!$C$3:$CD$12,3,FALSE)</f>
        <v>#N/A</v>
      </c>
      <c r="AD450" s="230" t="e">
        <f>T450-HLOOKUP(V450,Minimas!$C$3:$CD$12,4,FALSE)</f>
        <v>#N/A</v>
      </c>
      <c r="AE450" s="230" t="e">
        <f>T450-HLOOKUP(V450,Minimas!$C$3:$CD$12,5,FALSE)</f>
        <v>#N/A</v>
      </c>
      <c r="AF450" s="230" t="e">
        <f>T450-HLOOKUP(V450,Minimas!$C$3:$CD$12,6,FALSE)</f>
        <v>#N/A</v>
      </c>
      <c r="AG450" s="230" t="e">
        <f>T450-HLOOKUP(V450,Minimas!$C$3:$CD$12,7,FALSE)</f>
        <v>#N/A</v>
      </c>
      <c r="AH450" s="230" t="e">
        <f>T450-HLOOKUP(V450,Minimas!$C$3:$CD$12,8,FALSE)</f>
        <v>#N/A</v>
      </c>
      <c r="AI450" s="230" t="e">
        <f>T450-HLOOKUP(V450,Minimas!$C$3:$CD$12,9,FALSE)</f>
        <v>#N/A</v>
      </c>
      <c r="AJ450" s="230" t="e">
        <f>T450-HLOOKUP(V450,Minimas!$C$3:$CD$12,10,FALSE)</f>
        <v>#N/A</v>
      </c>
      <c r="AK450" s="231" t="str">
        <f t="shared" si="115"/>
        <v xml:space="preserve"> </v>
      </c>
      <c r="AL450" s="232"/>
      <c r="AM450" s="232" t="str">
        <f t="shared" si="116"/>
        <v xml:space="preserve"> </v>
      </c>
      <c r="AN450" s="232" t="str">
        <f t="shared" si="117"/>
        <v xml:space="preserve"> </v>
      </c>
    </row>
    <row r="451" spans="28:40" ht="14" x14ac:dyDescent="0.25">
      <c r="AB451" s="230" t="e">
        <f>T451-HLOOKUP(V451,Minimas!$C$3:$CD$12,2,FALSE)</f>
        <v>#N/A</v>
      </c>
      <c r="AC451" s="230" t="e">
        <f>T451-HLOOKUP(V451,Minimas!$C$3:$CD$12,3,FALSE)</f>
        <v>#N/A</v>
      </c>
      <c r="AD451" s="230" t="e">
        <f>T451-HLOOKUP(V451,Minimas!$C$3:$CD$12,4,FALSE)</f>
        <v>#N/A</v>
      </c>
      <c r="AE451" s="230" t="e">
        <f>T451-HLOOKUP(V451,Minimas!$C$3:$CD$12,5,FALSE)</f>
        <v>#N/A</v>
      </c>
      <c r="AF451" s="230" t="e">
        <f>T451-HLOOKUP(V451,Minimas!$C$3:$CD$12,6,FALSE)</f>
        <v>#N/A</v>
      </c>
      <c r="AG451" s="230" t="e">
        <f>T451-HLOOKUP(V451,Minimas!$C$3:$CD$12,7,FALSE)</f>
        <v>#N/A</v>
      </c>
      <c r="AH451" s="230" t="e">
        <f>T451-HLOOKUP(V451,Minimas!$C$3:$CD$12,8,FALSE)</f>
        <v>#N/A</v>
      </c>
      <c r="AI451" s="230" t="e">
        <f>T451-HLOOKUP(V451,Minimas!$C$3:$CD$12,9,FALSE)</f>
        <v>#N/A</v>
      </c>
      <c r="AJ451" s="230" t="e">
        <f>T451-HLOOKUP(V451,Minimas!$C$3:$CD$12,10,FALSE)</f>
        <v>#N/A</v>
      </c>
      <c r="AK451" s="231" t="str">
        <f t="shared" si="115"/>
        <v xml:space="preserve"> </v>
      </c>
      <c r="AL451" s="232"/>
      <c r="AM451" s="232" t="str">
        <f t="shared" si="116"/>
        <v xml:space="preserve"> </v>
      </c>
      <c r="AN451" s="232" t="str">
        <f t="shared" si="117"/>
        <v xml:space="preserve"> </v>
      </c>
    </row>
    <row r="452" spans="28:40" ht="14" x14ac:dyDescent="0.25">
      <c r="AB452" s="230" t="e">
        <f>T452-HLOOKUP(V452,Minimas!$C$3:$CD$12,2,FALSE)</f>
        <v>#N/A</v>
      </c>
      <c r="AC452" s="230" t="e">
        <f>T452-HLOOKUP(V452,Minimas!$C$3:$CD$12,3,FALSE)</f>
        <v>#N/A</v>
      </c>
      <c r="AD452" s="230" t="e">
        <f>T452-HLOOKUP(V452,Minimas!$C$3:$CD$12,4,FALSE)</f>
        <v>#N/A</v>
      </c>
      <c r="AE452" s="230" t="e">
        <f>T452-HLOOKUP(V452,Minimas!$C$3:$CD$12,5,FALSE)</f>
        <v>#N/A</v>
      </c>
      <c r="AF452" s="230" t="e">
        <f>T452-HLOOKUP(V452,Minimas!$C$3:$CD$12,6,FALSE)</f>
        <v>#N/A</v>
      </c>
      <c r="AG452" s="230" t="e">
        <f>T452-HLOOKUP(V452,Minimas!$C$3:$CD$12,7,FALSE)</f>
        <v>#N/A</v>
      </c>
      <c r="AH452" s="230" t="e">
        <f>T452-HLOOKUP(V452,Minimas!$C$3:$CD$12,8,FALSE)</f>
        <v>#N/A</v>
      </c>
      <c r="AI452" s="230" t="e">
        <f>T452-HLOOKUP(V452,Minimas!$C$3:$CD$12,9,FALSE)</f>
        <v>#N/A</v>
      </c>
      <c r="AJ452" s="230" t="e">
        <f>T452-HLOOKUP(V452,Minimas!$C$3:$CD$12,10,FALSE)</f>
        <v>#N/A</v>
      </c>
      <c r="AK452" s="231" t="str">
        <f t="shared" si="115"/>
        <v xml:space="preserve"> </v>
      </c>
      <c r="AL452" s="232"/>
      <c r="AM452" s="232" t="str">
        <f t="shared" si="116"/>
        <v xml:space="preserve"> </v>
      </c>
      <c r="AN452" s="232" t="str">
        <f t="shared" si="117"/>
        <v xml:space="preserve"> </v>
      </c>
    </row>
    <row r="453" spans="28:40" ht="14" x14ac:dyDescent="0.25">
      <c r="AB453" s="230" t="e">
        <f>T453-HLOOKUP(V453,Minimas!$C$3:$CD$12,2,FALSE)</f>
        <v>#N/A</v>
      </c>
      <c r="AC453" s="230" t="e">
        <f>T453-HLOOKUP(V453,Minimas!$C$3:$CD$12,3,FALSE)</f>
        <v>#N/A</v>
      </c>
      <c r="AD453" s="230" t="e">
        <f>T453-HLOOKUP(V453,Minimas!$C$3:$CD$12,4,FALSE)</f>
        <v>#N/A</v>
      </c>
      <c r="AE453" s="230" t="e">
        <f>T453-HLOOKUP(V453,Minimas!$C$3:$CD$12,5,FALSE)</f>
        <v>#N/A</v>
      </c>
      <c r="AF453" s="230" t="e">
        <f>T453-HLOOKUP(V453,Minimas!$C$3:$CD$12,6,FALSE)</f>
        <v>#N/A</v>
      </c>
      <c r="AG453" s="230" t="e">
        <f>T453-HLOOKUP(V453,Minimas!$C$3:$CD$12,7,FALSE)</f>
        <v>#N/A</v>
      </c>
      <c r="AH453" s="230" t="e">
        <f>T453-HLOOKUP(V453,Minimas!$C$3:$CD$12,8,FALSE)</f>
        <v>#N/A</v>
      </c>
      <c r="AI453" s="230" t="e">
        <f>T453-HLOOKUP(V453,Minimas!$C$3:$CD$12,9,FALSE)</f>
        <v>#N/A</v>
      </c>
      <c r="AJ453" s="230" t="e">
        <f>T453-HLOOKUP(V453,Minimas!$C$3:$CD$12,10,FALSE)</f>
        <v>#N/A</v>
      </c>
      <c r="AK453" s="231" t="str">
        <f t="shared" si="115"/>
        <v xml:space="preserve"> </v>
      </c>
      <c r="AL453" s="232"/>
      <c r="AM453" s="232" t="str">
        <f t="shared" si="116"/>
        <v xml:space="preserve"> </v>
      </c>
      <c r="AN453" s="232" t="str">
        <f t="shared" si="117"/>
        <v xml:space="preserve"> </v>
      </c>
    </row>
    <row r="454" spans="28:40" ht="14" x14ac:dyDescent="0.25">
      <c r="AB454" s="230" t="e">
        <f>T454-HLOOKUP(V454,Minimas!$C$3:$CD$12,2,FALSE)</f>
        <v>#N/A</v>
      </c>
      <c r="AC454" s="230" t="e">
        <f>T454-HLOOKUP(V454,Minimas!$C$3:$CD$12,3,FALSE)</f>
        <v>#N/A</v>
      </c>
      <c r="AD454" s="230" t="e">
        <f>T454-HLOOKUP(V454,Minimas!$C$3:$CD$12,4,FALSE)</f>
        <v>#N/A</v>
      </c>
      <c r="AE454" s="230" t="e">
        <f>T454-HLOOKUP(V454,Minimas!$C$3:$CD$12,5,FALSE)</f>
        <v>#N/A</v>
      </c>
      <c r="AF454" s="230" t="e">
        <f>T454-HLOOKUP(V454,Minimas!$C$3:$CD$12,6,FALSE)</f>
        <v>#N/A</v>
      </c>
      <c r="AG454" s="230" t="e">
        <f>T454-HLOOKUP(V454,Minimas!$C$3:$CD$12,7,FALSE)</f>
        <v>#N/A</v>
      </c>
      <c r="AH454" s="230" t="e">
        <f>T454-HLOOKUP(V454,Minimas!$C$3:$CD$12,8,FALSE)</f>
        <v>#N/A</v>
      </c>
      <c r="AI454" s="230" t="e">
        <f>T454-HLOOKUP(V454,Minimas!$C$3:$CD$12,9,FALSE)</f>
        <v>#N/A</v>
      </c>
      <c r="AJ454" s="230" t="e">
        <f>T454-HLOOKUP(V454,Minimas!$C$3:$CD$12,10,FALSE)</f>
        <v>#N/A</v>
      </c>
      <c r="AK454" s="231" t="str">
        <f t="shared" si="115"/>
        <v xml:space="preserve"> </v>
      </c>
      <c r="AL454" s="232"/>
      <c r="AM454" s="232" t="str">
        <f t="shared" si="116"/>
        <v xml:space="preserve"> </v>
      </c>
      <c r="AN454" s="232" t="str">
        <f t="shared" si="117"/>
        <v xml:space="preserve"> </v>
      </c>
    </row>
    <row r="455" spans="28:40" ht="14" x14ac:dyDescent="0.25">
      <c r="AB455" s="230" t="e">
        <f>T455-HLOOKUP(V455,Minimas!$C$3:$CD$12,2,FALSE)</f>
        <v>#N/A</v>
      </c>
      <c r="AC455" s="230" t="e">
        <f>T455-HLOOKUP(V455,Minimas!$C$3:$CD$12,3,FALSE)</f>
        <v>#N/A</v>
      </c>
      <c r="AD455" s="230" t="e">
        <f>T455-HLOOKUP(V455,Minimas!$C$3:$CD$12,4,FALSE)</f>
        <v>#N/A</v>
      </c>
      <c r="AE455" s="230" t="e">
        <f>T455-HLOOKUP(V455,Minimas!$C$3:$CD$12,5,FALSE)</f>
        <v>#N/A</v>
      </c>
      <c r="AF455" s="230" t="e">
        <f>T455-HLOOKUP(V455,Minimas!$C$3:$CD$12,6,FALSE)</f>
        <v>#N/A</v>
      </c>
      <c r="AG455" s="230" t="e">
        <f>T455-HLOOKUP(V455,Minimas!$C$3:$CD$12,7,FALSE)</f>
        <v>#N/A</v>
      </c>
      <c r="AH455" s="230" t="e">
        <f>T455-HLOOKUP(V455,Minimas!$C$3:$CD$12,8,FALSE)</f>
        <v>#N/A</v>
      </c>
      <c r="AI455" s="230" t="e">
        <f>T455-HLOOKUP(V455,Minimas!$C$3:$CD$12,9,FALSE)</f>
        <v>#N/A</v>
      </c>
      <c r="AJ455" s="230" t="e">
        <f>T455-HLOOKUP(V455,Minimas!$C$3:$CD$12,10,FALSE)</f>
        <v>#N/A</v>
      </c>
      <c r="AK455" s="231" t="str">
        <f t="shared" si="115"/>
        <v xml:space="preserve"> </v>
      </c>
      <c r="AL455" s="232"/>
      <c r="AM455" s="232" t="str">
        <f t="shared" si="116"/>
        <v xml:space="preserve"> </v>
      </c>
      <c r="AN455" s="232" t="str">
        <f t="shared" si="117"/>
        <v xml:space="preserve"> </v>
      </c>
    </row>
    <row r="456" spans="28:40" ht="14" x14ac:dyDescent="0.25">
      <c r="AB456" s="230" t="e">
        <f>T456-HLOOKUP(V456,Minimas!$C$3:$CD$12,2,FALSE)</f>
        <v>#N/A</v>
      </c>
      <c r="AC456" s="230" t="e">
        <f>T456-HLOOKUP(V456,Minimas!$C$3:$CD$12,3,FALSE)</f>
        <v>#N/A</v>
      </c>
      <c r="AD456" s="230" t="e">
        <f>T456-HLOOKUP(V456,Minimas!$C$3:$CD$12,4,FALSE)</f>
        <v>#N/A</v>
      </c>
      <c r="AE456" s="230" t="e">
        <f>T456-HLOOKUP(V456,Minimas!$C$3:$CD$12,5,FALSE)</f>
        <v>#N/A</v>
      </c>
      <c r="AF456" s="230" t="e">
        <f>T456-HLOOKUP(V456,Minimas!$C$3:$CD$12,6,FALSE)</f>
        <v>#N/A</v>
      </c>
      <c r="AG456" s="230" t="e">
        <f>T456-HLOOKUP(V456,Minimas!$C$3:$CD$12,7,FALSE)</f>
        <v>#N/A</v>
      </c>
      <c r="AH456" s="230" t="e">
        <f>T456-HLOOKUP(V456,Minimas!$C$3:$CD$12,8,FALSE)</f>
        <v>#N/A</v>
      </c>
      <c r="AI456" s="230" t="e">
        <f>T456-HLOOKUP(V456,Minimas!$C$3:$CD$12,9,FALSE)</f>
        <v>#N/A</v>
      </c>
      <c r="AJ456" s="230" t="e">
        <f>T456-HLOOKUP(V456,Minimas!$C$3:$CD$12,10,FALSE)</f>
        <v>#N/A</v>
      </c>
      <c r="AK456" s="231" t="str">
        <f t="shared" si="115"/>
        <v xml:space="preserve"> </v>
      </c>
      <c r="AL456" s="232"/>
      <c r="AM456" s="232" t="str">
        <f t="shared" si="116"/>
        <v xml:space="preserve"> </v>
      </c>
      <c r="AN456" s="232" t="str">
        <f t="shared" si="117"/>
        <v xml:space="preserve"> </v>
      </c>
    </row>
    <row r="457" spans="28:40" ht="14" x14ac:dyDescent="0.25">
      <c r="AB457" s="230" t="e">
        <f>T457-HLOOKUP(V457,Minimas!$C$3:$CD$12,2,FALSE)</f>
        <v>#N/A</v>
      </c>
      <c r="AC457" s="230" t="e">
        <f>T457-HLOOKUP(V457,Minimas!$C$3:$CD$12,3,FALSE)</f>
        <v>#N/A</v>
      </c>
      <c r="AD457" s="230" t="e">
        <f>T457-HLOOKUP(V457,Minimas!$C$3:$CD$12,4,FALSE)</f>
        <v>#N/A</v>
      </c>
      <c r="AE457" s="230" t="e">
        <f>T457-HLOOKUP(V457,Minimas!$C$3:$CD$12,5,FALSE)</f>
        <v>#N/A</v>
      </c>
      <c r="AF457" s="230" t="e">
        <f>T457-HLOOKUP(V457,Minimas!$C$3:$CD$12,6,FALSE)</f>
        <v>#N/A</v>
      </c>
      <c r="AG457" s="230" t="e">
        <f>T457-HLOOKUP(V457,Minimas!$C$3:$CD$12,7,FALSE)</f>
        <v>#N/A</v>
      </c>
      <c r="AH457" s="230" t="e">
        <f>T457-HLOOKUP(V457,Minimas!$C$3:$CD$12,8,FALSE)</f>
        <v>#N/A</v>
      </c>
      <c r="AI457" s="230" t="e">
        <f>T457-HLOOKUP(V457,Minimas!$C$3:$CD$12,9,FALSE)</f>
        <v>#N/A</v>
      </c>
      <c r="AJ457" s="230" t="e">
        <f>T457-HLOOKUP(V457,Minimas!$C$3:$CD$12,10,FALSE)</f>
        <v>#N/A</v>
      </c>
      <c r="AK457" s="231" t="str">
        <f t="shared" si="115"/>
        <v xml:space="preserve"> </v>
      </c>
      <c r="AL457" s="232"/>
      <c r="AM457" s="232" t="str">
        <f t="shared" si="116"/>
        <v xml:space="preserve"> </v>
      </c>
      <c r="AN457" s="232" t="str">
        <f t="shared" si="117"/>
        <v xml:space="preserve"> </v>
      </c>
    </row>
    <row r="458" spans="28:40" ht="14" x14ac:dyDescent="0.25">
      <c r="AB458" s="230" t="e">
        <f>T458-HLOOKUP(V458,Minimas!$C$3:$CD$12,2,FALSE)</f>
        <v>#N/A</v>
      </c>
      <c r="AC458" s="230" t="e">
        <f>T458-HLOOKUP(V458,Minimas!$C$3:$CD$12,3,FALSE)</f>
        <v>#N/A</v>
      </c>
      <c r="AD458" s="230" t="e">
        <f>T458-HLOOKUP(V458,Minimas!$C$3:$CD$12,4,FALSE)</f>
        <v>#N/A</v>
      </c>
      <c r="AE458" s="230" t="e">
        <f>T458-HLOOKUP(V458,Minimas!$C$3:$CD$12,5,FALSE)</f>
        <v>#N/A</v>
      </c>
      <c r="AF458" s="230" t="e">
        <f>T458-HLOOKUP(V458,Minimas!$C$3:$CD$12,6,FALSE)</f>
        <v>#N/A</v>
      </c>
      <c r="AG458" s="230" t="e">
        <f>T458-HLOOKUP(V458,Minimas!$C$3:$CD$12,7,FALSE)</f>
        <v>#N/A</v>
      </c>
      <c r="AH458" s="230" t="e">
        <f>T458-HLOOKUP(V458,Minimas!$C$3:$CD$12,8,FALSE)</f>
        <v>#N/A</v>
      </c>
      <c r="AI458" s="230" t="e">
        <f>T458-HLOOKUP(V458,Minimas!$C$3:$CD$12,9,FALSE)</f>
        <v>#N/A</v>
      </c>
      <c r="AJ458" s="230" t="e">
        <f>T458-HLOOKUP(V458,Minimas!$C$3:$CD$12,10,FALSE)</f>
        <v>#N/A</v>
      </c>
      <c r="AK458" s="231" t="str">
        <f t="shared" si="115"/>
        <v xml:space="preserve"> </v>
      </c>
      <c r="AL458" s="232"/>
      <c r="AM458" s="232" t="str">
        <f t="shared" si="116"/>
        <v xml:space="preserve"> </v>
      </c>
      <c r="AN458" s="232" t="str">
        <f t="shared" si="117"/>
        <v xml:space="preserve"> </v>
      </c>
    </row>
    <row r="459" spans="28:40" ht="14" x14ac:dyDescent="0.25">
      <c r="AB459" s="230" t="e">
        <f>T459-HLOOKUP(V459,Minimas!$C$3:$CD$12,2,FALSE)</f>
        <v>#N/A</v>
      </c>
      <c r="AC459" s="230" t="e">
        <f>T459-HLOOKUP(V459,Minimas!$C$3:$CD$12,3,FALSE)</f>
        <v>#N/A</v>
      </c>
      <c r="AD459" s="230" t="e">
        <f>T459-HLOOKUP(V459,Minimas!$C$3:$CD$12,4,FALSE)</f>
        <v>#N/A</v>
      </c>
      <c r="AE459" s="230" t="e">
        <f>T459-HLOOKUP(V459,Minimas!$C$3:$CD$12,5,FALSE)</f>
        <v>#N/A</v>
      </c>
      <c r="AF459" s="230" t="e">
        <f>T459-HLOOKUP(V459,Minimas!$C$3:$CD$12,6,FALSE)</f>
        <v>#N/A</v>
      </c>
      <c r="AG459" s="230" t="e">
        <f>T459-HLOOKUP(V459,Minimas!$C$3:$CD$12,7,FALSE)</f>
        <v>#N/A</v>
      </c>
      <c r="AH459" s="230" t="e">
        <f>T459-HLOOKUP(V459,Minimas!$C$3:$CD$12,8,FALSE)</f>
        <v>#N/A</v>
      </c>
      <c r="AI459" s="230" t="e">
        <f>T459-HLOOKUP(V459,Minimas!$C$3:$CD$12,9,FALSE)</f>
        <v>#N/A</v>
      </c>
      <c r="AJ459" s="230" t="e">
        <f>T459-HLOOKUP(V459,Minimas!$C$3:$CD$12,10,FALSE)</f>
        <v>#N/A</v>
      </c>
      <c r="AK459" s="231" t="str">
        <f t="shared" si="115"/>
        <v xml:space="preserve"> </v>
      </c>
      <c r="AL459" s="232"/>
      <c r="AM459" s="232" t="str">
        <f t="shared" si="116"/>
        <v xml:space="preserve"> </v>
      </c>
      <c r="AN459" s="232" t="str">
        <f t="shared" si="117"/>
        <v xml:space="preserve"> </v>
      </c>
    </row>
    <row r="460" spans="28:40" ht="14" x14ac:dyDescent="0.25">
      <c r="AB460" s="230" t="e">
        <f>T460-HLOOKUP(V460,Minimas!$C$3:$CD$12,2,FALSE)</f>
        <v>#N/A</v>
      </c>
      <c r="AC460" s="230" t="e">
        <f>T460-HLOOKUP(V460,Minimas!$C$3:$CD$12,3,FALSE)</f>
        <v>#N/A</v>
      </c>
      <c r="AD460" s="230" t="e">
        <f>T460-HLOOKUP(V460,Minimas!$C$3:$CD$12,4,FALSE)</f>
        <v>#N/A</v>
      </c>
      <c r="AE460" s="230" t="e">
        <f>T460-HLOOKUP(V460,Minimas!$C$3:$CD$12,5,FALSE)</f>
        <v>#N/A</v>
      </c>
      <c r="AF460" s="230" t="e">
        <f>T460-HLOOKUP(V460,Minimas!$C$3:$CD$12,6,FALSE)</f>
        <v>#N/A</v>
      </c>
      <c r="AG460" s="230" t="e">
        <f>T460-HLOOKUP(V460,Minimas!$C$3:$CD$12,7,FALSE)</f>
        <v>#N/A</v>
      </c>
      <c r="AH460" s="230" t="e">
        <f>T460-HLOOKUP(V460,Minimas!$C$3:$CD$12,8,FALSE)</f>
        <v>#N/A</v>
      </c>
      <c r="AI460" s="230" t="e">
        <f>T460-HLOOKUP(V460,Minimas!$C$3:$CD$12,9,FALSE)</f>
        <v>#N/A</v>
      </c>
      <c r="AJ460" s="230" t="e">
        <f>T460-HLOOKUP(V460,Minimas!$C$3:$CD$12,10,FALSE)</f>
        <v>#N/A</v>
      </c>
      <c r="AK460" s="231" t="str">
        <f t="shared" si="115"/>
        <v xml:space="preserve"> </v>
      </c>
      <c r="AL460" s="232"/>
      <c r="AM460" s="232" t="str">
        <f t="shared" si="116"/>
        <v xml:space="preserve"> </v>
      </c>
      <c r="AN460" s="232" t="str">
        <f t="shared" si="117"/>
        <v xml:space="preserve"> </v>
      </c>
    </row>
    <row r="461" spans="28:40" ht="14" x14ac:dyDescent="0.25">
      <c r="AB461" s="230" t="e">
        <f>T461-HLOOKUP(V461,Minimas!$C$3:$CD$12,2,FALSE)</f>
        <v>#N/A</v>
      </c>
      <c r="AC461" s="230" t="e">
        <f>T461-HLOOKUP(V461,Minimas!$C$3:$CD$12,3,FALSE)</f>
        <v>#N/A</v>
      </c>
      <c r="AD461" s="230" t="e">
        <f>T461-HLOOKUP(V461,Minimas!$C$3:$CD$12,4,FALSE)</f>
        <v>#N/A</v>
      </c>
      <c r="AE461" s="230" t="e">
        <f>T461-HLOOKUP(V461,Minimas!$C$3:$CD$12,5,FALSE)</f>
        <v>#N/A</v>
      </c>
      <c r="AF461" s="230" t="e">
        <f>T461-HLOOKUP(V461,Minimas!$C$3:$CD$12,6,FALSE)</f>
        <v>#N/A</v>
      </c>
      <c r="AG461" s="230" t="e">
        <f>T461-HLOOKUP(V461,Minimas!$C$3:$CD$12,7,FALSE)</f>
        <v>#N/A</v>
      </c>
      <c r="AH461" s="230" t="e">
        <f>T461-HLOOKUP(V461,Minimas!$C$3:$CD$12,8,FALSE)</f>
        <v>#N/A</v>
      </c>
      <c r="AI461" s="230" t="e">
        <f>T461-HLOOKUP(V461,Minimas!$C$3:$CD$12,9,FALSE)</f>
        <v>#N/A</v>
      </c>
      <c r="AJ461" s="230" t="e">
        <f>T461-HLOOKUP(V461,Minimas!$C$3:$CD$12,10,FALSE)</f>
        <v>#N/A</v>
      </c>
      <c r="AK461" s="231" t="str">
        <f t="shared" si="115"/>
        <v xml:space="preserve"> </v>
      </c>
      <c r="AL461" s="232"/>
      <c r="AM461" s="232" t="str">
        <f t="shared" si="116"/>
        <v xml:space="preserve"> </v>
      </c>
      <c r="AN461" s="232" t="str">
        <f t="shared" si="117"/>
        <v xml:space="preserve"> </v>
      </c>
    </row>
    <row r="462" spans="28:40" ht="14" x14ac:dyDescent="0.25">
      <c r="AB462" s="230" t="e">
        <f>T462-HLOOKUP(V462,Minimas!$C$3:$CD$12,2,FALSE)</f>
        <v>#N/A</v>
      </c>
      <c r="AC462" s="230" t="e">
        <f>T462-HLOOKUP(V462,Minimas!$C$3:$CD$12,3,FALSE)</f>
        <v>#N/A</v>
      </c>
      <c r="AD462" s="230" t="e">
        <f>T462-HLOOKUP(V462,Minimas!$C$3:$CD$12,4,FALSE)</f>
        <v>#N/A</v>
      </c>
      <c r="AE462" s="230" t="e">
        <f>T462-HLOOKUP(V462,Minimas!$C$3:$CD$12,5,FALSE)</f>
        <v>#N/A</v>
      </c>
      <c r="AF462" s="230" t="e">
        <f>T462-HLOOKUP(V462,Minimas!$C$3:$CD$12,6,FALSE)</f>
        <v>#N/A</v>
      </c>
      <c r="AG462" s="230" t="e">
        <f>T462-HLOOKUP(V462,Minimas!$C$3:$CD$12,7,FALSE)</f>
        <v>#N/A</v>
      </c>
      <c r="AH462" s="230" t="e">
        <f>T462-HLOOKUP(V462,Minimas!$C$3:$CD$12,8,FALSE)</f>
        <v>#N/A</v>
      </c>
      <c r="AI462" s="230" t="e">
        <f>T462-HLOOKUP(V462,Minimas!$C$3:$CD$12,9,FALSE)</f>
        <v>#N/A</v>
      </c>
      <c r="AJ462" s="230" t="e">
        <f>T462-HLOOKUP(V462,Minimas!$C$3:$CD$12,10,FALSE)</f>
        <v>#N/A</v>
      </c>
      <c r="AK462" s="231" t="str">
        <f t="shared" si="115"/>
        <v xml:space="preserve"> </v>
      </c>
      <c r="AL462" s="232"/>
      <c r="AM462" s="232" t="str">
        <f t="shared" si="116"/>
        <v xml:space="preserve"> </v>
      </c>
      <c r="AN462" s="232" t="str">
        <f t="shared" si="117"/>
        <v xml:space="preserve"> </v>
      </c>
    </row>
    <row r="463" spans="28:40" ht="14" x14ac:dyDescent="0.25">
      <c r="AB463" s="230" t="e">
        <f>T463-HLOOKUP(V463,Minimas!$C$3:$CD$12,2,FALSE)</f>
        <v>#N/A</v>
      </c>
      <c r="AC463" s="230" t="e">
        <f>T463-HLOOKUP(V463,Minimas!$C$3:$CD$12,3,FALSE)</f>
        <v>#N/A</v>
      </c>
      <c r="AD463" s="230" t="e">
        <f>T463-HLOOKUP(V463,Minimas!$C$3:$CD$12,4,FALSE)</f>
        <v>#N/A</v>
      </c>
      <c r="AE463" s="230" t="e">
        <f>T463-HLOOKUP(V463,Minimas!$C$3:$CD$12,5,FALSE)</f>
        <v>#N/A</v>
      </c>
      <c r="AF463" s="230" t="e">
        <f>T463-HLOOKUP(V463,Minimas!$C$3:$CD$12,6,FALSE)</f>
        <v>#N/A</v>
      </c>
      <c r="AG463" s="230" t="e">
        <f>T463-HLOOKUP(V463,Minimas!$C$3:$CD$12,7,FALSE)</f>
        <v>#N/A</v>
      </c>
      <c r="AH463" s="230" t="e">
        <f>T463-HLOOKUP(V463,Minimas!$C$3:$CD$12,8,FALSE)</f>
        <v>#N/A</v>
      </c>
      <c r="AI463" s="230" t="e">
        <f>T463-HLOOKUP(V463,Minimas!$C$3:$CD$12,9,FALSE)</f>
        <v>#N/A</v>
      </c>
      <c r="AJ463" s="230" t="e">
        <f>T463-HLOOKUP(V463,Minimas!$C$3:$CD$12,10,FALSE)</f>
        <v>#N/A</v>
      </c>
      <c r="AK463" s="231" t="str">
        <f t="shared" si="115"/>
        <v xml:space="preserve"> </v>
      </c>
      <c r="AL463" s="232"/>
      <c r="AM463" s="232" t="str">
        <f t="shared" si="116"/>
        <v xml:space="preserve"> </v>
      </c>
      <c r="AN463" s="232" t="str">
        <f t="shared" si="117"/>
        <v xml:space="preserve"> </v>
      </c>
    </row>
    <row r="464" spans="28:40" ht="14" x14ac:dyDescent="0.25">
      <c r="AB464" s="230" t="e">
        <f>T464-HLOOKUP(V464,Minimas!$C$3:$CD$12,2,FALSE)</f>
        <v>#N/A</v>
      </c>
      <c r="AC464" s="230" t="e">
        <f>T464-HLOOKUP(V464,Minimas!$C$3:$CD$12,3,FALSE)</f>
        <v>#N/A</v>
      </c>
      <c r="AD464" s="230" t="e">
        <f>T464-HLOOKUP(V464,Minimas!$C$3:$CD$12,4,FALSE)</f>
        <v>#N/A</v>
      </c>
      <c r="AE464" s="230" t="e">
        <f>T464-HLOOKUP(V464,Minimas!$C$3:$CD$12,5,FALSE)</f>
        <v>#N/A</v>
      </c>
      <c r="AF464" s="230" t="e">
        <f>T464-HLOOKUP(V464,Minimas!$C$3:$CD$12,6,FALSE)</f>
        <v>#N/A</v>
      </c>
      <c r="AG464" s="230" t="e">
        <f>T464-HLOOKUP(V464,Minimas!$C$3:$CD$12,7,FALSE)</f>
        <v>#N/A</v>
      </c>
      <c r="AH464" s="230" t="e">
        <f>T464-HLOOKUP(V464,Minimas!$C$3:$CD$12,8,FALSE)</f>
        <v>#N/A</v>
      </c>
      <c r="AI464" s="230" t="e">
        <f>T464-HLOOKUP(V464,Minimas!$C$3:$CD$12,9,FALSE)</f>
        <v>#N/A</v>
      </c>
      <c r="AJ464" s="230" t="e">
        <f>T464-HLOOKUP(V464,Minimas!$C$3:$CD$12,10,FALSE)</f>
        <v>#N/A</v>
      </c>
      <c r="AK464" s="231" t="str">
        <f t="shared" si="115"/>
        <v xml:space="preserve"> </v>
      </c>
      <c r="AL464" s="232"/>
      <c r="AM464" s="232" t="str">
        <f t="shared" si="116"/>
        <v xml:space="preserve"> </v>
      </c>
      <c r="AN464" s="232" t="str">
        <f t="shared" si="117"/>
        <v xml:space="preserve"> </v>
      </c>
    </row>
    <row r="465" spans="28:40" ht="14" x14ac:dyDescent="0.25">
      <c r="AB465" s="230" t="e">
        <f>T465-HLOOKUP(V465,Minimas!$C$3:$CD$12,2,FALSE)</f>
        <v>#N/A</v>
      </c>
      <c r="AC465" s="230" t="e">
        <f>T465-HLOOKUP(V465,Minimas!$C$3:$CD$12,3,FALSE)</f>
        <v>#N/A</v>
      </c>
      <c r="AD465" s="230" t="e">
        <f>T465-HLOOKUP(V465,Minimas!$C$3:$CD$12,4,FALSE)</f>
        <v>#N/A</v>
      </c>
      <c r="AE465" s="230" t="e">
        <f>T465-HLOOKUP(V465,Minimas!$C$3:$CD$12,5,FALSE)</f>
        <v>#N/A</v>
      </c>
      <c r="AF465" s="230" t="e">
        <f>T465-HLOOKUP(V465,Minimas!$C$3:$CD$12,6,FALSE)</f>
        <v>#N/A</v>
      </c>
      <c r="AG465" s="230" t="e">
        <f>T465-HLOOKUP(V465,Minimas!$C$3:$CD$12,7,FALSE)</f>
        <v>#N/A</v>
      </c>
      <c r="AH465" s="230" t="e">
        <f>T465-HLOOKUP(V465,Minimas!$C$3:$CD$12,8,FALSE)</f>
        <v>#N/A</v>
      </c>
      <c r="AI465" s="230" t="e">
        <f>T465-HLOOKUP(V465,Minimas!$C$3:$CD$12,9,FALSE)</f>
        <v>#N/A</v>
      </c>
      <c r="AJ465" s="230" t="e">
        <f>T465-HLOOKUP(V465,Minimas!$C$3:$CD$12,10,FALSE)</f>
        <v>#N/A</v>
      </c>
      <c r="AK465" s="231" t="str">
        <f t="shared" si="115"/>
        <v xml:space="preserve"> </v>
      </c>
      <c r="AL465" s="232"/>
      <c r="AM465" s="232" t="str">
        <f t="shared" si="116"/>
        <v xml:space="preserve"> </v>
      </c>
      <c r="AN465" s="232" t="str">
        <f t="shared" si="117"/>
        <v xml:space="preserve"> </v>
      </c>
    </row>
    <row r="466" spans="28:40" ht="14" x14ac:dyDescent="0.25">
      <c r="AB466" s="230" t="e">
        <f>T466-HLOOKUP(V466,Minimas!$C$3:$CD$12,2,FALSE)</f>
        <v>#N/A</v>
      </c>
      <c r="AC466" s="230" t="e">
        <f>T466-HLOOKUP(V466,Minimas!$C$3:$CD$12,3,FALSE)</f>
        <v>#N/A</v>
      </c>
      <c r="AD466" s="230" t="e">
        <f>T466-HLOOKUP(V466,Minimas!$C$3:$CD$12,4,FALSE)</f>
        <v>#N/A</v>
      </c>
      <c r="AE466" s="230" t="e">
        <f>T466-HLOOKUP(V466,Minimas!$C$3:$CD$12,5,FALSE)</f>
        <v>#N/A</v>
      </c>
      <c r="AF466" s="230" t="e">
        <f>T466-HLOOKUP(V466,Minimas!$C$3:$CD$12,6,FALSE)</f>
        <v>#N/A</v>
      </c>
      <c r="AG466" s="230" t="e">
        <f>T466-HLOOKUP(V466,Minimas!$C$3:$CD$12,7,FALSE)</f>
        <v>#N/A</v>
      </c>
      <c r="AH466" s="230" t="e">
        <f>T466-HLOOKUP(V466,Minimas!$C$3:$CD$12,8,FALSE)</f>
        <v>#N/A</v>
      </c>
      <c r="AI466" s="230" t="e">
        <f>T466-HLOOKUP(V466,Minimas!$C$3:$CD$12,9,FALSE)</f>
        <v>#N/A</v>
      </c>
      <c r="AJ466" s="230" t="e">
        <f>T466-HLOOKUP(V466,Minimas!$C$3:$CD$12,10,FALSE)</f>
        <v>#N/A</v>
      </c>
      <c r="AK466" s="231" t="str">
        <f t="shared" si="115"/>
        <v xml:space="preserve"> </v>
      </c>
      <c r="AL466" s="232"/>
      <c r="AM466" s="232" t="str">
        <f t="shared" si="116"/>
        <v xml:space="preserve"> </v>
      </c>
      <c r="AN466" s="232" t="str">
        <f t="shared" si="117"/>
        <v xml:space="preserve"> </v>
      </c>
    </row>
    <row r="467" spans="28:40" ht="14" x14ac:dyDescent="0.25">
      <c r="AB467" s="230" t="e">
        <f>T467-HLOOKUP(V467,Minimas!$C$3:$CD$12,2,FALSE)</f>
        <v>#N/A</v>
      </c>
      <c r="AC467" s="230" t="e">
        <f>T467-HLOOKUP(V467,Minimas!$C$3:$CD$12,3,FALSE)</f>
        <v>#N/A</v>
      </c>
      <c r="AD467" s="230" t="e">
        <f>T467-HLOOKUP(V467,Minimas!$C$3:$CD$12,4,FALSE)</f>
        <v>#N/A</v>
      </c>
      <c r="AE467" s="230" t="e">
        <f>T467-HLOOKUP(V467,Minimas!$C$3:$CD$12,5,FALSE)</f>
        <v>#N/A</v>
      </c>
      <c r="AF467" s="230" t="e">
        <f>T467-HLOOKUP(V467,Minimas!$C$3:$CD$12,6,FALSE)</f>
        <v>#N/A</v>
      </c>
      <c r="AG467" s="230" t="e">
        <f>T467-HLOOKUP(V467,Minimas!$C$3:$CD$12,7,FALSE)</f>
        <v>#N/A</v>
      </c>
      <c r="AH467" s="230" t="e">
        <f>T467-HLOOKUP(V467,Minimas!$C$3:$CD$12,8,FALSE)</f>
        <v>#N/A</v>
      </c>
      <c r="AI467" s="230" t="e">
        <f>T467-HLOOKUP(V467,Minimas!$C$3:$CD$12,9,FALSE)</f>
        <v>#N/A</v>
      </c>
      <c r="AJ467" s="230" t="e">
        <f>T467-HLOOKUP(V467,Minimas!$C$3:$CD$12,10,FALSE)</f>
        <v>#N/A</v>
      </c>
      <c r="AK467" s="231" t="str">
        <f t="shared" si="115"/>
        <v xml:space="preserve"> </v>
      </c>
      <c r="AL467" s="232"/>
      <c r="AM467" s="232" t="str">
        <f t="shared" si="116"/>
        <v xml:space="preserve"> </v>
      </c>
      <c r="AN467" s="232" t="str">
        <f t="shared" si="117"/>
        <v xml:space="preserve"> </v>
      </c>
    </row>
    <row r="468" spans="28:40" ht="14" x14ac:dyDescent="0.25">
      <c r="AB468" s="230" t="e">
        <f>T468-HLOOKUP(V468,Minimas!$C$3:$CD$12,2,FALSE)</f>
        <v>#N/A</v>
      </c>
      <c r="AC468" s="230" t="e">
        <f>T468-HLOOKUP(V468,Minimas!$C$3:$CD$12,3,FALSE)</f>
        <v>#N/A</v>
      </c>
      <c r="AD468" s="230" t="e">
        <f>T468-HLOOKUP(V468,Minimas!$C$3:$CD$12,4,FALSE)</f>
        <v>#N/A</v>
      </c>
      <c r="AE468" s="230" t="e">
        <f>T468-HLOOKUP(V468,Minimas!$C$3:$CD$12,5,FALSE)</f>
        <v>#N/A</v>
      </c>
      <c r="AF468" s="230" t="e">
        <f>T468-HLOOKUP(V468,Minimas!$C$3:$CD$12,6,FALSE)</f>
        <v>#N/A</v>
      </c>
      <c r="AG468" s="230" t="e">
        <f>T468-HLOOKUP(V468,Minimas!$C$3:$CD$12,7,FALSE)</f>
        <v>#N/A</v>
      </c>
      <c r="AH468" s="230" t="e">
        <f>T468-HLOOKUP(V468,Minimas!$C$3:$CD$12,8,FALSE)</f>
        <v>#N/A</v>
      </c>
      <c r="AI468" s="230" t="e">
        <f>T468-HLOOKUP(V468,Minimas!$C$3:$CD$12,9,FALSE)</f>
        <v>#N/A</v>
      </c>
      <c r="AJ468" s="230" t="e">
        <f>T468-HLOOKUP(V468,Minimas!$C$3:$CD$12,10,FALSE)</f>
        <v>#N/A</v>
      </c>
      <c r="AK468" s="231" t="str">
        <f t="shared" si="115"/>
        <v xml:space="preserve"> </v>
      </c>
      <c r="AL468" s="232"/>
      <c r="AM468" s="232" t="str">
        <f t="shared" si="116"/>
        <v xml:space="preserve"> </v>
      </c>
      <c r="AN468" s="232" t="str">
        <f t="shared" si="117"/>
        <v xml:space="preserve"> </v>
      </c>
    </row>
    <row r="469" spans="28:40" ht="14" x14ac:dyDescent="0.25">
      <c r="AB469" s="230" t="e">
        <f>T469-HLOOKUP(V469,Minimas!$C$3:$CD$12,2,FALSE)</f>
        <v>#N/A</v>
      </c>
      <c r="AC469" s="230" t="e">
        <f>T469-HLOOKUP(V469,Minimas!$C$3:$CD$12,3,FALSE)</f>
        <v>#N/A</v>
      </c>
      <c r="AD469" s="230" t="e">
        <f>T469-HLOOKUP(V469,Minimas!$C$3:$CD$12,4,FALSE)</f>
        <v>#N/A</v>
      </c>
      <c r="AE469" s="230" t="e">
        <f>T469-HLOOKUP(V469,Minimas!$C$3:$CD$12,5,FALSE)</f>
        <v>#N/A</v>
      </c>
      <c r="AF469" s="230" t="e">
        <f>T469-HLOOKUP(V469,Minimas!$C$3:$CD$12,6,FALSE)</f>
        <v>#N/A</v>
      </c>
      <c r="AG469" s="230" t="e">
        <f>T469-HLOOKUP(V469,Minimas!$C$3:$CD$12,7,FALSE)</f>
        <v>#N/A</v>
      </c>
      <c r="AH469" s="230" t="e">
        <f>T469-HLOOKUP(V469,Minimas!$C$3:$CD$12,8,FALSE)</f>
        <v>#N/A</v>
      </c>
      <c r="AI469" s="230" t="e">
        <f>T469-HLOOKUP(V469,Minimas!$C$3:$CD$12,9,FALSE)</f>
        <v>#N/A</v>
      </c>
      <c r="AJ469" s="230" t="e">
        <f>T469-HLOOKUP(V469,Minimas!$C$3:$CD$12,10,FALSE)</f>
        <v>#N/A</v>
      </c>
      <c r="AK469" s="231" t="str">
        <f t="shared" si="115"/>
        <v xml:space="preserve"> </v>
      </c>
      <c r="AL469" s="232"/>
      <c r="AM469" s="232" t="str">
        <f t="shared" si="116"/>
        <v xml:space="preserve"> </v>
      </c>
      <c r="AN469" s="232" t="str">
        <f t="shared" si="117"/>
        <v xml:space="preserve"> </v>
      </c>
    </row>
    <row r="470" spans="28:40" ht="14" x14ac:dyDescent="0.25">
      <c r="AB470" s="230" t="e">
        <f>T470-HLOOKUP(V470,Minimas!$C$3:$CD$12,2,FALSE)</f>
        <v>#N/A</v>
      </c>
      <c r="AC470" s="230" t="e">
        <f>T470-HLOOKUP(V470,Minimas!$C$3:$CD$12,3,FALSE)</f>
        <v>#N/A</v>
      </c>
      <c r="AD470" s="230" t="e">
        <f>T470-HLOOKUP(V470,Minimas!$C$3:$CD$12,4,FALSE)</f>
        <v>#N/A</v>
      </c>
      <c r="AE470" s="230" t="e">
        <f>T470-HLOOKUP(V470,Minimas!$C$3:$CD$12,5,FALSE)</f>
        <v>#N/A</v>
      </c>
      <c r="AF470" s="230" t="e">
        <f>T470-HLOOKUP(V470,Minimas!$C$3:$CD$12,6,FALSE)</f>
        <v>#N/A</v>
      </c>
      <c r="AG470" s="230" t="e">
        <f>T470-HLOOKUP(V470,Minimas!$C$3:$CD$12,7,FALSE)</f>
        <v>#N/A</v>
      </c>
      <c r="AH470" s="230" t="e">
        <f>T470-HLOOKUP(V470,Minimas!$C$3:$CD$12,8,FALSE)</f>
        <v>#N/A</v>
      </c>
      <c r="AI470" s="230" t="e">
        <f>T470-HLOOKUP(V470,Minimas!$C$3:$CD$12,9,FALSE)</f>
        <v>#N/A</v>
      </c>
      <c r="AJ470" s="230" t="e">
        <f>T470-HLOOKUP(V470,Minimas!$C$3:$CD$12,10,FALSE)</f>
        <v>#N/A</v>
      </c>
      <c r="AK470" s="231" t="str">
        <f t="shared" si="115"/>
        <v xml:space="preserve"> </v>
      </c>
      <c r="AL470" s="232"/>
      <c r="AM470" s="232" t="str">
        <f t="shared" si="116"/>
        <v xml:space="preserve"> </v>
      </c>
      <c r="AN470" s="232" t="str">
        <f t="shared" si="117"/>
        <v xml:space="preserve"> </v>
      </c>
    </row>
    <row r="471" spans="28:40" ht="14" x14ac:dyDescent="0.25">
      <c r="AB471" s="230" t="e">
        <f>T471-HLOOKUP(V471,Minimas!$C$3:$CD$12,2,FALSE)</f>
        <v>#N/A</v>
      </c>
      <c r="AC471" s="230" t="e">
        <f>T471-HLOOKUP(V471,Minimas!$C$3:$CD$12,3,FALSE)</f>
        <v>#N/A</v>
      </c>
      <c r="AD471" s="230" t="e">
        <f>T471-HLOOKUP(V471,Minimas!$C$3:$CD$12,4,FALSE)</f>
        <v>#N/A</v>
      </c>
      <c r="AE471" s="230" t="e">
        <f>T471-HLOOKUP(V471,Minimas!$C$3:$CD$12,5,FALSE)</f>
        <v>#N/A</v>
      </c>
      <c r="AF471" s="230" t="e">
        <f>T471-HLOOKUP(V471,Minimas!$C$3:$CD$12,6,FALSE)</f>
        <v>#N/A</v>
      </c>
      <c r="AG471" s="230" t="e">
        <f>T471-HLOOKUP(V471,Minimas!$C$3:$CD$12,7,FALSE)</f>
        <v>#N/A</v>
      </c>
      <c r="AH471" s="230" t="e">
        <f>T471-HLOOKUP(V471,Minimas!$C$3:$CD$12,8,FALSE)</f>
        <v>#N/A</v>
      </c>
      <c r="AI471" s="230" t="e">
        <f>T471-HLOOKUP(V471,Minimas!$C$3:$CD$12,9,FALSE)</f>
        <v>#N/A</v>
      </c>
      <c r="AJ471" s="230" t="e">
        <f>T471-HLOOKUP(V471,Minimas!$C$3:$CD$12,10,FALSE)</f>
        <v>#N/A</v>
      </c>
      <c r="AK471" s="231" t="str">
        <f t="shared" si="115"/>
        <v xml:space="preserve"> </v>
      </c>
      <c r="AL471" s="232"/>
      <c r="AM471" s="232" t="str">
        <f t="shared" si="116"/>
        <v xml:space="preserve"> </v>
      </c>
      <c r="AN471" s="232" t="str">
        <f t="shared" si="117"/>
        <v xml:space="preserve"> </v>
      </c>
    </row>
    <row r="472" spans="28:40" ht="14" x14ac:dyDescent="0.25">
      <c r="AB472" s="230" t="e">
        <f>T472-HLOOKUP(V472,Minimas!$C$3:$CD$12,2,FALSE)</f>
        <v>#N/A</v>
      </c>
      <c r="AC472" s="230" t="e">
        <f>T472-HLOOKUP(V472,Minimas!$C$3:$CD$12,3,FALSE)</f>
        <v>#N/A</v>
      </c>
      <c r="AD472" s="230" t="e">
        <f>T472-HLOOKUP(V472,Minimas!$C$3:$CD$12,4,FALSE)</f>
        <v>#N/A</v>
      </c>
      <c r="AE472" s="230" t="e">
        <f>T472-HLOOKUP(V472,Minimas!$C$3:$CD$12,5,FALSE)</f>
        <v>#N/A</v>
      </c>
      <c r="AF472" s="230" t="e">
        <f>T472-HLOOKUP(V472,Minimas!$C$3:$CD$12,6,FALSE)</f>
        <v>#N/A</v>
      </c>
      <c r="AG472" s="230" t="e">
        <f>T472-HLOOKUP(V472,Minimas!$C$3:$CD$12,7,FALSE)</f>
        <v>#N/A</v>
      </c>
      <c r="AH472" s="230" t="e">
        <f>T472-HLOOKUP(V472,Minimas!$C$3:$CD$12,8,FALSE)</f>
        <v>#N/A</v>
      </c>
      <c r="AI472" s="230" t="e">
        <f>T472-HLOOKUP(V472,Minimas!$C$3:$CD$12,9,FALSE)</f>
        <v>#N/A</v>
      </c>
      <c r="AJ472" s="230" t="e">
        <f>T472-HLOOKUP(V472,Minimas!$C$3:$CD$12,10,FALSE)</f>
        <v>#N/A</v>
      </c>
      <c r="AK472" s="231" t="str">
        <f t="shared" si="115"/>
        <v xml:space="preserve"> </v>
      </c>
      <c r="AL472" s="232"/>
      <c r="AM472" s="232" t="str">
        <f t="shared" si="116"/>
        <v xml:space="preserve"> </v>
      </c>
      <c r="AN472" s="232" t="str">
        <f t="shared" si="117"/>
        <v xml:space="preserve"> </v>
      </c>
    </row>
    <row r="473" spans="28:40" ht="14" x14ac:dyDescent="0.25">
      <c r="AB473" s="230" t="e">
        <f>T473-HLOOKUP(V473,Minimas!$C$3:$CD$12,2,FALSE)</f>
        <v>#N/A</v>
      </c>
      <c r="AC473" s="230" t="e">
        <f>T473-HLOOKUP(V473,Minimas!$C$3:$CD$12,3,FALSE)</f>
        <v>#N/A</v>
      </c>
      <c r="AD473" s="230" t="e">
        <f>T473-HLOOKUP(V473,Minimas!$C$3:$CD$12,4,FALSE)</f>
        <v>#N/A</v>
      </c>
      <c r="AE473" s="230" t="e">
        <f>T473-HLOOKUP(V473,Minimas!$C$3:$CD$12,5,FALSE)</f>
        <v>#N/A</v>
      </c>
      <c r="AF473" s="230" t="e">
        <f>T473-HLOOKUP(V473,Minimas!$C$3:$CD$12,6,FALSE)</f>
        <v>#N/A</v>
      </c>
      <c r="AG473" s="230" t="e">
        <f>T473-HLOOKUP(V473,Minimas!$C$3:$CD$12,7,FALSE)</f>
        <v>#N/A</v>
      </c>
      <c r="AH473" s="230" t="e">
        <f>T473-HLOOKUP(V473,Minimas!$C$3:$CD$12,8,FALSE)</f>
        <v>#N/A</v>
      </c>
      <c r="AI473" s="230" t="e">
        <f>T473-HLOOKUP(V473,Minimas!$C$3:$CD$12,9,FALSE)</f>
        <v>#N/A</v>
      </c>
      <c r="AJ473" s="230" t="e">
        <f>T473-HLOOKUP(V473,Minimas!$C$3:$CD$12,10,FALSE)</f>
        <v>#N/A</v>
      </c>
      <c r="AK473" s="231" t="str">
        <f t="shared" si="115"/>
        <v xml:space="preserve"> </v>
      </c>
      <c r="AL473" s="232"/>
      <c r="AM473" s="232" t="str">
        <f t="shared" si="116"/>
        <v xml:space="preserve"> </v>
      </c>
      <c r="AN473" s="232" t="str">
        <f t="shared" si="117"/>
        <v xml:space="preserve"> </v>
      </c>
    </row>
    <row r="474" spans="28:40" ht="14" x14ac:dyDescent="0.25">
      <c r="AB474" s="230" t="e">
        <f>T474-HLOOKUP(V474,Minimas!$C$3:$CD$12,2,FALSE)</f>
        <v>#N/A</v>
      </c>
      <c r="AC474" s="230" t="e">
        <f>T474-HLOOKUP(V474,Minimas!$C$3:$CD$12,3,FALSE)</f>
        <v>#N/A</v>
      </c>
      <c r="AD474" s="230" t="e">
        <f>T474-HLOOKUP(V474,Minimas!$C$3:$CD$12,4,FALSE)</f>
        <v>#N/A</v>
      </c>
      <c r="AE474" s="230" t="e">
        <f>T474-HLOOKUP(V474,Minimas!$C$3:$CD$12,5,FALSE)</f>
        <v>#N/A</v>
      </c>
      <c r="AF474" s="230" t="e">
        <f>T474-HLOOKUP(V474,Minimas!$C$3:$CD$12,6,FALSE)</f>
        <v>#N/A</v>
      </c>
      <c r="AG474" s="230" t="e">
        <f>T474-HLOOKUP(V474,Minimas!$C$3:$CD$12,7,FALSE)</f>
        <v>#N/A</v>
      </c>
      <c r="AH474" s="230" t="e">
        <f>T474-HLOOKUP(V474,Minimas!$C$3:$CD$12,8,FALSE)</f>
        <v>#N/A</v>
      </c>
      <c r="AI474" s="230" t="e">
        <f>T474-HLOOKUP(V474,Minimas!$C$3:$CD$12,9,FALSE)</f>
        <v>#N/A</v>
      </c>
      <c r="AJ474" s="230" t="e">
        <f>T474-HLOOKUP(V474,Minimas!$C$3:$CD$12,10,FALSE)</f>
        <v>#N/A</v>
      </c>
      <c r="AK474" s="231" t="str">
        <f t="shared" si="115"/>
        <v xml:space="preserve"> </v>
      </c>
      <c r="AL474" s="232"/>
      <c r="AM474" s="232" t="str">
        <f t="shared" si="116"/>
        <v xml:space="preserve"> </v>
      </c>
      <c r="AN474" s="232" t="str">
        <f t="shared" si="117"/>
        <v xml:space="preserve"> </v>
      </c>
    </row>
    <row r="475" spans="28:40" ht="14" x14ac:dyDescent="0.25">
      <c r="AB475" s="230" t="e">
        <f>T475-HLOOKUP(V475,Minimas!$C$3:$CD$12,2,FALSE)</f>
        <v>#N/A</v>
      </c>
      <c r="AC475" s="230" t="e">
        <f>T475-HLOOKUP(V475,Minimas!$C$3:$CD$12,3,FALSE)</f>
        <v>#N/A</v>
      </c>
      <c r="AD475" s="230" t="e">
        <f>T475-HLOOKUP(V475,Minimas!$C$3:$CD$12,4,FALSE)</f>
        <v>#N/A</v>
      </c>
      <c r="AE475" s="230" t="e">
        <f>T475-HLOOKUP(V475,Minimas!$C$3:$CD$12,5,FALSE)</f>
        <v>#N/A</v>
      </c>
      <c r="AF475" s="230" t="e">
        <f>T475-HLOOKUP(V475,Minimas!$C$3:$CD$12,6,FALSE)</f>
        <v>#N/A</v>
      </c>
      <c r="AG475" s="230" t="e">
        <f>T475-HLOOKUP(V475,Minimas!$C$3:$CD$12,7,FALSE)</f>
        <v>#N/A</v>
      </c>
      <c r="AH475" s="230" t="e">
        <f>T475-HLOOKUP(V475,Minimas!$C$3:$CD$12,8,FALSE)</f>
        <v>#N/A</v>
      </c>
      <c r="AI475" s="230" t="e">
        <f>T475-HLOOKUP(V475,Minimas!$C$3:$CD$12,9,FALSE)</f>
        <v>#N/A</v>
      </c>
      <c r="AJ475" s="230" t="e">
        <f>T475-HLOOKUP(V475,Minimas!$C$3:$CD$12,10,FALSE)</f>
        <v>#N/A</v>
      </c>
      <c r="AK475" s="231" t="str">
        <f t="shared" si="115"/>
        <v xml:space="preserve"> </v>
      </c>
      <c r="AL475" s="232"/>
      <c r="AM475" s="232" t="str">
        <f t="shared" si="116"/>
        <v xml:space="preserve"> </v>
      </c>
      <c r="AN475" s="232" t="str">
        <f t="shared" si="117"/>
        <v xml:space="preserve"> </v>
      </c>
    </row>
    <row r="476" spans="28:40" ht="14" x14ac:dyDescent="0.25">
      <c r="AB476" s="230" t="e">
        <f>T476-HLOOKUP(V476,Minimas!$C$3:$CD$12,2,FALSE)</f>
        <v>#N/A</v>
      </c>
      <c r="AC476" s="230" t="e">
        <f>T476-HLOOKUP(V476,Minimas!$C$3:$CD$12,3,FALSE)</f>
        <v>#N/A</v>
      </c>
      <c r="AD476" s="230" t="e">
        <f>T476-HLOOKUP(V476,Minimas!$C$3:$CD$12,4,FALSE)</f>
        <v>#N/A</v>
      </c>
      <c r="AE476" s="230" t="e">
        <f>T476-HLOOKUP(V476,Minimas!$C$3:$CD$12,5,FALSE)</f>
        <v>#N/A</v>
      </c>
      <c r="AF476" s="230" t="e">
        <f>T476-HLOOKUP(V476,Minimas!$C$3:$CD$12,6,FALSE)</f>
        <v>#N/A</v>
      </c>
      <c r="AG476" s="230" t="e">
        <f>T476-HLOOKUP(V476,Minimas!$C$3:$CD$12,7,FALSE)</f>
        <v>#N/A</v>
      </c>
      <c r="AH476" s="230" t="e">
        <f>T476-HLOOKUP(V476,Minimas!$C$3:$CD$12,8,FALSE)</f>
        <v>#N/A</v>
      </c>
      <c r="AI476" s="230" t="e">
        <f>T476-HLOOKUP(V476,Minimas!$C$3:$CD$12,9,FALSE)</f>
        <v>#N/A</v>
      </c>
      <c r="AJ476" s="230" t="e">
        <f>T476-HLOOKUP(V476,Minimas!$C$3:$CD$12,10,FALSE)</f>
        <v>#N/A</v>
      </c>
      <c r="AK476" s="231" t="str">
        <f t="shared" si="115"/>
        <v xml:space="preserve"> </v>
      </c>
      <c r="AL476" s="232"/>
      <c r="AM476" s="232" t="str">
        <f t="shared" si="116"/>
        <v xml:space="preserve"> </v>
      </c>
      <c r="AN476" s="232" t="str">
        <f t="shared" si="117"/>
        <v xml:space="preserve"> </v>
      </c>
    </row>
    <row r="477" spans="28:40" ht="14" x14ac:dyDescent="0.25">
      <c r="AB477" s="230" t="e">
        <f>T477-HLOOKUP(V477,Minimas!$C$3:$CD$12,2,FALSE)</f>
        <v>#N/A</v>
      </c>
      <c r="AC477" s="230" t="e">
        <f>T477-HLOOKUP(V477,Minimas!$C$3:$CD$12,3,FALSE)</f>
        <v>#N/A</v>
      </c>
      <c r="AD477" s="230" t="e">
        <f>T477-HLOOKUP(V477,Minimas!$C$3:$CD$12,4,FALSE)</f>
        <v>#N/A</v>
      </c>
      <c r="AE477" s="230" t="e">
        <f>T477-HLOOKUP(V477,Minimas!$C$3:$CD$12,5,FALSE)</f>
        <v>#N/A</v>
      </c>
      <c r="AF477" s="230" t="e">
        <f>T477-HLOOKUP(V477,Minimas!$C$3:$CD$12,6,FALSE)</f>
        <v>#N/A</v>
      </c>
      <c r="AG477" s="230" t="e">
        <f>T477-HLOOKUP(V477,Minimas!$C$3:$CD$12,7,FALSE)</f>
        <v>#N/A</v>
      </c>
      <c r="AH477" s="230" t="e">
        <f>T477-HLOOKUP(V477,Minimas!$C$3:$CD$12,8,FALSE)</f>
        <v>#N/A</v>
      </c>
      <c r="AI477" s="230" t="e">
        <f>T477-HLOOKUP(V477,Minimas!$C$3:$CD$12,9,FALSE)</f>
        <v>#N/A</v>
      </c>
      <c r="AJ477" s="230" t="e">
        <f>T477-HLOOKUP(V477,Minimas!$C$3:$CD$12,10,FALSE)</f>
        <v>#N/A</v>
      </c>
      <c r="AK477" s="231" t="str">
        <f t="shared" si="115"/>
        <v xml:space="preserve"> </v>
      </c>
      <c r="AL477" s="232"/>
      <c r="AM477" s="232" t="str">
        <f t="shared" si="116"/>
        <v xml:space="preserve"> </v>
      </c>
      <c r="AN477" s="232" t="str">
        <f t="shared" si="117"/>
        <v xml:space="preserve"> </v>
      </c>
    </row>
    <row r="478" spans="28:40" ht="14" x14ac:dyDescent="0.25">
      <c r="AB478" s="230" t="e">
        <f>T478-HLOOKUP(V478,Minimas!$C$3:$CD$12,2,FALSE)</f>
        <v>#N/A</v>
      </c>
      <c r="AC478" s="230" t="e">
        <f>T478-HLOOKUP(V478,Minimas!$C$3:$CD$12,3,FALSE)</f>
        <v>#N/A</v>
      </c>
      <c r="AD478" s="230" t="e">
        <f>T478-HLOOKUP(V478,Minimas!$C$3:$CD$12,4,FALSE)</f>
        <v>#N/A</v>
      </c>
      <c r="AE478" s="230" t="e">
        <f>T478-HLOOKUP(V478,Minimas!$C$3:$CD$12,5,FALSE)</f>
        <v>#N/A</v>
      </c>
      <c r="AF478" s="230" t="e">
        <f>T478-HLOOKUP(V478,Minimas!$C$3:$CD$12,6,FALSE)</f>
        <v>#N/A</v>
      </c>
      <c r="AG478" s="230" t="e">
        <f>T478-HLOOKUP(V478,Minimas!$C$3:$CD$12,7,FALSE)</f>
        <v>#N/A</v>
      </c>
      <c r="AH478" s="230" t="e">
        <f>T478-HLOOKUP(V478,Minimas!$C$3:$CD$12,8,FALSE)</f>
        <v>#N/A</v>
      </c>
      <c r="AI478" s="230" t="e">
        <f>T478-HLOOKUP(V478,Minimas!$C$3:$CD$12,9,FALSE)</f>
        <v>#N/A</v>
      </c>
      <c r="AJ478" s="230" t="e">
        <f>T478-HLOOKUP(V478,Minimas!$C$3:$CD$12,10,FALSE)</f>
        <v>#N/A</v>
      </c>
      <c r="AK478" s="231" t="str">
        <f t="shared" si="115"/>
        <v xml:space="preserve"> </v>
      </c>
      <c r="AL478" s="232"/>
      <c r="AM478" s="232" t="str">
        <f t="shared" si="116"/>
        <v xml:space="preserve"> </v>
      </c>
      <c r="AN478" s="232" t="str">
        <f t="shared" si="117"/>
        <v xml:space="preserve"> </v>
      </c>
    </row>
    <row r="479" spans="28:40" ht="14" x14ac:dyDescent="0.25">
      <c r="AB479" s="230" t="e">
        <f>T479-HLOOKUP(V479,Minimas!$C$3:$CD$12,2,FALSE)</f>
        <v>#N/A</v>
      </c>
      <c r="AC479" s="230" t="e">
        <f>T479-HLOOKUP(V479,Minimas!$C$3:$CD$12,3,FALSE)</f>
        <v>#N/A</v>
      </c>
      <c r="AD479" s="230" t="e">
        <f>T479-HLOOKUP(V479,Minimas!$C$3:$CD$12,4,FALSE)</f>
        <v>#N/A</v>
      </c>
      <c r="AE479" s="230" t="e">
        <f>T479-HLOOKUP(V479,Minimas!$C$3:$CD$12,5,FALSE)</f>
        <v>#N/A</v>
      </c>
      <c r="AF479" s="230" t="e">
        <f>T479-HLOOKUP(V479,Minimas!$C$3:$CD$12,6,FALSE)</f>
        <v>#N/A</v>
      </c>
      <c r="AG479" s="230" t="e">
        <f>T479-HLOOKUP(V479,Minimas!$C$3:$CD$12,7,FALSE)</f>
        <v>#N/A</v>
      </c>
      <c r="AH479" s="230" t="e">
        <f>T479-HLOOKUP(V479,Minimas!$C$3:$CD$12,8,FALSE)</f>
        <v>#N/A</v>
      </c>
      <c r="AI479" s="230" t="e">
        <f>T479-HLOOKUP(V479,Minimas!$C$3:$CD$12,9,FALSE)</f>
        <v>#N/A</v>
      </c>
      <c r="AJ479" s="230" t="e">
        <f>T479-HLOOKUP(V479,Minimas!$C$3:$CD$12,10,FALSE)</f>
        <v>#N/A</v>
      </c>
      <c r="AK479" s="231" t="str">
        <f t="shared" si="115"/>
        <v xml:space="preserve"> </v>
      </c>
      <c r="AL479" s="232"/>
      <c r="AM479" s="232" t="str">
        <f t="shared" si="116"/>
        <v xml:space="preserve"> </v>
      </c>
      <c r="AN479" s="232" t="str">
        <f t="shared" si="117"/>
        <v xml:space="preserve"> </v>
      </c>
    </row>
    <row r="480" spans="28:40" ht="14" x14ac:dyDescent="0.25">
      <c r="AB480" s="230" t="e">
        <f>T480-HLOOKUP(V480,Minimas!$C$3:$CD$12,2,FALSE)</f>
        <v>#N/A</v>
      </c>
      <c r="AC480" s="230" t="e">
        <f>T480-HLOOKUP(V480,Minimas!$C$3:$CD$12,3,FALSE)</f>
        <v>#N/A</v>
      </c>
      <c r="AD480" s="230" t="e">
        <f>T480-HLOOKUP(V480,Minimas!$C$3:$CD$12,4,FALSE)</f>
        <v>#N/A</v>
      </c>
      <c r="AE480" s="230" t="e">
        <f>T480-HLOOKUP(V480,Minimas!$C$3:$CD$12,5,FALSE)</f>
        <v>#N/A</v>
      </c>
      <c r="AF480" s="230" t="e">
        <f>T480-HLOOKUP(V480,Minimas!$C$3:$CD$12,6,FALSE)</f>
        <v>#N/A</v>
      </c>
      <c r="AG480" s="230" t="e">
        <f>T480-HLOOKUP(V480,Minimas!$C$3:$CD$12,7,FALSE)</f>
        <v>#N/A</v>
      </c>
      <c r="AH480" s="230" t="e">
        <f>T480-HLOOKUP(V480,Minimas!$C$3:$CD$12,8,FALSE)</f>
        <v>#N/A</v>
      </c>
      <c r="AI480" s="230" t="e">
        <f>T480-HLOOKUP(V480,Minimas!$C$3:$CD$12,9,FALSE)</f>
        <v>#N/A</v>
      </c>
      <c r="AJ480" s="230" t="e">
        <f>T480-HLOOKUP(V480,Minimas!$C$3:$CD$12,10,FALSE)</f>
        <v>#N/A</v>
      </c>
      <c r="AK480" s="231" t="str">
        <f t="shared" si="115"/>
        <v xml:space="preserve"> </v>
      </c>
      <c r="AL480" s="232"/>
      <c r="AM480" s="232" t="str">
        <f t="shared" si="116"/>
        <v xml:space="preserve"> </v>
      </c>
      <c r="AN480" s="232" t="str">
        <f t="shared" si="117"/>
        <v xml:space="preserve"> </v>
      </c>
    </row>
    <row r="481" spans="28:40" ht="14" x14ac:dyDescent="0.25">
      <c r="AB481" s="230" t="e">
        <f>T481-HLOOKUP(V481,Minimas!$C$3:$CD$12,2,FALSE)</f>
        <v>#N/A</v>
      </c>
      <c r="AC481" s="230" t="e">
        <f>T481-HLOOKUP(V481,Minimas!$C$3:$CD$12,3,FALSE)</f>
        <v>#N/A</v>
      </c>
      <c r="AD481" s="230" t="e">
        <f>T481-HLOOKUP(V481,Minimas!$C$3:$CD$12,4,FALSE)</f>
        <v>#N/A</v>
      </c>
      <c r="AE481" s="230" t="e">
        <f>T481-HLOOKUP(V481,Minimas!$C$3:$CD$12,5,FALSE)</f>
        <v>#N/A</v>
      </c>
      <c r="AF481" s="230" t="e">
        <f>T481-HLOOKUP(V481,Minimas!$C$3:$CD$12,6,FALSE)</f>
        <v>#N/A</v>
      </c>
      <c r="AG481" s="230" t="e">
        <f>T481-HLOOKUP(V481,Minimas!$C$3:$CD$12,7,FALSE)</f>
        <v>#N/A</v>
      </c>
      <c r="AH481" s="230" t="e">
        <f>T481-HLOOKUP(V481,Minimas!$C$3:$CD$12,8,FALSE)</f>
        <v>#N/A</v>
      </c>
      <c r="AI481" s="230" t="e">
        <f>T481-HLOOKUP(V481,Minimas!$C$3:$CD$12,9,FALSE)</f>
        <v>#N/A</v>
      </c>
      <c r="AJ481" s="230" t="e">
        <f>T481-HLOOKUP(V481,Minimas!$C$3:$CD$12,10,FALSE)</f>
        <v>#N/A</v>
      </c>
      <c r="AK481" s="231" t="str">
        <f t="shared" si="115"/>
        <v xml:space="preserve"> </v>
      </c>
      <c r="AL481" s="232"/>
      <c r="AM481" s="232" t="str">
        <f t="shared" si="116"/>
        <v xml:space="preserve"> </v>
      </c>
      <c r="AN481" s="232" t="str">
        <f t="shared" si="117"/>
        <v xml:space="preserve"> </v>
      </c>
    </row>
    <row r="482" spans="28:40" ht="14" x14ac:dyDescent="0.25">
      <c r="AB482" s="230" t="e">
        <f>T482-HLOOKUP(V482,Minimas!$C$3:$CD$12,2,FALSE)</f>
        <v>#N/A</v>
      </c>
      <c r="AC482" s="230" t="e">
        <f>T482-HLOOKUP(V482,Minimas!$C$3:$CD$12,3,FALSE)</f>
        <v>#N/A</v>
      </c>
      <c r="AD482" s="230" t="e">
        <f>T482-HLOOKUP(V482,Minimas!$C$3:$CD$12,4,FALSE)</f>
        <v>#N/A</v>
      </c>
      <c r="AE482" s="230" t="e">
        <f>T482-HLOOKUP(V482,Minimas!$C$3:$CD$12,5,FALSE)</f>
        <v>#N/A</v>
      </c>
      <c r="AF482" s="230" t="e">
        <f>T482-HLOOKUP(V482,Minimas!$C$3:$CD$12,6,FALSE)</f>
        <v>#N/A</v>
      </c>
      <c r="AG482" s="230" t="e">
        <f>T482-HLOOKUP(V482,Minimas!$C$3:$CD$12,7,FALSE)</f>
        <v>#N/A</v>
      </c>
      <c r="AH482" s="230" t="e">
        <f>T482-HLOOKUP(V482,Minimas!$C$3:$CD$12,8,FALSE)</f>
        <v>#N/A</v>
      </c>
      <c r="AI482" s="230" t="e">
        <f>T482-HLOOKUP(V482,Minimas!$C$3:$CD$12,9,FALSE)</f>
        <v>#N/A</v>
      </c>
      <c r="AJ482" s="230" t="e">
        <f>T482-HLOOKUP(V482,Minimas!$C$3:$CD$12,10,FALSE)</f>
        <v>#N/A</v>
      </c>
      <c r="AK482" s="231" t="str">
        <f t="shared" si="115"/>
        <v xml:space="preserve"> </v>
      </c>
      <c r="AL482" s="232"/>
      <c r="AM482" s="232" t="str">
        <f t="shared" si="116"/>
        <v xml:space="preserve"> </v>
      </c>
      <c r="AN482" s="232" t="str">
        <f t="shared" si="117"/>
        <v xml:space="preserve"> </v>
      </c>
    </row>
    <row r="483" spans="28:40" ht="14" x14ac:dyDescent="0.25">
      <c r="AB483" s="230" t="e">
        <f>T483-HLOOKUP(V483,Minimas!$C$3:$CD$12,2,FALSE)</f>
        <v>#N/A</v>
      </c>
      <c r="AC483" s="230" t="e">
        <f>T483-HLOOKUP(V483,Minimas!$C$3:$CD$12,3,FALSE)</f>
        <v>#N/A</v>
      </c>
      <c r="AD483" s="230" t="e">
        <f>T483-HLOOKUP(V483,Minimas!$C$3:$CD$12,4,FALSE)</f>
        <v>#N/A</v>
      </c>
      <c r="AE483" s="230" t="e">
        <f>T483-HLOOKUP(V483,Minimas!$C$3:$CD$12,5,FALSE)</f>
        <v>#N/A</v>
      </c>
      <c r="AF483" s="230" t="e">
        <f>T483-HLOOKUP(V483,Minimas!$C$3:$CD$12,6,FALSE)</f>
        <v>#N/A</v>
      </c>
      <c r="AG483" s="230" t="e">
        <f>T483-HLOOKUP(V483,Minimas!$C$3:$CD$12,7,FALSE)</f>
        <v>#N/A</v>
      </c>
      <c r="AH483" s="230" t="e">
        <f>T483-HLOOKUP(V483,Minimas!$C$3:$CD$12,8,FALSE)</f>
        <v>#N/A</v>
      </c>
      <c r="AI483" s="230" t="e">
        <f>T483-HLOOKUP(V483,Minimas!$C$3:$CD$12,9,FALSE)</f>
        <v>#N/A</v>
      </c>
      <c r="AJ483" s="230" t="e">
        <f>T483-HLOOKUP(V483,Minimas!$C$3:$CD$12,10,FALSE)</f>
        <v>#N/A</v>
      </c>
      <c r="AK483" s="231" t="str">
        <f t="shared" si="115"/>
        <v xml:space="preserve"> </v>
      </c>
      <c r="AL483" s="232"/>
      <c r="AM483" s="232" t="str">
        <f t="shared" si="116"/>
        <v xml:space="preserve"> </v>
      </c>
      <c r="AN483" s="232" t="str">
        <f t="shared" si="117"/>
        <v xml:space="preserve"> </v>
      </c>
    </row>
    <row r="484" spans="28:40" ht="14" x14ac:dyDescent="0.25">
      <c r="AB484" s="230" t="e">
        <f>T484-HLOOKUP(V484,Minimas!$C$3:$CD$12,2,FALSE)</f>
        <v>#N/A</v>
      </c>
      <c r="AC484" s="230" t="e">
        <f>T484-HLOOKUP(V484,Minimas!$C$3:$CD$12,3,FALSE)</f>
        <v>#N/A</v>
      </c>
      <c r="AD484" s="230" t="e">
        <f>T484-HLOOKUP(V484,Minimas!$C$3:$CD$12,4,FALSE)</f>
        <v>#N/A</v>
      </c>
      <c r="AE484" s="230" t="e">
        <f>T484-HLOOKUP(V484,Minimas!$C$3:$CD$12,5,FALSE)</f>
        <v>#N/A</v>
      </c>
      <c r="AF484" s="230" t="e">
        <f>T484-HLOOKUP(V484,Minimas!$C$3:$CD$12,6,FALSE)</f>
        <v>#N/A</v>
      </c>
      <c r="AG484" s="230" t="e">
        <f>T484-HLOOKUP(V484,Minimas!$C$3:$CD$12,7,FALSE)</f>
        <v>#N/A</v>
      </c>
      <c r="AH484" s="230" t="e">
        <f>T484-HLOOKUP(V484,Minimas!$C$3:$CD$12,8,FALSE)</f>
        <v>#N/A</v>
      </c>
      <c r="AI484" s="230" t="e">
        <f>T484-HLOOKUP(V484,Minimas!$C$3:$CD$12,9,FALSE)</f>
        <v>#N/A</v>
      </c>
      <c r="AJ484" s="230" t="e">
        <f>T484-HLOOKUP(V484,Minimas!$C$3:$CD$12,10,FALSE)</f>
        <v>#N/A</v>
      </c>
      <c r="AK484" s="231" t="str">
        <f t="shared" si="115"/>
        <v xml:space="preserve"> </v>
      </c>
      <c r="AL484" s="232"/>
      <c r="AM484" s="232" t="str">
        <f t="shared" si="116"/>
        <v xml:space="preserve"> </v>
      </c>
      <c r="AN484" s="232" t="str">
        <f t="shared" si="117"/>
        <v xml:space="preserve"> </v>
      </c>
    </row>
    <row r="485" spans="28:40" ht="14" x14ac:dyDescent="0.25">
      <c r="AB485" s="230" t="e">
        <f>T485-HLOOKUP(V485,Minimas!$C$3:$CD$12,2,FALSE)</f>
        <v>#N/A</v>
      </c>
      <c r="AC485" s="230" t="e">
        <f>T485-HLOOKUP(V485,Minimas!$C$3:$CD$12,3,FALSE)</f>
        <v>#N/A</v>
      </c>
      <c r="AD485" s="230" t="e">
        <f>T485-HLOOKUP(V485,Minimas!$C$3:$CD$12,4,FALSE)</f>
        <v>#N/A</v>
      </c>
      <c r="AE485" s="230" t="e">
        <f>T485-HLOOKUP(V485,Minimas!$C$3:$CD$12,5,FALSE)</f>
        <v>#N/A</v>
      </c>
      <c r="AF485" s="230" t="e">
        <f>T485-HLOOKUP(V485,Minimas!$C$3:$CD$12,6,FALSE)</f>
        <v>#N/A</v>
      </c>
      <c r="AG485" s="230" t="e">
        <f>T485-HLOOKUP(V485,Minimas!$C$3:$CD$12,7,FALSE)</f>
        <v>#N/A</v>
      </c>
      <c r="AH485" s="230" t="e">
        <f>T485-HLOOKUP(V485,Minimas!$C$3:$CD$12,8,FALSE)</f>
        <v>#N/A</v>
      </c>
      <c r="AI485" s="230" t="e">
        <f>T485-HLOOKUP(V485,Minimas!$C$3:$CD$12,9,FALSE)</f>
        <v>#N/A</v>
      </c>
      <c r="AJ485" s="230" t="e">
        <f>T485-HLOOKUP(V485,Minimas!$C$3:$CD$12,10,FALSE)</f>
        <v>#N/A</v>
      </c>
      <c r="AK485" s="231" t="str">
        <f t="shared" si="115"/>
        <v xml:space="preserve"> </v>
      </c>
      <c r="AL485" s="232"/>
      <c r="AM485" s="232" t="str">
        <f t="shared" si="116"/>
        <v xml:space="preserve"> </v>
      </c>
      <c r="AN485" s="232" t="str">
        <f t="shared" si="117"/>
        <v xml:space="preserve"> </v>
      </c>
    </row>
    <row r="486" spans="28:40" ht="14" x14ac:dyDescent="0.25">
      <c r="AB486" s="230" t="e">
        <f>T486-HLOOKUP(V486,Minimas!$C$3:$CD$12,2,FALSE)</f>
        <v>#N/A</v>
      </c>
      <c r="AC486" s="230" t="e">
        <f>T486-HLOOKUP(V486,Minimas!$C$3:$CD$12,3,FALSE)</f>
        <v>#N/A</v>
      </c>
      <c r="AD486" s="230" t="e">
        <f>T486-HLOOKUP(V486,Minimas!$C$3:$CD$12,4,FALSE)</f>
        <v>#N/A</v>
      </c>
      <c r="AE486" s="230" t="e">
        <f>T486-HLOOKUP(V486,Minimas!$C$3:$CD$12,5,FALSE)</f>
        <v>#N/A</v>
      </c>
      <c r="AF486" s="230" t="e">
        <f>T486-HLOOKUP(V486,Minimas!$C$3:$CD$12,6,FALSE)</f>
        <v>#N/A</v>
      </c>
      <c r="AG486" s="230" t="e">
        <f>T486-HLOOKUP(V486,Minimas!$C$3:$CD$12,7,FALSE)</f>
        <v>#N/A</v>
      </c>
      <c r="AH486" s="230" t="e">
        <f>T486-HLOOKUP(V486,Minimas!$C$3:$CD$12,8,FALSE)</f>
        <v>#N/A</v>
      </c>
      <c r="AI486" s="230" t="e">
        <f>T486-HLOOKUP(V486,Minimas!$C$3:$CD$12,9,FALSE)</f>
        <v>#N/A</v>
      </c>
      <c r="AJ486" s="230" t="e">
        <f>T486-HLOOKUP(V486,Minimas!$C$3:$CD$12,10,FALSE)</f>
        <v>#N/A</v>
      </c>
      <c r="AK486" s="231" t="str">
        <f t="shared" si="115"/>
        <v xml:space="preserve"> </v>
      </c>
      <c r="AL486" s="232"/>
      <c r="AM486" s="232" t="str">
        <f t="shared" si="116"/>
        <v xml:space="preserve"> </v>
      </c>
      <c r="AN486" s="232" t="str">
        <f t="shared" si="117"/>
        <v xml:space="preserve"> </v>
      </c>
    </row>
    <row r="487" spans="28:40" ht="14" x14ac:dyDescent="0.25">
      <c r="AB487" s="230" t="e">
        <f>T487-HLOOKUP(V487,Minimas!$C$3:$CD$12,2,FALSE)</f>
        <v>#N/A</v>
      </c>
      <c r="AC487" s="230" t="e">
        <f>T487-HLOOKUP(V487,Minimas!$C$3:$CD$12,3,FALSE)</f>
        <v>#N/A</v>
      </c>
      <c r="AD487" s="230" t="e">
        <f>T487-HLOOKUP(V487,Minimas!$C$3:$CD$12,4,FALSE)</f>
        <v>#N/A</v>
      </c>
      <c r="AE487" s="230" t="e">
        <f>T487-HLOOKUP(V487,Minimas!$C$3:$CD$12,5,FALSE)</f>
        <v>#N/A</v>
      </c>
      <c r="AF487" s="230" t="e">
        <f>T487-HLOOKUP(V487,Minimas!$C$3:$CD$12,6,FALSE)</f>
        <v>#N/A</v>
      </c>
      <c r="AG487" s="230" t="e">
        <f>T487-HLOOKUP(V487,Minimas!$C$3:$CD$12,7,FALSE)</f>
        <v>#N/A</v>
      </c>
      <c r="AH487" s="230" t="e">
        <f>T487-HLOOKUP(V487,Minimas!$C$3:$CD$12,8,FALSE)</f>
        <v>#N/A</v>
      </c>
      <c r="AI487" s="230" t="e">
        <f>T487-HLOOKUP(V487,Minimas!$C$3:$CD$12,9,FALSE)</f>
        <v>#N/A</v>
      </c>
      <c r="AJ487" s="230" t="e">
        <f>T487-HLOOKUP(V487,Minimas!$C$3:$CD$12,10,FALSE)</f>
        <v>#N/A</v>
      </c>
      <c r="AK487" s="231" t="str">
        <f t="shared" si="115"/>
        <v xml:space="preserve"> </v>
      </c>
      <c r="AL487" s="232"/>
      <c r="AM487" s="232" t="str">
        <f t="shared" si="116"/>
        <v xml:space="preserve"> </v>
      </c>
      <c r="AN487" s="232" t="str">
        <f t="shared" si="117"/>
        <v xml:space="preserve"> </v>
      </c>
    </row>
    <row r="488" spans="28:40" ht="14" x14ac:dyDescent="0.25">
      <c r="AB488" s="230" t="e">
        <f>T488-HLOOKUP(V488,Minimas!$C$3:$CD$12,2,FALSE)</f>
        <v>#N/A</v>
      </c>
      <c r="AC488" s="230" t="e">
        <f>T488-HLOOKUP(V488,Minimas!$C$3:$CD$12,3,FALSE)</f>
        <v>#N/A</v>
      </c>
      <c r="AD488" s="230" t="e">
        <f>T488-HLOOKUP(V488,Minimas!$C$3:$CD$12,4,FALSE)</f>
        <v>#N/A</v>
      </c>
      <c r="AE488" s="230" t="e">
        <f>T488-HLOOKUP(V488,Minimas!$C$3:$CD$12,5,FALSE)</f>
        <v>#N/A</v>
      </c>
      <c r="AF488" s="230" t="e">
        <f>T488-HLOOKUP(V488,Minimas!$C$3:$CD$12,6,FALSE)</f>
        <v>#N/A</v>
      </c>
      <c r="AG488" s="230" t="e">
        <f>T488-HLOOKUP(V488,Minimas!$C$3:$CD$12,7,FALSE)</f>
        <v>#N/A</v>
      </c>
      <c r="AH488" s="230" t="e">
        <f>T488-HLOOKUP(V488,Minimas!$C$3:$CD$12,8,FALSE)</f>
        <v>#N/A</v>
      </c>
      <c r="AI488" s="230" t="e">
        <f>T488-HLOOKUP(V488,Minimas!$C$3:$CD$12,9,FALSE)</f>
        <v>#N/A</v>
      </c>
      <c r="AJ488" s="230" t="e">
        <f>T488-HLOOKUP(V488,Minimas!$C$3:$CD$12,10,FALSE)</f>
        <v>#N/A</v>
      </c>
      <c r="AK488" s="231" t="str">
        <f t="shared" si="115"/>
        <v xml:space="preserve"> </v>
      </c>
      <c r="AL488" s="232"/>
      <c r="AM488" s="232" t="str">
        <f t="shared" si="116"/>
        <v xml:space="preserve"> </v>
      </c>
      <c r="AN488" s="232" t="str">
        <f t="shared" si="117"/>
        <v xml:space="preserve"> </v>
      </c>
    </row>
    <row r="489" spans="28:40" ht="14" x14ac:dyDescent="0.25">
      <c r="AB489" s="230" t="e">
        <f>T489-HLOOKUP(V489,Minimas!$C$3:$CD$12,2,FALSE)</f>
        <v>#N/A</v>
      </c>
      <c r="AC489" s="230" t="e">
        <f>T489-HLOOKUP(V489,Minimas!$C$3:$CD$12,3,FALSE)</f>
        <v>#N/A</v>
      </c>
      <c r="AD489" s="230" t="e">
        <f>T489-HLOOKUP(V489,Minimas!$C$3:$CD$12,4,FALSE)</f>
        <v>#N/A</v>
      </c>
      <c r="AE489" s="230" t="e">
        <f>T489-HLOOKUP(V489,Minimas!$C$3:$CD$12,5,FALSE)</f>
        <v>#N/A</v>
      </c>
      <c r="AF489" s="230" t="e">
        <f>T489-HLOOKUP(V489,Minimas!$C$3:$CD$12,6,FALSE)</f>
        <v>#N/A</v>
      </c>
      <c r="AG489" s="230" t="e">
        <f>T489-HLOOKUP(V489,Minimas!$C$3:$CD$12,7,FALSE)</f>
        <v>#N/A</v>
      </c>
      <c r="AH489" s="230" t="e">
        <f>T489-HLOOKUP(V489,Minimas!$C$3:$CD$12,8,FALSE)</f>
        <v>#N/A</v>
      </c>
      <c r="AI489" s="230" t="e">
        <f>T489-HLOOKUP(V489,Minimas!$C$3:$CD$12,9,FALSE)</f>
        <v>#N/A</v>
      </c>
      <c r="AJ489" s="230" t="e">
        <f>T489-HLOOKUP(V489,Minimas!$C$3:$CD$12,10,FALSE)</f>
        <v>#N/A</v>
      </c>
      <c r="AK489" s="231" t="str">
        <f t="shared" si="115"/>
        <v xml:space="preserve"> </v>
      </c>
      <c r="AL489" s="232"/>
      <c r="AM489" s="232" t="str">
        <f t="shared" si="116"/>
        <v xml:space="preserve"> </v>
      </c>
      <c r="AN489" s="232" t="str">
        <f t="shared" si="117"/>
        <v xml:space="preserve"> </v>
      </c>
    </row>
    <row r="490" spans="28:40" ht="14" x14ac:dyDescent="0.25">
      <c r="AB490" s="230" t="e">
        <f>T490-HLOOKUP(V490,Minimas!$C$3:$CD$12,2,FALSE)</f>
        <v>#N/A</v>
      </c>
      <c r="AC490" s="230" t="e">
        <f>T490-HLOOKUP(V490,Minimas!$C$3:$CD$12,3,FALSE)</f>
        <v>#N/A</v>
      </c>
      <c r="AD490" s="230" t="e">
        <f>T490-HLOOKUP(V490,Minimas!$C$3:$CD$12,4,FALSE)</f>
        <v>#N/A</v>
      </c>
      <c r="AE490" s="230" t="e">
        <f>T490-HLOOKUP(V490,Minimas!$C$3:$CD$12,5,FALSE)</f>
        <v>#N/A</v>
      </c>
      <c r="AF490" s="230" t="e">
        <f>T490-HLOOKUP(V490,Minimas!$C$3:$CD$12,6,FALSE)</f>
        <v>#N/A</v>
      </c>
      <c r="AG490" s="230" t="e">
        <f>T490-HLOOKUP(V490,Minimas!$C$3:$CD$12,7,FALSE)</f>
        <v>#N/A</v>
      </c>
      <c r="AH490" s="230" t="e">
        <f>T490-HLOOKUP(V490,Minimas!$C$3:$CD$12,8,FALSE)</f>
        <v>#N/A</v>
      </c>
      <c r="AI490" s="230" t="e">
        <f>T490-HLOOKUP(V490,Minimas!$C$3:$CD$12,9,FALSE)</f>
        <v>#N/A</v>
      </c>
      <c r="AJ490" s="230" t="e">
        <f>T490-HLOOKUP(V490,Minimas!$C$3:$CD$12,10,FALSE)</f>
        <v>#N/A</v>
      </c>
      <c r="AK490" s="231" t="str">
        <f t="shared" si="115"/>
        <v xml:space="preserve"> </v>
      </c>
      <c r="AL490" s="232"/>
      <c r="AM490" s="232" t="str">
        <f t="shared" si="116"/>
        <v xml:space="preserve"> </v>
      </c>
      <c r="AN490" s="232" t="str">
        <f t="shared" si="117"/>
        <v xml:space="preserve"> </v>
      </c>
    </row>
    <row r="491" spans="28:40" ht="14" x14ac:dyDescent="0.25">
      <c r="AB491" s="230" t="e">
        <f>T491-HLOOKUP(V491,Minimas!$C$3:$CD$12,2,FALSE)</f>
        <v>#N/A</v>
      </c>
      <c r="AC491" s="230" t="e">
        <f>T491-HLOOKUP(V491,Minimas!$C$3:$CD$12,3,FALSE)</f>
        <v>#N/A</v>
      </c>
      <c r="AD491" s="230" t="e">
        <f>T491-HLOOKUP(V491,Minimas!$C$3:$CD$12,4,FALSE)</f>
        <v>#N/A</v>
      </c>
      <c r="AE491" s="230" t="e">
        <f>T491-HLOOKUP(V491,Minimas!$C$3:$CD$12,5,FALSE)</f>
        <v>#N/A</v>
      </c>
      <c r="AF491" s="230" t="e">
        <f>T491-HLOOKUP(V491,Minimas!$C$3:$CD$12,6,FALSE)</f>
        <v>#N/A</v>
      </c>
      <c r="AG491" s="230" t="e">
        <f>T491-HLOOKUP(V491,Minimas!$C$3:$CD$12,7,FALSE)</f>
        <v>#N/A</v>
      </c>
      <c r="AH491" s="230" t="e">
        <f>T491-HLOOKUP(V491,Minimas!$C$3:$CD$12,8,FALSE)</f>
        <v>#N/A</v>
      </c>
      <c r="AI491" s="230" t="e">
        <f>T491-HLOOKUP(V491,Minimas!$C$3:$CD$12,9,FALSE)</f>
        <v>#N/A</v>
      </c>
      <c r="AJ491" s="230" t="e">
        <f>T491-HLOOKUP(V491,Minimas!$C$3:$CD$12,10,FALSE)</f>
        <v>#N/A</v>
      </c>
      <c r="AK491" s="231" t="str">
        <f t="shared" si="115"/>
        <v xml:space="preserve"> </v>
      </c>
      <c r="AL491" s="232"/>
      <c r="AM491" s="232" t="str">
        <f t="shared" si="116"/>
        <v xml:space="preserve"> </v>
      </c>
      <c r="AN491" s="232" t="str">
        <f t="shared" si="117"/>
        <v xml:space="preserve"> </v>
      </c>
    </row>
    <row r="492" spans="28:40" ht="14" x14ac:dyDescent="0.25">
      <c r="AB492" s="230" t="e">
        <f>T492-HLOOKUP(V492,Minimas!$C$3:$CD$12,2,FALSE)</f>
        <v>#N/A</v>
      </c>
      <c r="AC492" s="230" t="e">
        <f>T492-HLOOKUP(V492,Minimas!$C$3:$CD$12,3,FALSE)</f>
        <v>#N/A</v>
      </c>
      <c r="AD492" s="230" t="e">
        <f>T492-HLOOKUP(V492,Minimas!$C$3:$CD$12,4,FALSE)</f>
        <v>#N/A</v>
      </c>
      <c r="AE492" s="230" t="e">
        <f>T492-HLOOKUP(V492,Minimas!$C$3:$CD$12,5,FALSE)</f>
        <v>#N/A</v>
      </c>
      <c r="AF492" s="230" t="e">
        <f>T492-HLOOKUP(V492,Minimas!$C$3:$CD$12,6,FALSE)</f>
        <v>#N/A</v>
      </c>
      <c r="AG492" s="230" t="e">
        <f>T492-HLOOKUP(V492,Minimas!$C$3:$CD$12,7,FALSE)</f>
        <v>#N/A</v>
      </c>
      <c r="AH492" s="230" t="e">
        <f>T492-HLOOKUP(V492,Minimas!$C$3:$CD$12,8,FALSE)</f>
        <v>#N/A</v>
      </c>
      <c r="AI492" s="230" t="e">
        <f>T492-HLOOKUP(V492,Minimas!$C$3:$CD$12,9,FALSE)</f>
        <v>#N/A</v>
      </c>
      <c r="AJ492" s="230" t="e">
        <f>T492-HLOOKUP(V492,Minimas!$C$3:$CD$12,10,FALSE)</f>
        <v>#N/A</v>
      </c>
      <c r="AK492" s="231" t="str">
        <f t="shared" si="115"/>
        <v xml:space="preserve"> </v>
      </c>
      <c r="AL492" s="232"/>
      <c r="AM492" s="232" t="str">
        <f t="shared" si="116"/>
        <v xml:space="preserve"> </v>
      </c>
      <c r="AN492" s="232" t="str">
        <f t="shared" si="117"/>
        <v xml:space="preserve"> </v>
      </c>
    </row>
    <row r="493" spans="28:40" ht="14" x14ac:dyDescent="0.25">
      <c r="AB493" s="230" t="e">
        <f>T493-HLOOKUP(V493,Minimas!$C$3:$CD$12,2,FALSE)</f>
        <v>#N/A</v>
      </c>
      <c r="AC493" s="230" t="e">
        <f>T493-HLOOKUP(V493,Minimas!$C$3:$CD$12,3,FALSE)</f>
        <v>#N/A</v>
      </c>
      <c r="AD493" s="230" t="e">
        <f>T493-HLOOKUP(V493,Minimas!$C$3:$CD$12,4,FALSE)</f>
        <v>#N/A</v>
      </c>
      <c r="AE493" s="230" t="e">
        <f>T493-HLOOKUP(V493,Minimas!$C$3:$CD$12,5,FALSE)</f>
        <v>#N/A</v>
      </c>
      <c r="AF493" s="230" t="e">
        <f>T493-HLOOKUP(V493,Minimas!$C$3:$CD$12,6,FALSE)</f>
        <v>#N/A</v>
      </c>
      <c r="AG493" s="230" t="e">
        <f>T493-HLOOKUP(V493,Minimas!$C$3:$CD$12,7,FALSE)</f>
        <v>#N/A</v>
      </c>
      <c r="AH493" s="230" t="e">
        <f>T493-HLOOKUP(V493,Minimas!$C$3:$CD$12,8,FALSE)</f>
        <v>#N/A</v>
      </c>
      <c r="AI493" s="230" t="e">
        <f>T493-HLOOKUP(V493,Minimas!$C$3:$CD$12,9,FALSE)</f>
        <v>#N/A</v>
      </c>
      <c r="AJ493" s="230" t="e">
        <f>T493-HLOOKUP(V493,Minimas!$C$3:$CD$12,10,FALSE)</f>
        <v>#N/A</v>
      </c>
      <c r="AK493" s="231" t="str">
        <f t="shared" si="115"/>
        <v xml:space="preserve"> </v>
      </c>
      <c r="AL493" s="232"/>
      <c r="AM493" s="232" t="str">
        <f t="shared" si="116"/>
        <v xml:space="preserve"> </v>
      </c>
      <c r="AN493" s="232" t="str">
        <f t="shared" si="117"/>
        <v xml:space="preserve"> </v>
      </c>
    </row>
    <row r="494" spans="28:40" ht="14" x14ac:dyDescent="0.25">
      <c r="AB494" s="230" t="e">
        <f>T494-HLOOKUP(V494,Minimas!$C$3:$CD$12,2,FALSE)</f>
        <v>#N/A</v>
      </c>
      <c r="AC494" s="230" t="e">
        <f>T494-HLOOKUP(V494,Minimas!$C$3:$CD$12,3,FALSE)</f>
        <v>#N/A</v>
      </c>
      <c r="AD494" s="230" t="e">
        <f>T494-HLOOKUP(V494,Minimas!$C$3:$CD$12,4,FALSE)</f>
        <v>#N/A</v>
      </c>
      <c r="AE494" s="230" t="e">
        <f>T494-HLOOKUP(V494,Minimas!$C$3:$CD$12,5,FALSE)</f>
        <v>#N/A</v>
      </c>
      <c r="AF494" s="230" t="e">
        <f>T494-HLOOKUP(V494,Minimas!$C$3:$CD$12,6,FALSE)</f>
        <v>#N/A</v>
      </c>
      <c r="AG494" s="230" t="e">
        <f>T494-HLOOKUP(V494,Minimas!$C$3:$CD$12,7,FALSE)</f>
        <v>#N/A</v>
      </c>
      <c r="AH494" s="230" t="e">
        <f>T494-HLOOKUP(V494,Minimas!$C$3:$CD$12,8,FALSE)</f>
        <v>#N/A</v>
      </c>
      <c r="AI494" s="230" t="e">
        <f>T494-HLOOKUP(V494,Minimas!$C$3:$CD$12,9,FALSE)</f>
        <v>#N/A</v>
      </c>
      <c r="AJ494" s="230" t="e">
        <f>T494-HLOOKUP(V494,Minimas!$C$3:$CD$12,10,FALSE)</f>
        <v>#N/A</v>
      </c>
      <c r="AK494" s="231" t="str">
        <f t="shared" si="115"/>
        <v xml:space="preserve"> </v>
      </c>
      <c r="AL494" s="232"/>
      <c r="AM494" s="232" t="str">
        <f t="shared" si="116"/>
        <v xml:space="preserve"> </v>
      </c>
      <c r="AN494" s="232" t="str">
        <f t="shared" si="117"/>
        <v xml:space="preserve"> </v>
      </c>
    </row>
    <row r="495" spans="28:40" ht="14" x14ac:dyDescent="0.25">
      <c r="AB495" s="230" t="e">
        <f>T495-HLOOKUP(V495,Minimas!$C$3:$CD$12,2,FALSE)</f>
        <v>#N/A</v>
      </c>
      <c r="AC495" s="230" t="e">
        <f>T495-HLOOKUP(V495,Minimas!$C$3:$CD$12,3,FALSE)</f>
        <v>#N/A</v>
      </c>
      <c r="AD495" s="230" t="e">
        <f>T495-HLOOKUP(V495,Minimas!$C$3:$CD$12,4,FALSE)</f>
        <v>#N/A</v>
      </c>
      <c r="AE495" s="230" t="e">
        <f>T495-HLOOKUP(V495,Minimas!$C$3:$CD$12,5,FALSE)</f>
        <v>#N/A</v>
      </c>
      <c r="AF495" s="230" t="e">
        <f>T495-HLOOKUP(V495,Minimas!$C$3:$CD$12,6,FALSE)</f>
        <v>#N/A</v>
      </c>
      <c r="AG495" s="230" t="e">
        <f>T495-HLOOKUP(V495,Minimas!$C$3:$CD$12,7,FALSE)</f>
        <v>#N/A</v>
      </c>
      <c r="AH495" s="230" t="e">
        <f>T495-HLOOKUP(V495,Minimas!$C$3:$CD$12,8,FALSE)</f>
        <v>#N/A</v>
      </c>
      <c r="AI495" s="230" t="e">
        <f>T495-HLOOKUP(V495,Minimas!$C$3:$CD$12,9,FALSE)</f>
        <v>#N/A</v>
      </c>
      <c r="AJ495" s="230" t="e">
        <f>T495-HLOOKUP(V495,Minimas!$C$3:$CD$12,10,FALSE)</f>
        <v>#N/A</v>
      </c>
      <c r="AK495" s="231" t="str">
        <f t="shared" si="115"/>
        <v xml:space="preserve"> </v>
      </c>
      <c r="AL495" s="232"/>
      <c r="AM495" s="232" t="str">
        <f t="shared" si="116"/>
        <v xml:space="preserve"> </v>
      </c>
      <c r="AN495" s="232" t="str">
        <f t="shared" si="117"/>
        <v xml:space="preserve"> </v>
      </c>
    </row>
    <row r="496" spans="28:40" ht="14" x14ac:dyDescent="0.25">
      <c r="AB496" s="230" t="e">
        <f>T496-HLOOKUP(V496,Minimas!$C$3:$CD$12,2,FALSE)</f>
        <v>#N/A</v>
      </c>
      <c r="AC496" s="230" t="e">
        <f>T496-HLOOKUP(V496,Minimas!$C$3:$CD$12,3,FALSE)</f>
        <v>#N/A</v>
      </c>
      <c r="AD496" s="230" t="e">
        <f>T496-HLOOKUP(V496,Minimas!$C$3:$CD$12,4,FALSE)</f>
        <v>#N/A</v>
      </c>
      <c r="AE496" s="230" t="e">
        <f>T496-HLOOKUP(V496,Minimas!$C$3:$CD$12,5,FALSE)</f>
        <v>#N/A</v>
      </c>
      <c r="AF496" s="230" t="e">
        <f>T496-HLOOKUP(V496,Minimas!$C$3:$CD$12,6,FALSE)</f>
        <v>#N/A</v>
      </c>
      <c r="AG496" s="230" t="e">
        <f>T496-HLOOKUP(V496,Minimas!$C$3:$CD$12,7,FALSE)</f>
        <v>#N/A</v>
      </c>
      <c r="AH496" s="230" t="e">
        <f>T496-HLOOKUP(V496,Minimas!$C$3:$CD$12,8,FALSE)</f>
        <v>#N/A</v>
      </c>
      <c r="AI496" s="230" t="e">
        <f>T496-HLOOKUP(V496,Minimas!$C$3:$CD$12,9,FALSE)</f>
        <v>#N/A</v>
      </c>
      <c r="AJ496" s="230" t="e">
        <f>T496-HLOOKUP(V496,Minimas!$C$3:$CD$12,10,FALSE)</f>
        <v>#N/A</v>
      </c>
      <c r="AK496" s="231" t="str">
        <f t="shared" si="115"/>
        <v xml:space="preserve"> </v>
      </c>
      <c r="AL496" s="232"/>
      <c r="AM496" s="232" t="str">
        <f t="shared" si="116"/>
        <v xml:space="preserve"> </v>
      </c>
      <c r="AN496" s="232" t="str">
        <f t="shared" si="117"/>
        <v xml:space="preserve"> </v>
      </c>
    </row>
    <row r="497" spans="28:40" ht="14" x14ac:dyDescent="0.25">
      <c r="AB497" s="230" t="e">
        <f>T497-HLOOKUP(V497,Minimas!$C$3:$CD$12,2,FALSE)</f>
        <v>#N/A</v>
      </c>
      <c r="AC497" s="230" t="e">
        <f>T497-HLOOKUP(V497,Minimas!$C$3:$CD$12,3,FALSE)</f>
        <v>#N/A</v>
      </c>
      <c r="AD497" s="230" t="e">
        <f>T497-HLOOKUP(V497,Minimas!$C$3:$CD$12,4,FALSE)</f>
        <v>#N/A</v>
      </c>
      <c r="AE497" s="230" t="e">
        <f>T497-HLOOKUP(V497,Minimas!$C$3:$CD$12,5,FALSE)</f>
        <v>#N/A</v>
      </c>
      <c r="AF497" s="230" t="e">
        <f>T497-HLOOKUP(V497,Minimas!$C$3:$CD$12,6,FALSE)</f>
        <v>#N/A</v>
      </c>
      <c r="AG497" s="230" t="e">
        <f>T497-HLOOKUP(V497,Minimas!$C$3:$CD$12,7,FALSE)</f>
        <v>#N/A</v>
      </c>
      <c r="AH497" s="230" t="e">
        <f>T497-HLOOKUP(V497,Minimas!$C$3:$CD$12,8,FALSE)</f>
        <v>#N/A</v>
      </c>
      <c r="AI497" s="230" t="e">
        <f>T497-HLOOKUP(V497,Minimas!$C$3:$CD$12,9,FALSE)</f>
        <v>#N/A</v>
      </c>
      <c r="AJ497" s="230" t="e">
        <f>T497-HLOOKUP(V497,Minimas!$C$3:$CD$12,10,FALSE)</f>
        <v>#N/A</v>
      </c>
      <c r="AK497" s="231" t="str">
        <f t="shared" si="115"/>
        <v xml:space="preserve"> </v>
      </c>
      <c r="AL497" s="232"/>
      <c r="AM497" s="232" t="str">
        <f t="shared" si="116"/>
        <v xml:space="preserve"> </v>
      </c>
      <c r="AN497" s="232" t="str">
        <f t="shared" si="117"/>
        <v xml:space="preserve"> </v>
      </c>
    </row>
    <row r="498" spans="28:40" ht="14" x14ac:dyDescent="0.25">
      <c r="AB498" s="230" t="e">
        <f>T498-HLOOKUP(V498,Minimas!$C$3:$CD$12,2,FALSE)</f>
        <v>#N/A</v>
      </c>
      <c r="AC498" s="230" t="e">
        <f>T498-HLOOKUP(V498,Minimas!$C$3:$CD$12,3,FALSE)</f>
        <v>#N/A</v>
      </c>
      <c r="AD498" s="230" t="e">
        <f>T498-HLOOKUP(V498,Minimas!$C$3:$CD$12,4,FALSE)</f>
        <v>#N/A</v>
      </c>
      <c r="AE498" s="230" t="e">
        <f>T498-HLOOKUP(V498,Minimas!$C$3:$CD$12,5,FALSE)</f>
        <v>#N/A</v>
      </c>
      <c r="AF498" s="230" t="e">
        <f>T498-HLOOKUP(V498,Minimas!$C$3:$CD$12,6,FALSE)</f>
        <v>#N/A</v>
      </c>
      <c r="AG498" s="230" t="e">
        <f>T498-HLOOKUP(V498,Minimas!$C$3:$CD$12,7,FALSE)</f>
        <v>#N/A</v>
      </c>
      <c r="AH498" s="230" t="e">
        <f>T498-HLOOKUP(V498,Minimas!$C$3:$CD$12,8,FALSE)</f>
        <v>#N/A</v>
      </c>
      <c r="AI498" s="230" t="e">
        <f>T498-HLOOKUP(V498,Minimas!$C$3:$CD$12,9,FALSE)</f>
        <v>#N/A</v>
      </c>
      <c r="AJ498" s="230" t="e">
        <f>T498-HLOOKUP(V498,Minimas!$C$3:$CD$12,10,FALSE)</f>
        <v>#N/A</v>
      </c>
      <c r="AK498" s="231" t="str">
        <f t="shared" si="115"/>
        <v xml:space="preserve"> </v>
      </c>
      <c r="AL498" s="232"/>
      <c r="AM498" s="232" t="str">
        <f t="shared" si="116"/>
        <v xml:space="preserve"> </v>
      </c>
      <c r="AN498" s="232" t="str">
        <f t="shared" si="117"/>
        <v xml:space="preserve"> </v>
      </c>
    </row>
    <row r="499" spans="28:40" ht="14" x14ac:dyDescent="0.25">
      <c r="AB499" s="230" t="e">
        <f>T499-HLOOKUP(V499,Minimas!$C$3:$CD$12,2,FALSE)</f>
        <v>#N/A</v>
      </c>
      <c r="AC499" s="230" t="e">
        <f>T499-HLOOKUP(V499,Minimas!$C$3:$CD$12,3,FALSE)</f>
        <v>#N/A</v>
      </c>
      <c r="AD499" s="230" t="e">
        <f>T499-HLOOKUP(V499,Minimas!$C$3:$CD$12,4,FALSE)</f>
        <v>#N/A</v>
      </c>
      <c r="AE499" s="230" t="e">
        <f>T499-HLOOKUP(V499,Minimas!$C$3:$CD$12,5,FALSE)</f>
        <v>#N/A</v>
      </c>
      <c r="AF499" s="230" t="e">
        <f>T499-HLOOKUP(V499,Minimas!$C$3:$CD$12,6,FALSE)</f>
        <v>#N/A</v>
      </c>
      <c r="AG499" s="230" t="e">
        <f>T499-HLOOKUP(V499,Minimas!$C$3:$CD$12,7,FALSE)</f>
        <v>#N/A</v>
      </c>
      <c r="AH499" s="230" t="e">
        <f>T499-HLOOKUP(V499,Minimas!$C$3:$CD$12,8,FALSE)</f>
        <v>#N/A</v>
      </c>
      <c r="AI499" s="230" t="e">
        <f>T499-HLOOKUP(V499,Minimas!$C$3:$CD$12,9,FALSE)</f>
        <v>#N/A</v>
      </c>
      <c r="AJ499" s="230" t="e">
        <f>T499-HLOOKUP(V499,Minimas!$C$3:$CD$12,10,FALSE)</f>
        <v>#N/A</v>
      </c>
      <c r="AK499" s="231" t="str">
        <f t="shared" si="115"/>
        <v xml:space="preserve"> </v>
      </c>
      <c r="AL499" s="232"/>
      <c r="AM499" s="232" t="str">
        <f t="shared" si="116"/>
        <v xml:space="preserve"> </v>
      </c>
      <c r="AN499" s="232" t="str">
        <f t="shared" si="117"/>
        <v xml:space="preserve"> </v>
      </c>
    </row>
    <row r="500" spans="28:40" ht="14" x14ac:dyDescent="0.25">
      <c r="AB500" s="230" t="e">
        <f>T500-HLOOKUP(V500,Minimas!$C$3:$CD$12,2,FALSE)</f>
        <v>#N/A</v>
      </c>
      <c r="AC500" s="230" t="e">
        <f>T500-HLOOKUP(V500,Minimas!$C$3:$CD$12,3,FALSE)</f>
        <v>#N/A</v>
      </c>
      <c r="AD500" s="230" t="e">
        <f>T500-HLOOKUP(V500,Minimas!$C$3:$CD$12,4,FALSE)</f>
        <v>#N/A</v>
      </c>
      <c r="AE500" s="230" t="e">
        <f>T500-HLOOKUP(V500,Minimas!$C$3:$CD$12,5,FALSE)</f>
        <v>#N/A</v>
      </c>
      <c r="AF500" s="230" t="e">
        <f>T500-HLOOKUP(V500,Minimas!$C$3:$CD$12,6,FALSE)</f>
        <v>#N/A</v>
      </c>
      <c r="AG500" s="230" t="e">
        <f>T500-HLOOKUP(V500,Minimas!$C$3:$CD$12,7,FALSE)</f>
        <v>#N/A</v>
      </c>
      <c r="AH500" s="230" t="e">
        <f>T500-HLOOKUP(V500,Minimas!$C$3:$CD$12,8,FALSE)</f>
        <v>#N/A</v>
      </c>
      <c r="AI500" s="230" t="e">
        <f>T500-HLOOKUP(V500,Minimas!$C$3:$CD$12,9,FALSE)</f>
        <v>#N/A</v>
      </c>
      <c r="AJ500" s="230" t="e">
        <f>T500-HLOOKUP(V500,Minimas!$C$3:$CD$12,10,FALSE)</f>
        <v>#N/A</v>
      </c>
      <c r="AK500" s="231" t="str">
        <f t="shared" si="115"/>
        <v xml:space="preserve"> </v>
      </c>
      <c r="AL500" s="232"/>
      <c r="AM500" s="232" t="str">
        <f t="shared" si="116"/>
        <v xml:space="preserve"> </v>
      </c>
      <c r="AN500" s="232" t="str">
        <f t="shared" si="117"/>
        <v xml:space="preserve"> </v>
      </c>
    </row>
    <row r="501" spans="28:40" ht="14" x14ac:dyDescent="0.25">
      <c r="AB501" s="230" t="e">
        <f>T501-HLOOKUP(V501,Minimas!$C$3:$CD$12,2,FALSE)</f>
        <v>#N/A</v>
      </c>
      <c r="AC501" s="230" t="e">
        <f>T501-HLOOKUP(V501,Minimas!$C$3:$CD$12,3,FALSE)</f>
        <v>#N/A</v>
      </c>
      <c r="AD501" s="230" t="e">
        <f>T501-HLOOKUP(V501,Minimas!$C$3:$CD$12,4,FALSE)</f>
        <v>#N/A</v>
      </c>
      <c r="AE501" s="230" t="e">
        <f>T501-HLOOKUP(V501,Minimas!$C$3:$CD$12,5,FALSE)</f>
        <v>#N/A</v>
      </c>
      <c r="AF501" s="230" t="e">
        <f>T501-HLOOKUP(V501,Minimas!$C$3:$CD$12,6,FALSE)</f>
        <v>#N/A</v>
      </c>
      <c r="AG501" s="230" t="e">
        <f>T501-HLOOKUP(V501,Minimas!$C$3:$CD$12,7,FALSE)</f>
        <v>#N/A</v>
      </c>
      <c r="AH501" s="230" t="e">
        <f>T501-HLOOKUP(V501,Minimas!$C$3:$CD$12,8,FALSE)</f>
        <v>#N/A</v>
      </c>
      <c r="AI501" s="230" t="e">
        <f>T501-HLOOKUP(V501,Minimas!$C$3:$CD$12,9,FALSE)</f>
        <v>#N/A</v>
      </c>
      <c r="AJ501" s="230" t="e">
        <f>T501-HLOOKUP(V501,Minimas!$C$3:$CD$12,10,FALSE)</f>
        <v>#N/A</v>
      </c>
      <c r="AK501" s="231" t="str">
        <f t="shared" si="115"/>
        <v xml:space="preserve"> </v>
      </c>
      <c r="AL501" s="232"/>
      <c r="AM501" s="232" t="str">
        <f t="shared" si="116"/>
        <v xml:space="preserve"> </v>
      </c>
      <c r="AN501" s="232" t="str">
        <f t="shared" si="117"/>
        <v xml:space="preserve"> </v>
      </c>
    </row>
    <row r="502" spans="28:40" ht="14" x14ac:dyDescent="0.25">
      <c r="AB502" s="230" t="e">
        <f>T502-HLOOKUP(V502,Minimas!$C$3:$CD$12,2,FALSE)</f>
        <v>#N/A</v>
      </c>
      <c r="AC502" s="230" t="e">
        <f>T502-HLOOKUP(V502,Minimas!$C$3:$CD$12,3,FALSE)</f>
        <v>#N/A</v>
      </c>
      <c r="AD502" s="230" t="e">
        <f>T502-HLOOKUP(V502,Minimas!$C$3:$CD$12,4,FALSE)</f>
        <v>#N/A</v>
      </c>
      <c r="AE502" s="230" t="e">
        <f>T502-HLOOKUP(V502,Minimas!$C$3:$CD$12,5,FALSE)</f>
        <v>#N/A</v>
      </c>
      <c r="AF502" s="230" t="e">
        <f>T502-HLOOKUP(V502,Minimas!$C$3:$CD$12,6,FALSE)</f>
        <v>#N/A</v>
      </c>
      <c r="AG502" s="230" t="e">
        <f>T502-HLOOKUP(V502,Minimas!$C$3:$CD$12,7,FALSE)</f>
        <v>#N/A</v>
      </c>
      <c r="AH502" s="230" t="e">
        <f>T502-HLOOKUP(V502,Minimas!$C$3:$CD$12,8,FALSE)</f>
        <v>#N/A</v>
      </c>
      <c r="AI502" s="230" t="e">
        <f>T502-HLOOKUP(V502,Minimas!$C$3:$CD$12,9,FALSE)</f>
        <v>#N/A</v>
      </c>
      <c r="AJ502" s="230" t="e">
        <f>T502-HLOOKUP(V502,Minimas!$C$3:$CD$12,10,FALSE)</f>
        <v>#N/A</v>
      </c>
      <c r="AK502" s="231" t="str">
        <f t="shared" si="115"/>
        <v xml:space="preserve"> </v>
      </c>
      <c r="AL502" s="232"/>
      <c r="AM502" s="232" t="str">
        <f t="shared" si="116"/>
        <v xml:space="preserve"> </v>
      </c>
      <c r="AN502" s="232" t="str">
        <f t="shared" si="117"/>
        <v xml:space="preserve"> </v>
      </c>
    </row>
    <row r="503" spans="28:40" ht="14" x14ac:dyDescent="0.25">
      <c r="AB503" s="230" t="e">
        <f>T503-HLOOKUP(V503,Minimas!$C$3:$CD$12,2,FALSE)</f>
        <v>#N/A</v>
      </c>
      <c r="AC503" s="230" t="e">
        <f>T503-HLOOKUP(V503,Minimas!$C$3:$CD$12,3,FALSE)</f>
        <v>#N/A</v>
      </c>
      <c r="AD503" s="230" t="e">
        <f>T503-HLOOKUP(V503,Minimas!$C$3:$CD$12,4,FALSE)</f>
        <v>#N/A</v>
      </c>
      <c r="AE503" s="230" t="e">
        <f>T503-HLOOKUP(V503,Minimas!$C$3:$CD$12,5,FALSE)</f>
        <v>#N/A</v>
      </c>
      <c r="AF503" s="230" t="e">
        <f>T503-HLOOKUP(V503,Minimas!$C$3:$CD$12,6,FALSE)</f>
        <v>#N/A</v>
      </c>
      <c r="AG503" s="230" t="e">
        <f>T503-HLOOKUP(V503,Minimas!$C$3:$CD$12,7,FALSE)</f>
        <v>#N/A</v>
      </c>
      <c r="AH503" s="230" t="e">
        <f>T503-HLOOKUP(V503,Minimas!$C$3:$CD$12,8,FALSE)</f>
        <v>#N/A</v>
      </c>
      <c r="AI503" s="230" t="e">
        <f>T503-HLOOKUP(V503,Minimas!$C$3:$CD$12,9,FALSE)</f>
        <v>#N/A</v>
      </c>
      <c r="AJ503" s="230" t="e">
        <f>T503-HLOOKUP(V503,Minimas!$C$3:$CD$12,10,FALSE)</f>
        <v>#N/A</v>
      </c>
      <c r="AK503" s="231" t="str">
        <f t="shared" si="115"/>
        <v xml:space="preserve"> </v>
      </c>
      <c r="AL503" s="232"/>
      <c r="AM503" s="232" t="str">
        <f t="shared" si="116"/>
        <v xml:space="preserve"> </v>
      </c>
      <c r="AN503" s="232" t="str">
        <f t="shared" si="117"/>
        <v xml:space="preserve"> </v>
      </c>
    </row>
    <row r="504" spans="28:40" ht="14" x14ac:dyDescent="0.25">
      <c r="AB504" s="230" t="e">
        <f>T504-HLOOKUP(V504,Minimas!$C$3:$CD$12,2,FALSE)</f>
        <v>#N/A</v>
      </c>
      <c r="AC504" s="230" t="e">
        <f>T504-HLOOKUP(V504,Minimas!$C$3:$CD$12,3,FALSE)</f>
        <v>#N/A</v>
      </c>
      <c r="AD504" s="230" t="e">
        <f>T504-HLOOKUP(V504,Minimas!$C$3:$CD$12,4,FALSE)</f>
        <v>#N/A</v>
      </c>
      <c r="AE504" s="230" t="e">
        <f>T504-HLOOKUP(V504,Minimas!$C$3:$CD$12,5,FALSE)</f>
        <v>#N/A</v>
      </c>
      <c r="AF504" s="230" t="e">
        <f>T504-HLOOKUP(V504,Minimas!$C$3:$CD$12,6,FALSE)</f>
        <v>#N/A</v>
      </c>
      <c r="AG504" s="230" t="e">
        <f>T504-HLOOKUP(V504,Minimas!$C$3:$CD$12,7,FALSE)</f>
        <v>#N/A</v>
      </c>
      <c r="AH504" s="230" t="e">
        <f>T504-HLOOKUP(V504,Minimas!$C$3:$CD$12,8,FALSE)</f>
        <v>#N/A</v>
      </c>
      <c r="AI504" s="230" t="e">
        <f>T504-HLOOKUP(V504,Minimas!$C$3:$CD$12,9,FALSE)</f>
        <v>#N/A</v>
      </c>
      <c r="AJ504" s="230" t="e">
        <f>T504-HLOOKUP(V504,Minimas!$C$3:$CD$12,10,FALSE)</f>
        <v>#N/A</v>
      </c>
      <c r="AK504" s="231" t="str">
        <f t="shared" si="115"/>
        <v xml:space="preserve"> </v>
      </c>
      <c r="AL504" s="232"/>
      <c r="AM504" s="232" t="str">
        <f t="shared" si="116"/>
        <v xml:space="preserve"> </v>
      </c>
      <c r="AN504" s="232" t="str">
        <f t="shared" si="117"/>
        <v xml:space="preserve"> </v>
      </c>
    </row>
    <row r="505" spans="28:40" ht="14" x14ac:dyDescent="0.25">
      <c r="AB505" s="230" t="e">
        <f>T505-HLOOKUP(V505,Minimas!$C$3:$CD$12,2,FALSE)</f>
        <v>#N/A</v>
      </c>
      <c r="AC505" s="230" t="e">
        <f>T505-HLOOKUP(V505,Minimas!$C$3:$CD$12,3,FALSE)</f>
        <v>#N/A</v>
      </c>
      <c r="AD505" s="230" t="e">
        <f>T505-HLOOKUP(V505,Minimas!$C$3:$CD$12,4,FALSE)</f>
        <v>#N/A</v>
      </c>
      <c r="AE505" s="230" t="e">
        <f>T505-HLOOKUP(V505,Minimas!$C$3:$CD$12,5,FALSE)</f>
        <v>#N/A</v>
      </c>
      <c r="AF505" s="230" t="e">
        <f>T505-HLOOKUP(V505,Minimas!$C$3:$CD$12,6,FALSE)</f>
        <v>#N/A</v>
      </c>
      <c r="AG505" s="230" t="e">
        <f>T505-HLOOKUP(V505,Minimas!$C$3:$CD$12,7,FALSE)</f>
        <v>#N/A</v>
      </c>
      <c r="AH505" s="230" t="e">
        <f>T505-HLOOKUP(V505,Minimas!$C$3:$CD$12,8,FALSE)</f>
        <v>#N/A</v>
      </c>
      <c r="AI505" s="230" t="e">
        <f>T505-HLOOKUP(V505,Minimas!$C$3:$CD$12,9,FALSE)</f>
        <v>#N/A</v>
      </c>
      <c r="AJ505" s="230" t="e">
        <f>T505-HLOOKUP(V505,Minimas!$C$3:$CD$12,10,FALSE)</f>
        <v>#N/A</v>
      </c>
      <c r="AK505" s="231" t="str">
        <f t="shared" si="115"/>
        <v xml:space="preserve"> </v>
      </c>
      <c r="AL505" s="232"/>
      <c r="AM505" s="232" t="str">
        <f t="shared" si="116"/>
        <v xml:space="preserve"> </v>
      </c>
      <c r="AN505" s="232" t="str">
        <f t="shared" si="117"/>
        <v xml:space="preserve"> </v>
      </c>
    </row>
    <row r="506" spans="28:40" ht="14" x14ac:dyDescent="0.25">
      <c r="AB506" s="230" t="e">
        <f>T506-HLOOKUP(V506,Minimas!$C$3:$CD$12,2,FALSE)</f>
        <v>#N/A</v>
      </c>
      <c r="AC506" s="230" t="e">
        <f>T506-HLOOKUP(V506,Minimas!$C$3:$CD$12,3,FALSE)</f>
        <v>#N/A</v>
      </c>
      <c r="AD506" s="230" t="e">
        <f>T506-HLOOKUP(V506,Minimas!$C$3:$CD$12,4,FALSE)</f>
        <v>#N/A</v>
      </c>
      <c r="AE506" s="230" t="e">
        <f>T506-HLOOKUP(V506,Minimas!$C$3:$CD$12,5,FALSE)</f>
        <v>#N/A</v>
      </c>
      <c r="AF506" s="230" t="e">
        <f>T506-HLOOKUP(V506,Minimas!$C$3:$CD$12,6,FALSE)</f>
        <v>#N/A</v>
      </c>
      <c r="AG506" s="230" t="e">
        <f>T506-HLOOKUP(V506,Minimas!$C$3:$CD$12,7,FALSE)</f>
        <v>#N/A</v>
      </c>
      <c r="AH506" s="230" t="e">
        <f>T506-HLOOKUP(V506,Minimas!$C$3:$CD$12,8,FALSE)</f>
        <v>#N/A</v>
      </c>
      <c r="AI506" s="230" t="e">
        <f>T506-HLOOKUP(V506,Minimas!$C$3:$CD$12,9,FALSE)</f>
        <v>#N/A</v>
      </c>
      <c r="AJ506" s="230" t="e">
        <f>T506-HLOOKUP(V506,Minimas!$C$3:$CD$12,10,FALSE)</f>
        <v>#N/A</v>
      </c>
      <c r="AK506" s="231" t="str">
        <f t="shared" si="115"/>
        <v xml:space="preserve"> </v>
      </c>
      <c r="AL506" s="232"/>
      <c r="AM506" s="232" t="str">
        <f t="shared" si="116"/>
        <v xml:space="preserve"> </v>
      </c>
      <c r="AN506" s="232" t="str">
        <f t="shared" si="117"/>
        <v xml:space="preserve"> </v>
      </c>
    </row>
    <row r="507" spans="28:40" ht="14" x14ac:dyDescent="0.25">
      <c r="AB507" s="230" t="e">
        <f>T507-HLOOKUP(V507,Minimas!$C$3:$CD$12,2,FALSE)</f>
        <v>#N/A</v>
      </c>
      <c r="AC507" s="230" t="e">
        <f>T507-HLOOKUP(V507,Minimas!$C$3:$CD$12,3,FALSE)</f>
        <v>#N/A</v>
      </c>
      <c r="AD507" s="230" t="e">
        <f>T507-HLOOKUP(V507,Minimas!$C$3:$CD$12,4,FALSE)</f>
        <v>#N/A</v>
      </c>
      <c r="AE507" s="230" t="e">
        <f>T507-HLOOKUP(V507,Minimas!$C$3:$CD$12,5,FALSE)</f>
        <v>#N/A</v>
      </c>
      <c r="AF507" s="230" t="e">
        <f>T507-HLOOKUP(V507,Minimas!$C$3:$CD$12,6,FALSE)</f>
        <v>#N/A</v>
      </c>
      <c r="AG507" s="230" t="e">
        <f>T507-HLOOKUP(V507,Minimas!$C$3:$CD$12,7,FALSE)</f>
        <v>#N/A</v>
      </c>
      <c r="AH507" s="230" t="e">
        <f>T507-HLOOKUP(V507,Minimas!$C$3:$CD$12,8,FALSE)</f>
        <v>#N/A</v>
      </c>
      <c r="AI507" s="230" t="e">
        <f>T507-HLOOKUP(V507,Minimas!$C$3:$CD$12,9,FALSE)</f>
        <v>#N/A</v>
      </c>
      <c r="AJ507" s="230" t="e">
        <f>T507-HLOOKUP(V507,Minimas!$C$3:$CD$12,10,FALSE)</f>
        <v>#N/A</v>
      </c>
      <c r="AK507" s="231" t="str">
        <f t="shared" ref="AK507:AK570" si="118">IF(E507=0," ",IF(AJ507&gt;=0,$AJ$5,IF(AI507&gt;=0,$AI$5,IF(AH507&gt;=0,$AH$5,IF(AG507&gt;=0,$AG$5,IF(AF507&gt;=0,$AF$5,IF(AE507&gt;=0,$AE$5,IF(AD507&gt;=0,$AD$5,IF(AC507&gt;=0,$AC$5,$AB$5)))))))))</f>
        <v xml:space="preserve"> </v>
      </c>
      <c r="AL507" s="232"/>
      <c r="AM507" s="232" t="str">
        <f t="shared" ref="AM507:AM570" si="119">IF(AK507="","",AK507)</f>
        <v xml:space="preserve"> </v>
      </c>
      <c r="AN507" s="232" t="str">
        <f t="shared" ref="AN507:AN570" si="120">IF(E507=0," ",IF(AJ507&gt;=0,AJ507,IF(AI507&gt;=0,AI507,IF(AH507&gt;=0,AH507,IF(AG507&gt;=0,AG507,IF(AF507&gt;=0,AF507,IF(AE507&gt;=0,AE507,IF(AD507&gt;=0,AD507,IF(AC507&gt;=0,AC507,AB507)))))))))</f>
        <v xml:space="preserve"> </v>
      </c>
    </row>
    <row r="508" spans="28:40" ht="14" x14ac:dyDescent="0.25">
      <c r="AB508" s="230" t="e">
        <f>T508-HLOOKUP(V508,Minimas!$C$3:$CD$12,2,FALSE)</f>
        <v>#N/A</v>
      </c>
      <c r="AC508" s="230" t="e">
        <f>T508-HLOOKUP(V508,Minimas!$C$3:$CD$12,3,FALSE)</f>
        <v>#N/A</v>
      </c>
      <c r="AD508" s="230" t="e">
        <f>T508-HLOOKUP(V508,Minimas!$C$3:$CD$12,4,FALSE)</f>
        <v>#N/A</v>
      </c>
      <c r="AE508" s="230" t="e">
        <f>T508-HLOOKUP(V508,Minimas!$C$3:$CD$12,5,FALSE)</f>
        <v>#N/A</v>
      </c>
      <c r="AF508" s="230" t="e">
        <f>T508-HLOOKUP(V508,Minimas!$C$3:$CD$12,6,FALSE)</f>
        <v>#N/A</v>
      </c>
      <c r="AG508" s="230" t="e">
        <f>T508-HLOOKUP(V508,Minimas!$C$3:$CD$12,7,FALSE)</f>
        <v>#N/A</v>
      </c>
      <c r="AH508" s="230" t="e">
        <f>T508-HLOOKUP(V508,Minimas!$C$3:$CD$12,8,FALSE)</f>
        <v>#N/A</v>
      </c>
      <c r="AI508" s="230" t="e">
        <f>T508-HLOOKUP(V508,Minimas!$C$3:$CD$12,9,FALSE)</f>
        <v>#N/A</v>
      </c>
      <c r="AJ508" s="230" t="e">
        <f>T508-HLOOKUP(V508,Minimas!$C$3:$CD$12,10,FALSE)</f>
        <v>#N/A</v>
      </c>
      <c r="AK508" s="231" t="str">
        <f t="shared" si="118"/>
        <v xml:space="preserve"> </v>
      </c>
      <c r="AL508" s="232"/>
      <c r="AM508" s="232" t="str">
        <f t="shared" si="119"/>
        <v xml:space="preserve"> </v>
      </c>
      <c r="AN508" s="232" t="str">
        <f t="shared" si="120"/>
        <v xml:space="preserve"> </v>
      </c>
    </row>
    <row r="509" spans="28:40" ht="14" x14ac:dyDescent="0.25">
      <c r="AB509" s="230" t="e">
        <f>T509-HLOOKUP(V509,Minimas!$C$3:$CD$12,2,FALSE)</f>
        <v>#N/A</v>
      </c>
      <c r="AC509" s="230" t="e">
        <f>T509-HLOOKUP(V509,Minimas!$C$3:$CD$12,3,FALSE)</f>
        <v>#N/A</v>
      </c>
      <c r="AD509" s="230" t="e">
        <f>T509-HLOOKUP(V509,Minimas!$C$3:$CD$12,4,FALSE)</f>
        <v>#N/A</v>
      </c>
      <c r="AE509" s="230" t="e">
        <f>T509-HLOOKUP(V509,Minimas!$C$3:$CD$12,5,FALSE)</f>
        <v>#N/A</v>
      </c>
      <c r="AF509" s="230" t="e">
        <f>T509-HLOOKUP(V509,Minimas!$C$3:$CD$12,6,FALSE)</f>
        <v>#N/A</v>
      </c>
      <c r="AG509" s="230" t="e">
        <f>T509-HLOOKUP(V509,Minimas!$C$3:$CD$12,7,FALSE)</f>
        <v>#N/A</v>
      </c>
      <c r="AH509" s="230" t="e">
        <f>T509-HLOOKUP(V509,Minimas!$C$3:$CD$12,8,FALSE)</f>
        <v>#N/A</v>
      </c>
      <c r="AI509" s="230" t="e">
        <f>T509-HLOOKUP(V509,Minimas!$C$3:$CD$12,9,FALSE)</f>
        <v>#N/A</v>
      </c>
      <c r="AJ509" s="230" t="e">
        <f>T509-HLOOKUP(V509,Minimas!$C$3:$CD$12,10,FALSE)</f>
        <v>#N/A</v>
      </c>
      <c r="AK509" s="231" t="str">
        <f t="shared" si="118"/>
        <v xml:space="preserve"> </v>
      </c>
      <c r="AL509" s="232"/>
      <c r="AM509" s="232" t="str">
        <f t="shared" si="119"/>
        <v xml:space="preserve"> </v>
      </c>
      <c r="AN509" s="232" t="str">
        <f t="shared" si="120"/>
        <v xml:space="preserve"> </v>
      </c>
    </row>
    <row r="510" spans="28:40" ht="14" x14ac:dyDescent="0.25">
      <c r="AB510" s="230" t="e">
        <f>T510-HLOOKUP(V510,Minimas!$C$3:$CD$12,2,FALSE)</f>
        <v>#N/A</v>
      </c>
      <c r="AC510" s="230" t="e">
        <f>T510-HLOOKUP(V510,Minimas!$C$3:$CD$12,3,FALSE)</f>
        <v>#N/A</v>
      </c>
      <c r="AD510" s="230" t="e">
        <f>T510-HLOOKUP(V510,Minimas!$C$3:$CD$12,4,FALSE)</f>
        <v>#N/A</v>
      </c>
      <c r="AE510" s="230" t="e">
        <f>T510-HLOOKUP(V510,Minimas!$C$3:$CD$12,5,FALSE)</f>
        <v>#N/A</v>
      </c>
      <c r="AF510" s="230" t="e">
        <f>T510-HLOOKUP(V510,Minimas!$C$3:$CD$12,6,FALSE)</f>
        <v>#N/A</v>
      </c>
      <c r="AG510" s="230" t="e">
        <f>T510-HLOOKUP(V510,Minimas!$C$3:$CD$12,7,FALSE)</f>
        <v>#N/A</v>
      </c>
      <c r="AH510" s="230" t="e">
        <f>T510-HLOOKUP(V510,Minimas!$C$3:$CD$12,8,FALSE)</f>
        <v>#N/A</v>
      </c>
      <c r="AI510" s="230" t="e">
        <f>T510-HLOOKUP(V510,Minimas!$C$3:$CD$12,9,FALSE)</f>
        <v>#N/A</v>
      </c>
      <c r="AJ510" s="230" t="e">
        <f>T510-HLOOKUP(V510,Minimas!$C$3:$CD$12,10,FALSE)</f>
        <v>#N/A</v>
      </c>
      <c r="AK510" s="231" t="str">
        <f t="shared" si="118"/>
        <v xml:space="preserve"> </v>
      </c>
      <c r="AL510" s="232"/>
      <c r="AM510" s="232" t="str">
        <f t="shared" si="119"/>
        <v xml:space="preserve"> </v>
      </c>
      <c r="AN510" s="232" t="str">
        <f t="shared" si="120"/>
        <v xml:space="preserve"> </v>
      </c>
    </row>
    <row r="511" spans="28:40" ht="14" x14ac:dyDescent="0.25">
      <c r="AB511" s="230" t="e">
        <f>T511-HLOOKUP(V511,Minimas!$C$3:$CD$12,2,FALSE)</f>
        <v>#N/A</v>
      </c>
      <c r="AC511" s="230" t="e">
        <f>T511-HLOOKUP(V511,Minimas!$C$3:$CD$12,3,FALSE)</f>
        <v>#N/A</v>
      </c>
      <c r="AD511" s="230" t="e">
        <f>T511-HLOOKUP(V511,Minimas!$C$3:$CD$12,4,FALSE)</f>
        <v>#N/A</v>
      </c>
      <c r="AE511" s="230" t="e">
        <f>T511-HLOOKUP(V511,Minimas!$C$3:$CD$12,5,FALSE)</f>
        <v>#N/A</v>
      </c>
      <c r="AF511" s="230" t="e">
        <f>T511-HLOOKUP(V511,Minimas!$C$3:$CD$12,6,FALSE)</f>
        <v>#N/A</v>
      </c>
      <c r="AG511" s="230" t="e">
        <f>T511-HLOOKUP(V511,Minimas!$C$3:$CD$12,7,FALSE)</f>
        <v>#N/A</v>
      </c>
      <c r="AH511" s="230" t="e">
        <f>T511-HLOOKUP(V511,Minimas!$C$3:$CD$12,8,FALSE)</f>
        <v>#N/A</v>
      </c>
      <c r="AI511" s="230" t="e">
        <f>T511-HLOOKUP(V511,Minimas!$C$3:$CD$12,9,FALSE)</f>
        <v>#N/A</v>
      </c>
      <c r="AJ511" s="230" t="e">
        <f>T511-HLOOKUP(V511,Minimas!$C$3:$CD$12,10,FALSE)</f>
        <v>#N/A</v>
      </c>
      <c r="AK511" s="231" t="str">
        <f t="shared" si="118"/>
        <v xml:space="preserve"> </v>
      </c>
      <c r="AL511" s="232"/>
      <c r="AM511" s="232" t="str">
        <f t="shared" si="119"/>
        <v xml:space="preserve"> </v>
      </c>
      <c r="AN511" s="232" t="str">
        <f t="shared" si="120"/>
        <v xml:space="preserve"> </v>
      </c>
    </row>
    <row r="512" spans="28:40" ht="14" x14ac:dyDescent="0.25">
      <c r="AB512" s="230" t="e">
        <f>T512-HLOOKUP(V512,Minimas!$C$3:$CD$12,2,FALSE)</f>
        <v>#N/A</v>
      </c>
      <c r="AC512" s="230" t="e">
        <f>T512-HLOOKUP(V512,Minimas!$C$3:$CD$12,3,FALSE)</f>
        <v>#N/A</v>
      </c>
      <c r="AD512" s="230" t="e">
        <f>T512-HLOOKUP(V512,Minimas!$C$3:$CD$12,4,FALSE)</f>
        <v>#N/A</v>
      </c>
      <c r="AE512" s="230" t="e">
        <f>T512-HLOOKUP(V512,Minimas!$C$3:$CD$12,5,FALSE)</f>
        <v>#N/A</v>
      </c>
      <c r="AF512" s="230" t="e">
        <f>T512-HLOOKUP(V512,Minimas!$C$3:$CD$12,6,FALSE)</f>
        <v>#N/A</v>
      </c>
      <c r="AG512" s="230" t="e">
        <f>T512-HLOOKUP(V512,Minimas!$C$3:$CD$12,7,FALSE)</f>
        <v>#N/A</v>
      </c>
      <c r="AH512" s="230" t="e">
        <f>T512-HLOOKUP(V512,Minimas!$C$3:$CD$12,8,FALSE)</f>
        <v>#N/A</v>
      </c>
      <c r="AI512" s="230" t="e">
        <f>T512-HLOOKUP(V512,Minimas!$C$3:$CD$12,9,FALSE)</f>
        <v>#N/A</v>
      </c>
      <c r="AJ512" s="230" t="e">
        <f>T512-HLOOKUP(V512,Minimas!$C$3:$CD$12,10,FALSE)</f>
        <v>#N/A</v>
      </c>
      <c r="AK512" s="231" t="str">
        <f t="shared" si="118"/>
        <v xml:space="preserve"> </v>
      </c>
      <c r="AL512" s="232"/>
      <c r="AM512" s="232" t="str">
        <f t="shared" si="119"/>
        <v xml:space="preserve"> </v>
      </c>
      <c r="AN512" s="232" t="str">
        <f t="shared" si="120"/>
        <v xml:space="preserve"> </v>
      </c>
    </row>
    <row r="513" spans="28:40" ht="14" x14ac:dyDescent="0.25">
      <c r="AB513" s="230" t="e">
        <f>T513-HLOOKUP(V513,Minimas!$C$3:$CD$12,2,FALSE)</f>
        <v>#N/A</v>
      </c>
      <c r="AC513" s="230" t="e">
        <f>T513-HLOOKUP(V513,Minimas!$C$3:$CD$12,3,FALSE)</f>
        <v>#N/A</v>
      </c>
      <c r="AD513" s="230" t="e">
        <f>T513-HLOOKUP(V513,Minimas!$C$3:$CD$12,4,FALSE)</f>
        <v>#N/A</v>
      </c>
      <c r="AE513" s="230" t="e">
        <f>T513-HLOOKUP(V513,Minimas!$C$3:$CD$12,5,FALSE)</f>
        <v>#N/A</v>
      </c>
      <c r="AF513" s="230" t="e">
        <f>T513-HLOOKUP(V513,Minimas!$C$3:$CD$12,6,FALSE)</f>
        <v>#N/A</v>
      </c>
      <c r="AG513" s="230" t="e">
        <f>T513-HLOOKUP(V513,Minimas!$C$3:$CD$12,7,FALSE)</f>
        <v>#N/A</v>
      </c>
      <c r="AH513" s="230" t="e">
        <f>T513-HLOOKUP(V513,Minimas!$C$3:$CD$12,8,FALSE)</f>
        <v>#N/A</v>
      </c>
      <c r="AI513" s="230" t="e">
        <f>T513-HLOOKUP(V513,Minimas!$C$3:$CD$12,9,FALSE)</f>
        <v>#N/A</v>
      </c>
      <c r="AJ513" s="230" t="e">
        <f>T513-HLOOKUP(V513,Minimas!$C$3:$CD$12,10,FALSE)</f>
        <v>#N/A</v>
      </c>
      <c r="AK513" s="231" t="str">
        <f t="shared" si="118"/>
        <v xml:space="preserve"> </v>
      </c>
      <c r="AL513" s="232"/>
      <c r="AM513" s="232" t="str">
        <f t="shared" si="119"/>
        <v xml:space="preserve"> </v>
      </c>
      <c r="AN513" s="232" t="str">
        <f t="shared" si="120"/>
        <v xml:space="preserve"> </v>
      </c>
    </row>
    <row r="514" spans="28:40" ht="14" x14ac:dyDescent="0.25">
      <c r="AB514" s="230" t="e">
        <f>T514-HLOOKUP(V514,Minimas!$C$3:$CD$12,2,FALSE)</f>
        <v>#N/A</v>
      </c>
      <c r="AC514" s="230" t="e">
        <f>T514-HLOOKUP(V514,Minimas!$C$3:$CD$12,3,FALSE)</f>
        <v>#N/A</v>
      </c>
      <c r="AD514" s="230" t="e">
        <f>T514-HLOOKUP(V514,Minimas!$C$3:$CD$12,4,FALSE)</f>
        <v>#N/A</v>
      </c>
      <c r="AE514" s="230" t="e">
        <f>T514-HLOOKUP(V514,Minimas!$C$3:$CD$12,5,FALSE)</f>
        <v>#N/A</v>
      </c>
      <c r="AF514" s="230" t="e">
        <f>T514-HLOOKUP(V514,Minimas!$C$3:$CD$12,6,FALSE)</f>
        <v>#N/A</v>
      </c>
      <c r="AG514" s="230" t="e">
        <f>T514-HLOOKUP(V514,Minimas!$C$3:$CD$12,7,FALSE)</f>
        <v>#N/A</v>
      </c>
      <c r="AH514" s="230" t="e">
        <f>T514-HLOOKUP(V514,Minimas!$C$3:$CD$12,8,FALSE)</f>
        <v>#N/A</v>
      </c>
      <c r="AI514" s="230" t="e">
        <f>T514-HLOOKUP(V514,Minimas!$C$3:$CD$12,9,FALSE)</f>
        <v>#N/A</v>
      </c>
      <c r="AJ514" s="230" t="e">
        <f>T514-HLOOKUP(V514,Minimas!$C$3:$CD$12,10,FALSE)</f>
        <v>#N/A</v>
      </c>
      <c r="AK514" s="231" t="str">
        <f t="shared" si="118"/>
        <v xml:space="preserve"> </v>
      </c>
      <c r="AL514" s="232"/>
      <c r="AM514" s="232" t="str">
        <f t="shared" si="119"/>
        <v xml:space="preserve"> </v>
      </c>
      <c r="AN514" s="232" t="str">
        <f t="shared" si="120"/>
        <v xml:space="preserve"> </v>
      </c>
    </row>
    <row r="515" spans="28:40" ht="14" x14ac:dyDescent="0.25">
      <c r="AB515" s="230" t="e">
        <f>T515-HLOOKUP(V515,Minimas!$C$3:$CD$12,2,FALSE)</f>
        <v>#N/A</v>
      </c>
      <c r="AC515" s="230" t="e">
        <f>T515-HLOOKUP(V515,Minimas!$C$3:$CD$12,3,FALSE)</f>
        <v>#N/A</v>
      </c>
      <c r="AD515" s="230" t="e">
        <f>T515-HLOOKUP(V515,Minimas!$C$3:$CD$12,4,FALSE)</f>
        <v>#N/A</v>
      </c>
      <c r="AE515" s="230" t="e">
        <f>T515-HLOOKUP(V515,Minimas!$C$3:$CD$12,5,FALSE)</f>
        <v>#N/A</v>
      </c>
      <c r="AF515" s="230" t="e">
        <f>T515-HLOOKUP(V515,Minimas!$C$3:$CD$12,6,FALSE)</f>
        <v>#N/A</v>
      </c>
      <c r="AG515" s="230" t="e">
        <f>T515-HLOOKUP(V515,Minimas!$C$3:$CD$12,7,FALSE)</f>
        <v>#N/A</v>
      </c>
      <c r="AH515" s="230" t="e">
        <f>T515-HLOOKUP(V515,Minimas!$C$3:$CD$12,8,FALSE)</f>
        <v>#N/A</v>
      </c>
      <c r="AI515" s="230" t="e">
        <f>T515-HLOOKUP(V515,Minimas!$C$3:$CD$12,9,FALSE)</f>
        <v>#N/A</v>
      </c>
      <c r="AJ515" s="230" t="e">
        <f>T515-HLOOKUP(V515,Minimas!$C$3:$CD$12,10,FALSE)</f>
        <v>#N/A</v>
      </c>
      <c r="AK515" s="231" t="str">
        <f t="shared" si="118"/>
        <v xml:space="preserve"> </v>
      </c>
      <c r="AL515" s="232"/>
      <c r="AM515" s="232" t="str">
        <f t="shared" si="119"/>
        <v xml:space="preserve"> </v>
      </c>
      <c r="AN515" s="232" t="str">
        <f t="shared" si="120"/>
        <v xml:space="preserve"> </v>
      </c>
    </row>
    <row r="516" spans="28:40" ht="14" x14ac:dyDescent="0.25">
      <c r="AB516" s="230" t="e">
        <f>T516-HLOOKUP(V516,Minimas!$C$3:$CD$12,2,FALSE)</f>
        <v>#N/A</v>
      </c>
      <c r="AC516" s="230" t="e">
        <f>T516-HLOOKUP(V516,Minimas!$C$3:$CD$12,3,FALSE)</f>
        <v>#N/A</v>
      </c>
      <c r="AD516" s="230" t="e">
        <f>T516-HLOOKUP(V516,Minimas!$C$3:$CD$12,4,FALSE)</f>
        <v>#N/A</v>
      </c>
      <c r="AE516" s="230" t="e">
        <f>T516-HLOOKUP(V516,Minimas!$C$3:$CD$12,5,FALSE)</f>
        <v>#N/A</v>
      </c>
      <c r="AF516" s="230" t="e">
        <f>T516-HLOOKUP(V516,Minimas!$C$3:$CD$12,6,FALSE)</f>
        <v>#N/A</v>
      </c>
      <c r="AG516" s="230" t="e">
        <f>T516-HLOOKUP(V516,Minimas!$C$3:$CD$12,7,FALSE)</f>
        <v>#N/A</v>
      </c>
      <c r="AH516" s="230" t="e">
        <f>T516-HLOOKUP(V516,Minimas!$C$3:$CD$12,8,FALSE)</f>
        <v>#N/A</v>
      </c>
      <c r="AI516" s="230" t="e">
        <f>T516-HLOOKUP(V516,Minimas!$C$3:$CD$12,9,FALSE)</f>
        <v>#N/A</v>
      </c>
      <c r="AJ516" s="230" t="e">
        <f>T516-HLOOKUP(V516,Minimas!$C$3:$CD$12,10,FALSE)</f>
        <v>#N/A</v>
      </c>
      <c r="AK516" s="231" t="str">
        <f t="shared" si="118"/>
        <v xml:space="preserve"> </v>
      </c>
      <c r="AL516" s="232"/>
      <c r="AM516" s="232" t="str">
        <f t="shared" si="119"/>
        <v xml:space="preserve"> </v>
      </c>
      <c r="AN516" s="232" t="str">
        <f t="shared" si="120"/>
        <v xml:space="preserve"> </v>
      </c>
    </row>
    <row r="517" spans="28:40" ht="14" x14ac:dyDescent="0.25">
      <c r="AB517" s="230" t="e">
        <f>T517-HLOOKUP(V517,Minimas!$C$3:$CD$12,2,FALSE)</f>
        <v>#N/A</v>
      </c>
      <c r="AC517" s="230" t="e">
        <f>T517-HLOOKUP(V517,Minimas!$C$3:$CD$12,3,FALSE)</f>
        <v>#N/A</v>
      </c>
      <c r="AD517" s="230" t="e">
        <f>T517-HLOOKUP(V517,Minimas!$C$3:$CD$12,4,FALSE)</f>
        <v>#N/A</v>
      </c>
      <c r="AE517" s="230" t="e">
        <f>T517-HLOOKUP(V517,Minimas!$C$3:$CD$12,5,FALSE)</f>
        <v>#N/A</v>
      </c>
      <c r="AF517" s="230" t="e">
        <f>T517-HLOOKUP(V517,Minimas!$C$3:$CD$12,6,FALSE)</f>
        <v>#N/A</v>
      </c>
      <c r="AG517" s="230" t="e">
        <f>T517-HLOOKUP(V517,Minimas!$C$3:$CD$12,7,FALSE)</f>
        <v>#N/A</v>
      </c>
      <c r="AH517" s="230" t="e">
        <f>T517-HLOOKUP(V517,Minimas!$C$3:$CD$12,8,FALSE)</f>
        <v>#N/A</v>
      </c>
      <c r="AI517" s="230" t="e">
        <f>T517-HLOOKUP(V517,Minimas!$C$3:$CD$12,9,FALSE)</f>
        <v>#N/A</v>
      </c>
      <c r="AJ517" s="230" t="e">
        <f>T517-HLOOKUP(V517,Minimas!$C$3:$CD$12,10,FALSE)</f>
        <v>#N/A</v>
      </c>
      <c r="AK517" s="231" t="str">
        <f t="shared" si="118"/>
        <v xml:space="preserve"> </v>
      </c>
      <c r="AL517" s="232"/>
      <c r="AM517" s="232" t="str">
        <f t="shared" si="119"/>
        <v xml:space="preserve"> </v>
      </c>
      <c r="AN517" s="232" t="str">
        <f t="shared" si="120"/>
        <v xml:space="preserve"> </v>
      </c>
    </row>
    <row r="518" spans="28:40" ht="14" x14ac:dyDescent="0.25">
      <c r="AB518" s="230" t="e">
        <f>T518-HLOOKUP(V518,Minimas!$C$3:$CD$12,2,FALSE)</f>
        <v>#N/A</v>
      </c>
      <c r="AC518" s="230" t="e">
        <f>T518-HLOOKUP(V518,Minimas!$C$3:$CD$12,3,FALSE)</f>
        <v>#N/A</v>
      </c>
      <c r="AD518" s="230" t="e">
        <f>T518-HLOOKUP(V518,Minimas!$C$3:$CD$12,4,FALSE)</f>
        <v>#N/A</v>
      </c>
      <c r="AE518" s="230" t="e">
        <f>T518-HLOOKUP(V518,Minimas!$C$3:$CD$12,5,FALSE)</f>
        <v>#N/A</v>
      </c>
      <c r="AF518" s="230" t="e">
        <f>T518-HLOOKUP(V518,Minimas!$C$3:$CD$12,6,FALSE)</f>
        <v>#N/A</v>
      </c>
      <c r="AG518" s="230" t="e">
        <f>T518-HLOOKUP(V518,Minimas!$C$3:$CD$12,7,FALSE)</f>
        <v>#N/A</v>
      </c>
      <c r="AH518" s="230" t="e">
        <f>T518-HLOOKUP(V518,Minimas!$C$3:$CD$12,8,FALSE)</f>
        <v>#N/A</v>
      </c>
      <c r="AI518" s="230" t="e">
        <f>T518-HLOOKUP(V518,Minimas!$C$3:$CD$12,9,FALSE)</f>
        <v>#N/A</v>
      </c>
      <c r="AJ518" s="230" t="e">
        <f>T518-HLOOKUP(V518,Minimas!$C$3:$CD$12,10,FALSE)</f>
        <v>#N/A</v>
      </c>
      <c r="AK518" s="231" t="str">
        <f t="shared" si="118"/>
        <v xml:space="preserve"> </v>
      </c>
      <c r="AL518" s="232"/>
      <c r="AM518" s="232" t="str">
        <f t="shared" si="119"/>
        <v xml:space="preserve"> </v>
      </c>
      <c r="AN518" s="232" t="str">
        <f t="shared" si="120"/>
        <v xml:space="preserve"> </v>
      </c>
    </row>
    <row r="519" spans="28:40" ht="14" x14ac:dyDescent="0.25">
      <c r="AB519" s="230" t="e">
        <f>T519-HLOOKUP(V519,Minimas!$C$3:$CD$12,2,FALSE)</f>
        <v>#N/A</v>
      </c>
      <c r="AC519" s="230" t="e">
        <f>T519-HLOOKUP(V519,Minimas!$C$3:$CD$12,3,FALSE)</f>
        <v>#N/A</v>
      </c>
      <c r="AD519" s="230" t="e">
        <f>T519-HLOOKUP(V519,Minimas!$C$3:$CD$12,4,FALSE)</f>
        <v>#N/A</v>
      </c>
      <c r="AE519" s="230" t="e">
        <f>T519-HLOOKUP(V519,Minimas!$C$3:$CD$12,5,FALSE)</f>
        <v>#N/A</v>
      </c>
      <c r="AF519" s="230" t="e">
        <f>T519-HLOOKUP(V519,Minimas!$C$3:$CD$12,6,FALSE)</f>
        <v>#N/A</v>
      </c>
      <c r="AG519" s="230" t="e">
        <f>T519-HLOOKUP(V519,Minimas!$C$3:$CD$12,7,FALSE)</f>
        <v>#N/A</v>
      </c>
      <c r="AH519" s="230" t="e">
        <f>T519-HLOOKUP(V519,Minimas!$C$3:$CD$12,8,FALSE)</f>
        <v>#N/A</v>
      </c>
      <c r="AI519" s="230" t="e">
        <f>T519-HLOOKUP(V519,Minimas!$C$3:$CD$12,9,FALSE)</f>
        <v>#N/A</v>
      </c>
      <c r="AJ519" s="230" t="e">
        <f>T519-HLOOKUP(V519,Minimas!$C$3:$CD$12,10,FALSE)</f>
        <v>#N/A</v>
      </c>
      <c r="AK519" s="231" t="str">
        <f t="shared" si="118"/>
        <v xml:space="preserve"> </v>
      </c>
      <c r="AL519" s="232"/>
      <c r="AM519" s="232" t="str">
        <f t="shared" si="119"/>
        <v xml:space="preserve"> </v>
      </c>
      <c r="AN519" s="232" t="str">
        <f t="shared" si="120"/>
        <v xml:space="preserve"> </v>
      </c>
    </row>
    <row r="520" spans="28:40" ht="14" x14ac:dyDescent="0.25">
      <c r="AB520" s="230" t="e">
        <f>T520-HLOOKUP(V520,Minimas!$C$3:$CD$12,2,FALSE)</f>
        <v>#N/A</v>
      </c>
      <c r="AC520" s="230" t="e">
        <f>T520-HLOOKUP(V520,Minimas!$C$3:$CD$12,3,FALSE)</f>
        <v>#N/A</v>
      </c>
      <c r="AD520" s="230" t="e">
        <f>T520-HLOOKUP(V520,Minimas!$C$3:$CD$12,4,FALSE)</f>
        <v>#N/A</v>
      </c>
      <c r="AE520" s="230" t="e">
        <f>T520-HLOOKUP(V520,Minimas!$C$3:$CD$12,5,FALSE)</f>
        <v>#N/A</v>
      </c>
      <c r="AF520" s="230" t="e">
        <f>T520-HLOOKUP(V520,Minimas!$C$3:$CD$12,6,FALSE)</f>
        <v>#N/A</v>
      </c>
      <c r="AG520" s="230" t="e">
        <f>T520-HLOOKUP(V520,Minimas!$C$3:$CD$12,7,FALSE)</f>
        <v>#N/A</v>
      </c>
      <c r="AH520" s="230" t="e">
        <f>T520-HLOOKUP(V520,Minimas!$C$3:$CD$12,8,FALSE)</f>
        <v>#N/A</v>
      </c>
      <c r="AI520" s="230" t="e">
        <f>T520-HLOOKUP(V520,Minimas!$C$3:$CD$12,9,FALSE)</f>
        <v>#N/A</v>
      </c>
      <c r="AJ520" s="230" t="e">
        <f>T520-HLOOKUP(V520,Minimas!$C$3:$CD$12,10,FALSE)</f>
        <v>#N/A</v>
      </c>
      <c r="AK520" s="231" t="str">
        <f t="shared" si="118"/>
        <v xml:space="preserve"> </v>
      </c>
      <c r="AL520" s="232"/>
      <c r="AM520" s="232" t="str">
        <f t="shared" si="119"/>
        <v xml:space="preserve"> </v>
      </c>
      <c r="AN520" s="232" t="str">
        <f t="shared" si="120"/>
        <v xml:space="preserve"> </v>
      </c>
    </row>
    <row r="521" spans="28:40" ht="14" x14ac:dyDescent="0.25">
      <c r="AB521" s="230" t="e">
        <f>T521-HLOOKUP(V521,Minimas!$C$3:$CD$12,2,FALSE)</f>
        <v>#N/A</v>
      </c>
      <c r="AC521" s="230" t="e">
        <f>T521-HLOOKUP(V521,Minimas!$C$3:$CD$12,3,FALSE)</f>
        <v>#N/A</v>
      </c>
      <c r="AD521" s="230" t="e">
        <f>T521-HLOOKUP(V521,Minimas!$C$3:$CD$12,4,FALSE)</f>
        <v>#N/A</v>
      </c>
      <c r="AE521" s="230" t="e">
        <f>T521-HLOOKUP(V521,Minimas!$C$3:$CD$12,5,FALSE)</f>
        <v>#N/A</v>
      </c>
      <c r="AF521" s="230" t="e">
        <f>T521-HLOOKUP(V521,Minimas!$C$3:$CD$12,6,FALSE)</f>
        <v>#N/A</v>
      </c>
      <c r="AG521" s="230" t="e">
        <f>T521-HLOOKUP(V521,Minimas!$C$3:$CD$12,7,FALSE)</f>
        <v>#N/A</v>
      </c>
      <c r="AH521" s="230" t="e">
        <f>T521-HLOOKUP(V521,Minimas!$C$3:$CD$12,8,FALSE)</f>
        <v>#N/A</v>
      </c>
      <c r="AI521" s="230" t="e">
        <f>T521-HLOOKUP(V521,Minimas!$C$3:$CD$12,9,FALSE)</f>
        <v>#N/A</v>
      </c>
      <c r="AJ521" s="230" t="e">
        <f>T521-HLOOKUP(V521,Minimas!$C$3:$CD$12,10,FALSE)</f>
        <v>#N/A</v>
      </c>
      <c r="AK521" s="231" t="str">
        <f t="shared" si="118"/>
        <v xml:space="preserve"> </v>
      </c>
      <c r="AL521" s="232"/>
      <c r="AM521" s="232" t="str">
        <f t="shared" si="119"/>
        <v xml:space="preserve"> </v>
      </c>
      <c r="AN521" s="232" t="str">
        <f t="shared" si="120"/>
        <v xml:space="preserve"> </v>
      </c>
    </row>
    <row r="522" spans="28:40" ht="14" x14ac:dyDescent="0.25">
      <c r="AB522" s="230" t="e">
        <f>T522-HLOOKUP(V522,Minimas!$C$3:$CD$12,2,FALSE)</f>
        <v>#N/A</v>
      </c>
      <c r="AC522" s="230" t="e">
        <f>T522-HLOOKUP(V522,Minimas!$C$3:$CD$12,3,FALSE)</f>
        <v>#N/A</v>
      </c>
      <c r="AD522" s="230" t="e">
        <f>T522-HLOOKUP(V522,Minimas!$C$3:$CD$12,4,FALSE)</f>
        <v>#N/A</v>
      </c>
      <c r="AE522" s="230" t="e">
        <f>T522-HLOOKUP(V522,Minimas!$C$3:$CD$12,5,FALSE)</f>
        <v>#N/A</v>
      </c>
      <c r="AF522" s="230" t="e">
        <f>T522-HLOOKUP(V522,Minimas!$C$3:$CD$12,6,FALSE)</f>
        <v>#N/A</v>
      </c>
      <c r="AG522" s="230" t="e">
        <f>T522-HLOOKUP(V522,Minimas!$C$3:$CD$12,7,FALSE)</f>
        <v>#N/A</v>
      </c>
      <c r="AH522" s="230" t="e">
        <f>T522-HLOOKUP(V522,Minimas!$C$3:$CD$12,8,FALSE)</f>
        <v>#N/A</v>
      </c>
      <c r="AI522" s="230" t="e">
        <f>T522-HLOOKUP(V522,Minimas!$C$3:$CD$12,9,FALSE)</f>
        <v>#N/A</v>
      </c>
      <c r="AJ522" s="230" t="e">
        <f>T522-HLOOKUP(V522,Minimas!$C$3:$CD$12,10,FALSE)</f>
        <v>#N/A</v>
      </c>
      <c r="AK522" s="231" t="str">
        <f t="shared" si="118"/>
        <v xml:space="preserve"> </v>
      </c>
      <c r="AL522" s="232"/>
      <c r="AM522" s="232" t="str">
        <f t="shared" si="119"/>
        <v xml:space="preserve"> </v>
      </c>
      <c r="AN522" s="232" t="str">
        <f t="shared" si="120"/>
        <v xml:space="preserve"> </v>
      </c>
    </row>
    <row r="523" spans="28:40" ht="14" x14ac:dyDescent="0.25">
      <c r="AB523" s="230" t="e">
        <f>T523-HLOOKUP(V523,Minimas!$C$3:$CD$12,2,FALSE)</f>
        <v>#N/A</v>
      </c>
      <c r="AC523" s="230" t="e">
        <f>T523-HLOOKUP(V523,Minimas!$C$3:$CD$12,3,FALSE)</f>
        <v>#N/A</v>
      </c>
      <c r="AD523" s="230" t="e">
        <f>T523-HLOOKUP(V523,Minimas!$C$3:$CD$12,4,FALSE)</f>
        <v>#N/A</v>
      </c>
      <c r="AE523" s="230" t="e">
        <f>T523-HLOOKUP(V523,Minimas!$C$3:$CD$12,5,FALSE)</f>
        <v>#N/A</v>
      </c>
      <c r="AF523" s="230" t="e">
        <f>T523-HLOOKUP(V523,Minimas!$C$3:$CD$12,6,FALSE)</f>
        <v>#N/A</v>
      </c>
      <c r="AG523" s="230" t="e">
        <f>T523-HLOOKUP(V523,Minimas!$C$3:$CD$12,7,FALSE)</f>
        <v>#N/A</v>
      </c>
      <c r="AH523" s="230" t="e">
        <f>T523-HLOOKUP(V523,Minimas!$C$3:$CD$12,8,FALSE)</f>
        <v>#N/A</v>
      </c>
      <c r="AI523" s="230" t="e">
        <f>T523-HLOOKUP(V523,Minimas!$C$3:$CD$12,9,FALSE)</f>
        <v>#N/A</v>
      </c>
      <c r="AJ523" s="230" t="e">
        <f>T523-HLOOKUP(V523,Minimas!$C$3:$CD$12,10,FALSE)</f>
        <v>#N/A</v>
      </c>
      <c r="AK523" s="231" t="str">
        <f t="shared" si="118"/>
        <v xml:space="preserve"> </v>
      </c>
      <c r="AL523" s="232"/>
      <c r="AM523" s="232" t="str">
        <f t="shared" si="119"/>
        <v xml:space="preserve"> </v>
      </c>
      <c r="AN523" s="232" t="str">
        <f t="shared" si="120"/>
        <v xml:space="preserve"> </v>
      </c>
    </row>
    <row r="524" spans="28:40" ht="14" x14ac:dyDescent="0.25">
      <c r="AB524" s="230" t="e">
        <f>T524-HLOOKUP(V524,Minimas!$C$3:$CD$12,2,FALSE)</f>
        <v>#N/A</v>
      </c>
      <c r="AC524" s="230" t="e">
        <f>T524-HLOOKUP(V524,Minimas!$C$3:$CD$12,3,FALSE)</f>
        <v>#N/A</v>
      </c>
      <c r="AD524" s="230" t="e">
        <f>T524-HLOOKUP(V524,Minimas!$C$3:$CD$12,4,FALSE)</f>
        <v>#N/A</v>
      </c>
      <c r="AE524" s="230" t="e">
        <f>T524-HLOOKUP(V524,Minimas!$C$3:$CD$12,5,FALSE)</f>
        <v>#N/A</v>
      </c>
      <c r="AF524" s="230" t="e">
        <f>T524-HLOOKUP(V524,Minimas!$C$3:$CD$12,6,FALSE)</f>
        <v>#N/A</v>
      </c>
      <c r="AG524" s="230" t="e">
        <f>T524-HLOOKUP(V524,Minimas!$C$3:$CD$12,7,FALSE)</f>
        <v>#N/A</v>
      </c>
      <c r="AH524" s="230" t="e">
        <f>T524-HLOOKUP(V524,Minimas!$C$3:$CD$12,8,FALSE)</f>
        <v>#N/A</v>
      </c>
      <c r="AI524" s="230" t="e">
        <f>T524-HLOOKUP(V524,Minimas!$C$3:$CD$12,9,FALSE)</f>
        <v>#N/A</v>
      </c>
      <c r="AJ524" s="230" t="e">
        <f>T524-HLOOKUP(V524,Minimas!$C$3:$CD$12,10,FALSE)</f>
        <v>#N/A</v>
      </c>
      <c r="AK524" s="231" t="str">
        <f t="shared" si="118"/>
        <v xml:space="preserve"> </v>
      </c>
      <c r="AL524" s="232"/>
      <c r="AM524" s="232" t="str">
        <f t="shared" si="119"/>
        <v xml:space="preserve"> </v>
      </c>
      <c r="AN524" s="232" t="str">
        <f t="shared" si="120"/>
        <v xml:space="preserve"> </v>
      </c>
    </row>
    <row r="525" spans="28:40" ht="14" x14ac:dyDescent="0.25">
      <c r="AB525" s="230" t="e">
        <f>T525-HLOOKUP(V525,Minimas!$C$3:$CD$12,2,FALSE)</f>
        <v>#N/A</v>
      </c>
      <c r="AC525" s="230" t="e">
        <f>T525-HLOOKUP(V525,Minimas!$C$3:$CD$12,3,FALSE)</f>
        <v>#N/A</v>
      </c>
      <c r="AD525" s="230" t="e">
        <f>T525-HLOOKUP(V525,Minimas!$C$3:$CD$12,4,FALSE)</f>
        <v>#N/A</v>
      </c>
      <c r="AE525" s="230" t="e">
        <f>T525-HLOOKUP(V525,Minimas!$C$3:$CD$12,5,FALSE)</f>
        <v>#N/A</v>
      </c>
      <c r="AF525" s="230" t="e">
        <f>T525-HLOOKUP(V525,Minimas!$C$3:$CD$12,6,FALSE)</f>
        <v>#N/A</v>
      </c>
      <c r="AG525" s="230" t="e">
        <f>T525-HLOOKUP(V525,Minimas!$C$3:$CD$12,7,FALSE)</f>
        <v>#N/A</v>
      </c>
      <c r="AH525" s="230" t="e">
        <f>T525-HLOOKUP(V525,Minimas!$C$3:$CD$12,8,FALSE)</f>
        <v>#N/A</v>
      </c>
      <c r="AI525" s="230" t="e">
        <f>T525-HLOOKUP(V525,Minimas!$C$3:$CD$12,9,FALSE)</f>
        <v>#N/A</v>
      </c>
      <c r="AJ525" s="230" t="e">
        <f>T525-HLOOKUP(V525,Minimas!$C$3:$CD$12,10,FALSE)</f>
        <v>#N/A</v>
      </c>
      <c r="AK525" s="231" t="str">
        <f t="shared" si="118"/>
        <v xml:space="preserve"> </v>
      </c>
      <c r="AL525" s="232"/>
      <c r="AM525" s="232" t="str">
        <f t="shared" si="119"/>
        <v xml:space="preserve"> </v>
      </c>
      <c r="AN525" s="232" t="str">
        <f t="shared" si="120"/>
        <v xml:space="preserve"> </v>
      </c>
    </row>
    <row r="526" spans="28:40" ht="14" x14ac:dyDescent="0.25">
      <c r="AB526" s="230" t="e">
        <f>T526-HLOOKUP(V526,Minimas!$C$3:$CD$12,2,FALSE)</f>
        <v>#N/A</v>
      </c>
      <c r="AC526" s="230" t="e">
        <f>T526-HLOOKUP(V526,Minimas!$C$3:$CD$12,3,FALSE)</f>
        <v>#N/A</v>
      </c>
      <c r="AD526" s="230" t="e">
        <f>T526-HLOOKUP(V526,Minimas!$C$3:$CD$12,4,FALSE)</f>
        <v>#N/A</v>
      </c>
      <c r="AE526" s="230" t="e">
        <f>T526-HLOOKUP(V526,Minimas!$C$3:$CD$12,5,FALSE)</f>
        <v>#N/A</v>
      </c>
      <c r="AF526" s="230" t="e">
        <f>T526-HLOOKUP(V526,Minimas!$C$3:$CD$12,6,FALSE)</f>
        <v>#N/A</v>
      </c>
      <c r="AG526" s="230" t="e">
        <f>T526-HLOOKUP(V526,Minimas!$C$3:$CD$12,7,FALSE)</f>
        <v>#N/A</v>
      </c>
      <c r="AH526" s="230" t="e">
        <f>T526-HLOOKUP(V526,Minimas!$C$3:$CD$12,8,FALSE)</f>
        <v>#N/A</v>
      </c>
      <c r="AI526" s="230" t="e">
        <f>T526-HLOOKUP(V526,Minimas!$C$3:$CD$12,9,FALSE)</f>
        <v>#N/A</v>
      </c>
      <c r="AJ526" s="230" t="e">
        <f>T526-HLOOKUP(V526,Minimas!$C$3:$CD$12,10,FALSE)</f>
        <v>#N/A</v>
      </c>
      <c r="AK526" s="231" t="str">
        <f t="shared" si="118"/>
        <v xml:space="preserve"> </v>
      </c>
      <c r="AL526" s="232"/>
      <c r="AM526" s="232" t="str">
        <f t="shared" si="119"/>
        <v xml:space="preserve"> </v>
      </c>
      <c r="AN526" s="232" t="str">
        <f t="shared" si="120"/>
        <v xml:space="preserve"> </v>
      </c>
    </row>
    <row r="527" spans="28:40" ht="14" x14ac:dyDescent="0.25">
      <c r="AB527" s="230" t="e">
        <f>T527-HLOOKUP(V527,Minimas!$C$3:$CD$12,2,FALSE)</f>
        <v>#N/A</v>
      </c>
      <c r="AC527" s="230" t="e">
        <f>T527-HLOOKUP(V527,Minimas!$C$3:$CD$12,3,FALSE)</f>
        <v>#N/A</v>
      </c>
      <c r="AD527" s="230" t="e">
        <f>T527-HLOOKUP(V527,Minimas!$C$3:$CD$12,4,FALSE)</f>
        <v>#N/A</v>
      </c>
      <c r="AE527" s="230" t="e">
        <f>T527-HLOOKUP(V527,Minimas!$C$3:$CD$12,5,FALSE)</f>
        <v>#N/A</v>
      </c>
      <c r="AF527" s="230" t="e">
        <f>T527-HLOOKUP(V527,Minimas!$C$3:$CD$12,6,FALSE)</f>
        <v>#N/A</v>
      </c>
      <c r="AG527" s="230" t="e">
        <f>T527-HLOOKUP(V527,Minimas!$C$3:$CD$12,7,FALSE)</f>
        <v>#N/A</v>
      </c>
      <c r="AH527" s="230" t="e">
        <f>T527-HLOOKUP(V527,Minimas!$C$3:$CD$12,8,FALSE)</f>
        <v>#N/A</v>
      </c>
      <c r="AI527" s="230" t="e">
        <f>T527-HLOOKUP(V527,Minimas!$C$3:$CD$12,9,FALSE)</f>
        <v>#N/A</v>
      </c>
      <c r="AJ527" s="230" t="e">
        <f>T527-HLOOKUP(V527,Minimas!$C$3:$CD$12,10,FALSE)</f>
        <v>#N/A</v>
      </c>
      <c r="AK527" s="231" t="str">
        <f t="shared" si="118"/>
        <v xml:space="preserve"> </v>
      </c>
      <c r="AL527" s="232"/>
      <c r="AM527" s="232" t="str">
        <f t="shared" si="119"/>
        <v xml:space="preserve"> </v>
      </c>
      <c r="AN527" s="232" t="str">
        <f t="shared" si="120"/>
        <v xml:space="preserve"> </v>
      </c>
    </row>
    <row r="528" spans="28:40" ht="14" x14ac:dyDescent="0.25">
      <c r="AB528" s="230" t="e">
        <f>T528-HLOOKUP(V528,Minimas!$C$3:$CD$12,2,FALSE)</f>
        <v>#N/A</v>
      </c>
      <c r="AC528" s="230" t="e">
        <f>T528-HLOOKUP(V528,Minimas!$C$3:$CD$12,3,FALSE)</f>
        <v>#N/A</v>
      </c>
      <c r="AD528" s="230" t="e">
        <f>T528-HLOOKUP(V528,Minimas!$C$3:$CD$12,4,FALSE)</f>
        <v>#N/A</v>
      </c>
      <c r="AE528" s="230" t="e">
        <f>T528-HLOOKUP(V528,Minimas!$C$3:$CD$12,5,FALSE)</f>
        <v>#N/A</v>
      </c>
      <c r="AF528" s="230" t="e">
        <f>T528-HLOOKUP(V528,Minimas!$C$3:$CD$12,6,FALSE)</f>
        <v>#N/A</v>
      </c>
      <c r="AG528" s="230" t="e">
        <f>T528-HLOOKUP(V528,Minimas!$C$3:$CD$12,7,FALSE)</f>
        <v>#N/A</v>
      </c>
      <c r="AH528" s="230" t="e">
        <f>T528-HLOOKUP(V528,Minimas!$C$3:$CD$12,8,FALSE)</f>
        <v>#N/A</v>
      </c>
      <c r="AI528" s="230" t="e">
        <f>T528-HLOOKUP(V528,Minimas!$C$3:$CD$12,9,FALSE)</f>
        <v>#N/A</v>
      </c>
      <c r="AJ528" s="230" t="e">
        <f>T528-HLOOKUP(V528,Minimas!$C$3:$CD$12,10,FALSE)</f>
        <v>#N/A</v>
      </c>
      <c r="AK528" s="231" t="str">
        <f t="shared" si="118"/>
        <v xml:space="preserve"> </v>
      </c>
      <c r="AL528" s="232"/>
      <c r="AM528" s="232" t="str">
        <f t="shared" si="119"/>
        <v xml:space="preserve"> </v>
      </c>
      <c r="AN528" s="232" t="str">
        <f t="shared" si="120"/>
        <v xml:space="preserve"> </v>
      </c>
    </row>
    <row r="529" spans="28:40" ht="14" x14ac:dyDescent="0.25">
      <c r="AB529" s="230" t="e">
        <f>T529-HLOOKUP(V529,Minimas!$C$3:$CD$12,2,FALSE)</f>
        <v>#N/A</v>
      </c>
      <c r="AC529" s="230" t="e">
        <f>T529-HLOOKUP(V529,Minimas!$C$3:$CD$12,3,FALSE)</f>
        <v>#N/A</v>
      </c>
      <c r="AD529" s="230" t="e">
        <f>T529-HLOOKUP(V529,Minimas!$C$3:$CD$12,4,FALSE)</f>
        <v>#N/A</v>
      </c>
      <c r="AE529" s="230" t="e">
        <f>T529-HLOOKUP(V529,Minimas!$C$3:$CD$12,5,FALSE)</f>
        <v>#N/A</v>
      </c>
      <c r="AF529" s="230" t="e">
        <f>T529-HLOOKUP(V529,Minimas!$C$3:$CD$12,6,FALSE)</f>
        <v>#N/A</v>
      </c>
      <c r="AG529" s="230" t="e">
        <f>T529-HLOOKUP(V529,Minimas!$C$3:$CD$12,7,FALSE)</f>
        <v>#N/A</v>
      </c>
      <c r="AH529" s="230" t="e">
        <f>T529-HLOOKUP(V529,Minimas!$C$3:$CD$12,8,FALSE)</f>
        <v>#N/A</v>
      </c>
      <c r="AI529" s="230" t="e">
        <f>T529-HLOOKUP(V529,Minimas!$C$3:$CD$12,9,FALSE)</f>
        <v>#N/A</v>
      </c>
      <c r="AJ529" s="230" t="e">
        <f>T529-HLOOKUP(V529,Minimas!$C$3:$CD$12,10,FALSE)</f>
        <v>#N/A</v>
      </c>
      <c r="AK529" s="231" t="str">
        <f t="shared" si="118"/>
        <v xml:space="preserve"> </v>
      </c>
      <c r="AL529" s="232"/>
      <c r="AM529" s="232" t="str">
        <f t="shared" si="119"/>
        <v xml:space="preserve"> </v>
      </c>
      <c r="AN529" s="232" t="str">
        <f t="shared" si="120"/>
        <v xml:space="preserve"> </v>
      </c>
    </row>
    <row r="530" spans="28:40" ht="14" x14ac:dyDescent="0.25">
      <c r="AB530" s="230" t="e">
        <f>T530-HLOOKUP(V530,Minimas!$C$3:$CD$12,2,FALSE)</f>
        <v>#N/A</v>
      </c>
      <c r="AC530" s="230" t="e">
        <f>T530-HLOOKUP(V530,Minimas!$C$3:$CD$12,3,FALSE)</f>
        <v>#N/A</v>
      </c>
      <c r="AD530" s="230" t="e">
        <f>T530-HLOOKUP(V530,Minimas!$C$3:$CD$12,4,FALSE)</f>
        <v>#N/A</v>
      </c>
      <c r="AE530" s="230" t="e">
        <f>T530-HLOOKUP(V530,Minimas!$C$3:$CD$12,5,FALSE)</f>
        <v>#N/A</v>
      </c>
      <c r="AF530" s="230" t="e">
        <f>T530-HLOOKUP(V530,Minimas!$C$3:$CD$12,6,FALSE)</f>
        <v>#N/A</v>
      </c>
      <c r="AG530" s="230" t="e">
        <f>T530-HLOOKUP(V530,Minimas!$C$3:$CD$12,7,FALSE)</f>
        <v>#N/A</v>
      </c>
      <c r="AH530" s="230" t="e">
        <f>T530-HLOOKUP(V530,Minimas!$C$3:$CD$12,8,FALSE)</f>
        <v>#N/A</v>
      </c>
      <c r="AI530" s="230" t="e">
        <f>T530-HLOOKUP(V530,Minimas!$C$3:$CD$12,9,FALSE)</f>
        <v>#N/A</v>
      </c>
      <c r="AJ530" s="230" t="e">
        <f>T530-HLOOKUP(V530,Minimas!$C$3:$CD$12,10,FALSE)</f>
        <v>#N/A</v>
      </c>
      <c r="AK530" s="231" t="str">
        <f t="shared" si="118"/>
        <v xml:space="preserve"> </v>
      </c>
      <c r="AL530" s="232"/>
      <c r="AM530" s="232" t="str">
        <f t="shared" si="119"/>
        <v xml:space="preserve"> </v>
      </c>
      <c r="AN530" s="232" t="str">
        <f t="shared" si="120"/>
        <v xml:space="preserve"> </v>
      </c>
    </row>
    <row r="531" spans="28:40" ht="14" x14ac:dyDescent="0.25">
      <c r="AB531" s="230" t="e">
        <f>T531-HLOOKUP(V531,Minimas!$C$3:$CD$12,2,FALSE)</f>
        <v>#N/A</v>
      </c>
      <c r="AC531" s="230" t="e">
        <f>T531-HLOOKUP(V531,Minimas!$C$3:$CD$12,3,FALSE)</f>
        <v>#N/A</v>
      </c>
      <c r="AD531" s="230" t="e">
        <f>T531-HLOOKUP(V531,Minimas!$C$3:$CD$12,4,FALSE)</f>
        <v>#N/A</v>
      </c>
      <c r="AE531" s="230" t="e">
        <f>T531-HLOOKUP(V531,Minimas!$C$3:$CD$12,5,FALSE)</f>
        <v>#N/A</v>
      </c>
      <c r="AF531" s="230" t="e">
        <f>T531-HLOOKUP(V531,Minimas!$C$3:$CD$12,6,FALSE)</f>
        <v>#N/A</v>
      </c>
      <c r="AG531" s="230" t="e">
        <f>T531-HLOOKUP(V531,Minimas!$C$3:$CD$12,7,FALSE)</f>
        <v>#N/A</v>
      </c>
      <c r="AH531" s="230" t="e">
        <f>T531-HLOOKUP(V531,Minimas!$C$3:$CD$12,8,FALSE)</f>
        <v>#N/A</v>
      </c>
      <c r="AI531" s="230" t="e">
        <f>T531-HLOOKUP(V531,Minimas!$C$3:$CD$12,9,FALSE)</f>
        <v>#N/A</v>
      </c>
      <c r="AJ531" s="230" t="e">
        <f>T531-HLOOKUP(V531,Minimas!$C$3:$CD$12,10,FALSE)</f>
        <v>#N/A</v>
      </c>
      <c r="AK531" s="231" t="str">
        <f t="shared" si="118"/>
        <v xml:space="preserve"> </v>
      </c>
      <c r="AL531" s="232"/>
      <c r="AM531" s="232" t="str">
        <f t="shared" si="119"/>
        <v xml:space="preserve"> </v>
      </c>
      <c r="AN531" s="232" t="str">
        <f t="shared" si="120"/>
        <v xml:space="preserve"> </v>
      </c>
    </row>
    <row r="532" spans="28:40" ht="14" x14ac:dyDescent="0.25">
      <c r="AB532" s="230" t="e">
        <f>T532-HLOOKUP(V532,Minimas!$C$3:$CD$12,2,FALSE)</f>
        <v>#N/A</v>
      </c>
      <c r="AC532" s="230" t="e">
        <f>T532-HLOOKUP(V532,Minimas!$C$3:$CD$12,3,FALSE)</f>
        <v>#N/A</v>
      </c>
      <c r="AD532" s="230" t="e">
        <f>T532-HLOOKUP(V532,Minimas!$C$3:$CD$12,4,FALSE)</f>
        <v>#N/A</v>
      </c>
      <c r="AE532" s="230" t="e">
        <f>T532-HLOOKUP(V532,Minimas!$C$3:$CD$12,5,FALSE)</f>
        <v>#N/A</v>
      </c>
      <c r="AF532" s="230" t="e">
        <f>T532-HLOOKUP(V532,Minimas!$C$3:$CD$12,6,FALSE)</f>
        <v>#N/A</v>
      </c>
      <c r="AG532" s="230" t="e">
        <f>T532-HLOOKUP(V532,Minimas!$C$3:$CD$12,7,FALSE)</f>
        <v>#N/A</v>
      </c>
      <c r="AH532" s="230" t="e">
        <f>T532-HLOOKUP(V532,Minimas!$C$3:$CD$12,8,FALSE)</f>
        <v>#N/A</v>
      </c>
      <c r="AI532" s="230" t="e">
        <f>T532-HLOOKUP(V532,Minimas!$C$3:$CD$12,9,FALSE)</f>
        <v>#N/A</v>
      </c>
      <c r="AJ532" s="230" t="e">
        <f>T532-HLOOKUP(V532,Minimas!$C$3:$CD$12,10,FALSE)</f>
        <v>#N/A</v>
      </c>
      <c r="AK532" s="231" t="str">
        <f t="shared" si="118"/>
        <v xml:space="preserve"> </v>
      </c>
      <c r="AL532" s="232"/>
      <c r="AM532" s="232" t="str">
        <f t="shared" si="119"/>
        <v xml:space="preserve"> </v>
      </c>
      <c r="AN532" s="232" t="str">
        <f t="shared" si="120"/>
        <v xml:space="preserve"> </v>
      </c>
    </row>
    <row r="533" spans="28:40" ht="14" x14ac:dyDescent="0.25">
      <c r="AB533" s="230" t="e">
        <f>T533-HLOOKUP(V533,Minimas!$C$3:$CD$12,2,FALSE)</f>
        <v>#N/A</v>
      </c>
      <c r="AC533" s="230" t="e">
        <f>T533-HLOOKUP(V533,Minimas!$C$3:$CD$12,3,FALSE)</f>
        <v>#N/A</v>
      </c>
      <c r="AD533" s="230" t="e">
        <f>T533-HLOOKUP(V533,Minimas!$C$3:$CD$12,4,FALSE)</f>
        <v>#N/A</v>
      </c>
      <c r="AE533" s="230" t="e">
        <f>T533-HLOOKUP(V533,Minimas!$C$3:$CD$12,5,FALSE)</f>
        <v>#N/A</v>
      </c>
      <c r="AF533" s="230" t="e">
        <f>T533-HLOOKUP(V533,Minimas!$C$3:$CD$12,6,FALSE)</f>
        <v>#N/A</v>
      </c>
      <c r="AG533" s="230" t="e">
        <f>T533-HLOOKUP(V533,Minimas!$C$3:$CD$12,7,FALSE)</f>
        <v>#N/A</v>
      </c>
      <c r="AH533" s="230" t="e">
        <f>T533-HLOOKUP(V533,Minimas!$C$3:$CD$12,8,FALSE)</f>
        <v>#N/A</v>
      </c>
      <c r="AI533" s="230" t="e">
        <f>T533-HLOOKUP(V533,Minimas!$C$3:$CD$12,9,FALSE)</f>
        <v>#N/A</v>
      </c>
      <c r="AJ533" s="230" t="e">
        <f>T533-HLOOKUP(V533,Minimas!$C$3:$CD$12,10,FALSE)</f>
        <v>#N/A</v>
      </c>
      <c r="AK533" s="231" t="str">
        <f t="shared" si="118"/>
        <v xml:space="preserve"> </v>
      </c>
      <c r="AL533" s="232"/>
      <c r="AM533" s="232" t="str">
        <f t="shared" si="119"/>
        <v xml:space="preserve"> </v>
      </c>
      <c r="AN533" s="232" t="str">
        <f t="shared" si="120"/>
        <v xml:space="preserve"> </v>
      </c>
    </row>
    <row r="534" spans="28:40" ht="14" x14ac:dyDescent="0.25">
      <c r="AB534" s="230" t="e">
        <f>T534-HLOOKUP(V534,Minimas!$C$3:$CD$12,2,FALSE)</f>
        <v>#N/A</v>
      </c>
      <c r="AC534" s="230" t="e">
        <f>T534-HLOOKUP(V534,Minimas!$C$3:$CD$12,3,FALSE)</f>
        <v>#N/A</v>
      </c>
      <c r="AD534" s="230" t="e">
        <f>T534-HLOOKUP(V534,Minimas!$C$3:$CD$12,4,FALSE)</f>
        <v>#N/A</v>
      </c>
      <c r="AE534" s="230" t="e">
        <f>T534-HLOOKUP(V534,Minimas!$C$3:$CD$12,5,FALSE)</f>
        <v>#N/A</v>
      </c>
      <c r="AF534" s="230" t="e">
        <f>T534-HLOOKUP(V534,Minimas!$C$3:$CD$12,6,FALSE)</f>
        <v>#N/A</v>
      </c>
      <c r="AG534" s="230" t="e">
        <f>T534-HLOOKUP(V534,Minimas!$C$3:$CD$12,7,FALSE)</f>
        <v>#N/A</v>
      </c>
      <c r="AH534" s="230" t="e">
        <f>T534-HLOOKUP(V534,Minimas!$C$3:$CD$12,8,FALSE)</f>
        <v>#N/A</v>
      </c>
      <c r="AI534" s="230" t="e">
        <f>T534-HLOOKUP(V534,Minimas!$C$3:$CD$12,9,FALSE)</f>
        <v>#N/A</v>
      </c>
      <c r="AJ534" s="230" t="e">
        <f>T534-HLOOKUP(V534,Minimas!$C$3:$CD$12,10,FALSE)</f>
        <v>#N/A</v>
      </c>
      <c r="AK534" s="231" t="str">
        <f t="shared" si="118"/>
        <v xml:space="preserve"> </v>
      </c>
      <c r="AL534" s="232"/>
      <c r="AM534" s="232" t="str">
        <f t="shared" si="119"/>
        <v xml:space="preserve"> </v>
      </c>
      <c r="AN534" s="232" t="str">
        <f t="shared" si="120"/>
        <v xml:space="preserve"> </v>
      </c>
    </row>
    <row r="535" spans="28:40" ht="14" x14ac:dyDescent="0.25">
      <c r="AB535" s="230" t="e">
        <f>T535-HLOOKUP(V535,Minimas!$C$3:$CD$12,2,FALSE)</f>
        <v>#N/A</v>
      </c>
      <c r="AC535" s="230" t="e">
        <f>T535-HLOOKUP(V535,Minimas!$C$3:$CD$12,3,FALSE)</f>
        <v>#N/A</v>
      </c>
      <c r="AD535" s="230" t="e">
        <f>T535-HLOOKUP(V535,Minimas!$C$3:$CD$12,4,FALSE)</f>
        <v>#N/A</v>
      </c>
      <c r="AE535" s="230" t="e">
        <f>T535-HLOOKUP(V535,Minimas!$C$3:$CD$12,5,FALSE)</f>
        <v>#N/A</v>
      </c>
      <c r="AF535" s="230" t="e">
        <f>T535-HLOOKUP(V535,Minimas!$C$3:$CD$12,6,FALSE)</f>
        <v>#N/A</v>
      </c>
      <c r="AG535" s="230" t="e">
        <f>T535-HLOOKUP(V535,Minimas!$C$3:$CD$12,7,FALSE)</f>
        <v>#N/A</v>
      </c>
      <c r="AH535" s="230" t="e">
        <f>T535-HLOOKUP(V535,Minimas!$C$3:$CD$12,8,FALSE)</f>
        <v>#N/A</v>
      </c>
      <c r="AI535" s="230" t="e">
        <f>T535-HLOOKUP(V535,Minimas!$C$3:$CD$12,9,FALSE)</f>
        <v>#N/A</v>
      </c>
      <c r="AJ535" s="230" t="e">
        <f>T535-HLOOKUP(V535,Minimas!$C$3:$CD$12,10,FALSE)</f>
        <v>#N/A</v>
      </c>
      <c r="AK535" s="231" t="str">
        <f t="shared" si="118"/>
        <v xml:space="preserve"> </v>
      </c>
      <c r="AL535" s="232"/>
      <c r="AM535" s="232" t="str">
        <f t="shared" si="119"/>
        <v xml:space="preserve"> </v>
      </c>
      <c r="AN535" s="232" t="str">
        <f t="shared" si="120"/>
        <v xml:space="preserve"> </v>
      </c>
    </row>
    <row r="536" spans="28:40" ht="14" x14ac:dyDescent="0.25">
      <c r="AB536" s="230" t="e">
        <f>T536-HLOOKUP(V536,Minimas!$C$3:$CD$12,2,FALSE)</f>
        <v>#N/A</v>
      </c>
      <c r="AC536" s="230" t="e">
        <f>T536-HLOOKUP(V536,Minimas!$C$3:$CD$12,3,FALSE)</f>
        <v>#N/A</v>
      </c>
      <c r="AD536" s="230" t="e">
        <f>T536-HLOOKUP(V536,Minimas!$C$3:$CD$12,4,FALSE)</f>
        <v>#N/A</v>
      </c>
      <c r="AE536" s="230" t="e">
        <f>T536-HLOOKUP(V536,Minimas!$C$3:$CD$12,5,FALSE)</f>
        <v>#N/A</v>
      </c>
      <c r="AF536" s="230" t="e">
        <f>T536-HLOOKUP(V536,Minimas!$C$3:$CD$12,6,FALSE)</f>
        <v>#N/A</v>
      </c>
      <c r="AG536" s="230" t="e">
        <f>T536-HLOOKUP(V536,Minimas!$C$3:$CD$12,7,FALSE)</f>
        <v>#N/A</v>
      </c>
      <c r="AH536" s="230" t="e">
        <f>T536-HLOOKUP(V536,Minimas!$C$3:$CD$12,8,FALSE)</f>
        <v>#N/A</v>
      </c>
      <c r="AI536" s="230" t="e">
        <f>T536-HLOOKUP(V536,Minimas!$C$3:$CD$12,9,FALSE)</f>
        <v>#N/A</v>
      </c>
      <c r="AJ536" s="230" t="e">
        <f>T536-HLOOKUP(V536,Minimas!$C$3:$CD$12,10,FALSE)</f>
        <v>#N/A</v>
      </c>
      <c r="AK536" s="231" t="str">
        <f t="shared" si="118"/>
        <v xml:space="preserve"> </v>
      </c>
      <c r="AL536" s="232"/>
      <c r="AM536" s="232" t="str">
        <f t="shared" si="119"/>
        <v xml:space="preserve"> </v>
      </c>
      <c r="AN536" s="232" t="str">
        <f t="shared" si="120"/>
        <v xml:space="preserve"> </v>
      </c>
    </row>
    <row r="537" spans="28:40" ht="14" x14ac:dyDescent="0.25">
      <c r="AB537" s="230" t="e">
        <f>T537-HLOOKUP(V537,Minimas!$C$3:$CD$12,2,FALSE)</f>
        <v>#N/A</v>
      </c>
      <c r="AC537" s="230" t="e">
        <f>T537-HLOOKUP(V537,Minimas!$C$3:$CD$12,3,FALSE)</f>
        <v>#N/A</v>
      </c>
      <c r="AD537" s="230" t="e">
        <f>T537-HLOOKUP(V537,Minimas!$C$3:$CD$12,4,FALSE)</f>
        <v>#N/A</v>
      </c>
      <c r="AE537" s="230" t="e">
        <f>T537-HLOOKUP(V537,Minimas!$C$3:$CD$12,5,FALSE)</f>
        <v>#N/A</v>
      </c>
      <c r="AF537" s="230" t="e">
        <f>T537-HLOOKUP(V537,Minimas!$C$3:$CD$12,6,FALSE)</f>
        <v>#N/A</v>
      </c>
      <c r="AG537" s="230" t="e">
        <f>T537-HLOOKUP(V537,Minimas!$C$3:$CD$12,7,FALSE)</f>
        <v>#N/A</v>
      </c>
      <c r="AH537" s="230" t="e">
        <f>T537-HLOOKUP(V537,Minimas!$C$3:$CD$12,8,FALSE)</f>
        <v>#N/A</v>
      </c>
      <c r="AI537" s="230" t="e">
        <f>T537-HLOOKUP(V537,Minimas!$C$3:$CD$12,9,FALSE)</f>
        <v>#N/A</v>
      </c>
      <c r="AJ537" s="230" t="e">
        <f>T537-HLOOKUP(V537,Minimas!$C$3:$CD$12,10,FALSE)</f>
        <v>#N/A</v>
      </c>
      <c r="AK537" s="231" t="str">
        <f t="shared" si="118"/>
        <v xml:space="preserve"> </v>
      </c>
      <c r="AL537" s="232"/>
      <c r="AM537" s="232" t="str">
        <f t="shared" si="119"/>
        <v xml:space="preserve"> </v>
      </c>
      <c r="AN537" s="232" t="str">
        <f t="shared" si="120"/>
        <v xml:space="preserve"> </v>
      </c>
    </row>
    <row r="538" spans="28:40" ht="14" x14ac:dyDescent="0.25">
      <c r="AB538" s="230" t="e">
        <f>T538-HLOOKUP(V538,Minimas!$C$3:$CD$12,2,FALSE)</f>
        <v>#N/A</v>
      </c>
      <c r="AC538" s="230" t="e">
        <f>T538-HLOOKUP(V538,Minimas!$C$3:$CD$12,3,FALSE)</f>
        <v>#N/A</v>
      </c>
      <c r="AD538" s="230" t="e">
        <f>T538-HLOOKUP(V538,Minimas!$C$3:$CD$12,4,FALSE)</f>
        <v>#N/A</v>
      </c>
      <c r="AE538" s="230" t="e">
        <f>T538-HLOOKUP(V538,Minimas!$C$3:$CD$12,5,FALSE)</f>
        <v>#N/A</v>
      </c>
      <c r="AF538" s="230" t="e">
        <f>T538-HLOOKUP(V538,Minimas!$C$3:$CD$12,6,FALSE)</f>
        <v>#N/A</v>
      </c>
      <c r="AG538" s="230" t="e">
        <f>T538-HLOOKUP(V538,Minimas!$C$3:$CD$12,7,FALSE)</f>
        <v>#N/A</v>
      </c>
      <c r="AH538" s="230" t="e">
        <f>T538-HLOOKUP(V538,Minimas!$C$3:$CD$12,8,FALSE)</f>
        <v>#N/A</v>
      </c>
      <c r="AI538" s="230" t="e">
        <f>T538-HLOOKUP(V538,Minimas!$C$3:$CD$12,9,FALSE)</f>
        <v>#N/A</v>
      </c>
      <c r="AJ538" s="230" t="e">
        <f>T538-HLOOKUP(V538,Minimas!$C$3:$CD$12,10,FALSE)</f>
        <v>#N/A</v>
      </c>
      <c r="AK538" s="231" t="str">
        <f t="shared" si="118"/>
        <v xml:space="preserve"> </v>
      </c>
      <c r="AL538" s="232"/>
      <c r="AM538" s="232" t="str">
        <f t="shared" si="119"/>
        <v xml:space="preserve"> </v>
      </c>
      <c r="AN538" s="232" t="str">
        <f t="shared" si="120"/>
        <v xml:space="preserve"> </v>
      </c>
    </row>
    <row r="539" spans="28:40" ht="14" x14ac:dyDescent="0.25">
      <c r="AB539" s="230" t="e">
        <f>T539-HLOOKUP(V539,Minimas!$C$3:$CD$12,2,FALSE)</f>
        <v>#N/A</v>
      </c>
      <c r="AC539" s="230" t="e">
        <f>T539-HLOOKUP(V539,Minimas!$C$3:$CD$12,3,FALSE)</f>
        <v>#N/A</v>
      </c>
      <c r="AD539" s="230" t="e">
        <f>T539-HLOOKUP(V539,Minimas!$C$3:$CD$12,4,FALSE)</f>
        <v>#N/A</v>
      </c>
      <c r="AE539" s="230" t="e">
        <f>T539-HLOOKUP(V539,Minimas!$C$3:$CD$12,5,FALSE)</f>
        <v>#N/A</v>
      </c>
      <c r="AF539" s="230" t="e">
        <f>T539-HLOOKUP(V539,Minimas!$C$3:$CD$12,6,FALSE)</f>
        <v>#N/A</v>
      </c>
      <c r="AG539" s="230" t="e">
        <f>T539-HLOOKUP(V539,Minimas!$C$3:$CD$12,7,FALSE)</f>
        <v>#N/A</v>
      </c>
      <c r="AH539" s="230" t="e">
        <f>T539-HLOOKUP(V539,Minimas!$C$3:$CD$12,8,FALSE)</f>
        <v>#N/A</v>
      </c>
      <c r="AI539" s="230" t="e">
        <f>T539-HLOOKUP(V539,Minimas!$C$3:$CD$12,9,FALSE)</f>
        <v>#N/A</v>
      </c>
      <c r="AJ539" s="230" t="e">
        <f>T539-HLOOKUP(V539,Minimas!$C$3:$CD$12,10,FALSE)</f>
        <v>#N/A</v>
      </c>
      <c r="AK539" s="231" t="str">
        <f t="shared" si="118"/>
        <v xml:space="preserve"> </v>
      </c>
      <c r="AL539" s="232"/>
      <c r="AM539" s="232" t="str">
        <f t="shared" si="119"/>
        <v xml:space="preserve"> </v>
      </c>
      <c r="AN539" s="232" t="str">
        <f t="shared" si="120"/>
        <v xml:space="preserve"> </v>
      </c>
    </row>
    <row r="540" spans="28:40" ht="14" x14ac:dyDescent="0.25">
      <c r="AB540" s="230" t="e">
        <f>T540-HLOOKUP(V540,Minimas!$C$3:$CD$12,2,FALSE)</f>
        <v>#N/A</v>
      </c>
      <c r="AC540" s="230" t="e">
        <f>T540-HLOOKUP(V540,Minimas!$C$3:$CD$12,3,FALSE)</f>
        <v>#N/A</v>
      </c>
      <c r="AD540" s="230" t="e">
        <f>T540-HLOOKUP(V540,Minimas!$C$3:$CD$12,4,FALSE)</f>
        <v>#N/A</v>
      </c>
      <c r="AE540" s="230" t="e">
        <f>T540-HLOOKUP(V540,Minimas!$C$3:$CD$12,5,FALSE)</f>
        <v>#N/A</v>
      </c>
      <c r="AF540" s="230" t="e">
        <f>T540-HLOOKUP(V540,Minimas!$C$3:$CD$12,6,FALSE)</f>
        <v>#N/A</v>
      </c>
      <c r="AG540" s="230" t="e">
        <f>T540-HLOOKUP(V540,Minimas!$C$3:$CD$12,7,FALSE)</f>
        <v>#N/A</v>
      </c>
      <c r="AH540" s="230" t="e">
        <f>T540-HLOOKUP(V540,Minimas!$C$3:$CD$12,8,FALSE)</f>
        <v>#N/A</v>
      </c>
      <c r="AI540" s="230" t="e">
        <f>T540-HLOOKUP(V540,Minimas!$C$3:$CD$12,9,FALSE)</f>
        <v>#N/A</v>
      </c>
      <c r="AJ540" s="230" t="e">
        <f>T540-HLOOKUP(V540,Minimas!$C$3:$CD$12,10,FALSE)</f>
        <v>#N/A</v>
      </c>
      <c r="AK540" s="231" t="str">
        <f t="shared" si="118"/>
        <v xml:space="preserve"> </v>
      </c>
      <c r="AL540" s="232"/>
      <c r="AM540" s="232" t="str">
        <f t="shared" si="119"/>
        <v xml:space="preserve"> </v>
      </c>
      <c r="AN540" s="232" t="str">
        <f t="shared" si="120"/>
        <v xml:space="preserve"> </v>
      </c>
    </row>
    <row r="541" spans="28:40" ht="14" x14ac:dyDescent="0.25">
      <c r="AB541" s="230" t="e">
        <f>T541-HLOOKUP(V541,Minimas!$C$3:$CD$12,2,FALSE)</f>
        <v>#N/A</v>
      </c>
      <c r="AC541" s="230" t="e">
        <f>T541-HLOOKUP(V541,Minimas!$C$3:$CD$12,3,FALSE)</f>
        <v>#N/A</v>
      </c>
      <c r="AD541" s="230" t="e">
        <f>T541-HLOOKUP(V541,Minimas!$C$3:$CD$12,4,FALSE)</f>
        <v>#N/A</v>
      </c>
      <c r="AE541" s="230" t="e">
        <f>T541-HLOOKUP(V541,Minimas!$C$3:$CD$12,5,FALSE)</f>
        <v>#N/A</v>
      </c>
      <c r="AF541" s="230" t="e">
        <f>T541-HLOOKUP(V541,Minimas!$C$3:$CD$12,6,FALSE)</f>
        <v>#N/A</v>
      </c>
      <c r="AG541" s="230" t="e">
        <f>T541-HLOOKUP(V541,Minimas!$C$3:$CD$12,7,FALSE)</f>
        <v>#N/A</v>
      </c>
      <c r="AH541" s="230" t="e">
        <f>T541-HLOOKUP(V541,Minimas!$C$3:$CD$12,8,FALSE)</f>
        <v>#N/A</v>
      </c>
      <c r="AI541" s="230" t="e">
        <f>T541-HLOOKUP(V541,Minimas!$C$3:$CD$12,9,FALSE)</f>
        <v>#N/A</v>
      </c>
      <c r="AJ541" s="230" t="e">
        <f>T541-HLOOKUP(V541,Minimas!$C$3:$CD$12,10,FALSE)</f>
        <v>#N/A</v>
      </c>
      <c r="AK541" s="231" t="str">
        <f t="shared" si="118"/>
        <v xml:space="preserve"> </v>
      </c>
      <c r="AL541" s="232"/>
      <c r="AM541" s="232" t="str">
        <f t="shared" si="119"/>
        <v xml:space="preserve"> </v>
      </c>
      <c r="AN541" s="232" t="str">
        <f t="shared" si="120"/>
        <v xml:space="preserve"> </v>
      </c>
    </row>
    <row r="542" spans="28:40" ht="14" x14ac:dyDescent="0.25">
      <c r="AB542" s="230" t="e">
        <f>T542-HLOOKUP(V542,Minimas!$C$3:$CD$12,2,FALSE)</f>
        <v>#N/A</v>
      </c>
      <c r="AC542" s="230" t="e">
        <f>T542-HLOOKUP(V542,Minimas!$C$3:$CD$12,3,FALSE)</f>
        <v>#N/A</v>
      </c>
      <c r="AD542" s="230" t="e">
        <f>T542-HLOOKUP(V542,Minimas!$C$3:$CD$12,4,FALSE)</f>
        <v>#N/A</v>
      </c>
      <c r="AE542" s="230" t="e">
        <f>T542-HLOOKUP(V542,Minimas!$C$3:$CD$12,5,FALSE)</f>
        <v>#N/A</v>
      </c>
      <c r="AF542" s="230" t="e">
        <f>T542-HLOOKUP(V542,Minimas!$C$3:$CD$12,6,FALSE)</f>
        <v>#N/A</v>
      </c>
      <c r="AG542" s="230" t="e">
        <f>T542-HLOOKUP(V542,Minimas!$C$3:$CD$12,7,FALSE)</f>
        <v>#N/A</v>
      </c>
      <c r="AH542" s="230" t="e">
        <f>T542-HLOOKUP(V542,Minimas!$C$3:$CD$12,8,FALSE)</f>
        <v>#N/A</v>
      </c>
      <c r="AI542" s="230" t="e">
        <f>T542-HLOOKUP(V542,Minimas!$C$3:$CD$12,9,FALSE)</f>
        <v>#N/A</v>
      </c>
      <c r="AJ542" s="230" t="e">
        <f>T542-HLOOKUP(V542,Minimas!$C$3:$CD$12,10,FALSE)</f>
        <v>#N/A</v>
      </c>
      <c r="AK542" s="231" t="str">
        <f t="shared" si="118"/>
        <v xml:space="preserve"> </v>
      </c>
      <c r="AL542" s="232"/>
      <c r="AM542" s="232" t="str">
        <f t="shared" si="119"/>
        <v xml:space="preserve"> </v>
      </c>
      <c r="AN542" s="232" t="str">
        <f t="shared" si="120"/>
        <v xml:space="preserve"> </v>
      </c>
    </row>
    <row r="543" spans="28:40" ht="14" x14ac:dyDescent="0.25">
      <c r="AB543" s="230" t="e">
        <f>T543-HLOOKUP(V543,Minimas!$C$3:$CD$12,2,FALSE)</f>
        <v>#N/A</v>
      </c>
      <c r="AC543" s="230" t="e">
        <f>T543-HLOOKUP(V543,Minimas!$C$3:$CD$12,3,FALSE)</f>
        <v>#N/A</v>
      </c>
      <c r="AD543" s="230" t="e">
        <f>T543-HLOOKUP(V543,Minimas!$C$3:$CD$12,4,FALSE)</f>
        <v>#N/A</v>
      </c>
      <c r="AE543" s="230" t="e">
        <f>T543-HLOOKUP(V543,Minimas!$C$3:$CD$12,5,FALSE)</f>
        <v>#N/A</v>
      </c>
      <c r="AF543" s="230" t="e">
        <f>T543-HLOOKUP(V543,Minimas!$C$3:$CD$12,6,FALSE)</f>
        <v>#N/A</v>
      </c>
      <c r="AG543" s="230" t="e">
        <f>T543-HLOOKUP(V543,Minimas!$C$3:$CD$12,7,FALSE)</f>
        <v>#N/A</v>
      </c>
      <c r="AH543" s="230" t="e">
        <f>T543-HLOOKUP(V543,Minimas!$C$3:$CD$12,8,FALSE)</f>
        <v>#N/A</v>
      </c>
      <c r="AI543" s="230" t="e">
        <f>T543-HLOOKUP(V543,Minimas!$C$3:$CD$12,9,FALSE)</f>
        <v>#N/A</v>
      </c>
      <c r="AJ543" s="230" t="e">
        <f>T543-HLOOKUP(V543,Minimas!$C$3:$CD$12,10,FALSE)</f>
        <v>#N/A</v>
      </c>
      <c r="AK543" s="231" t="str">
        <f t="shared" si="118"/>
        <v xml:space="preserve"> </v>
      </c>
      <c r="AL543" s="232"/>
      <c r="AM543" s="232" t="str">
        <f t="shared" si="119"/>
        <v xml:space="preserve"> </v>
      </c>
      <c r="AN543" s="232" t="str">
        <f t="shared" si="120"/>
        <v xml:space="preserve"> </v>
      </c>
    </row>
    <row r="544" spans="28:40" ht="14" x14ac:dyDescent="0.25">
      <c r="AB544" s="230" t="e">
        <f>T544-HLOOKUP(V544,Minimas!$C$3:$CD$12,2,FALSE)</f>
        <v>#N/A</v>
      </c>
      <c r="AC544" s="230" t="e">
        <f>T544-HLOOKUP(V544,Minimas!$C$3:$CD$12,3,FALSE)</f>
        <v>#N/A</v>
      </c>
      <c r="AD544" s="230" t="e">
        <f>T544-HLOOKUP(V544,Minimas!$C$3:$CD$12,4,FALSE)</f>
        <v>#N/A</v>
      </c>
      <c r="AE544" s="230" t="e">
        <f>T544-HLOOKUP(V544,Minimas!$C$3:$CD$12,5,FALSE)</f>
        <v>#N/A</v>
      </c>
      <c r="AF544" s="230" t="e">
        <f>T544-HLOOKUP(V544,Minimas!$C$3:$CD$12,6,FALSE)</f>
        <v>#N/A</v>
      </c>
      <c r="AG544" s="230" t="e">
        <f>T544-HLOOKUP(V544,Minimas!$C$3:$CD$12,7,FALSE)</f>
        <v>#N/A</v>
      </c>
      <c r="AH544" s="230" t="e">
        <f>T544-HLOOKUP(V544,Minimas!$C$3:$CD$12,8,FALSE)</f>
        <v>#N/A</v>
      </c>
      <c r="AI544" s="230" t="e">
        <f>T544-HLOOKUP(V544,Minimas!$C$3:$CD$12,9,FALSE)</f>
        <v>#N/A</v>
      </c>
      <c r="AJ544" s="230" t="e">
        <f>T544-HLOOKUP(V544,Minimas!$C$3:$CD$12,10,FALSE)</f>
        <v>#N/A</v>
      </c>
      <c r="AK544" s="231" t="str">
        <f t="shared" si="118"/>
        <v xml:space="preserve"> </v>
      </c>
      <c r="AL544" s="232"/>
      <c r="AM544" s="232" t="str">
        <f t="shared" si="119"/>
        <v xml:space="preserve"> </v>
      </c>
      <c r="AN544" s="232" t="str">
        <f t="shared" si="120"/>
        <v xml:space="preserve"> </v>
      </c>
    </row>
    <row r="545" spans="28:40" ht="14" x14ac:dyDescent="0.25">
      <c r="AB545" s="230" t="e">
        <f>T545-HLOOKUP(V545,Minimas!$C$3:$CD$12,2,FALSE)</f>
        <v>#N/A</v>
      </c>
      <c r="AC545" s="230" t="e">
        <f>T545-HLOOKUP(V545,Minimas!$C$3:$CD$12,3,FALSE)</f>
        <v>#N/A</v>
      </c>
      <c r="AD545" s="230" t="e">
        <f>T545-HLOOKUP(V545,Minimas!$C$3:$CD$12,4,FALSE)</f>
        <v>#N/A</v>
      </c>
      <c r="AE545" s="230" t="e">
        <f>T545-HLOOKUP(V545,Minimas!$C$3:$CD$12,5,FALSE)</f>
        <v>#N/A</v>
      </c>
      <c r="AF545" s="230" t="e">
        <f>T545-HLOOKUP(V545,Minimas!$C$3:$CD$12,6,FALSE)</f>
        <v>#N/A</v>
      </c>
      <c r="AG545" s="230" t="e">
        <f>T545-HLOOKUP(V545,Minimas!$C$3:$CD$12,7,FALSE)</f>
        <v>#N/A</v>
      </c>
      <c r="AH545" s="230" t="e">
        <f>T545-HLOOKUP(V545,Minimas!$C$3:$CD$12,8,FALSE)</f>
        <v>#N/A</v>
      </c>
      <c r="AI545" s="230" t="e">
        <f>T545-HLOOKUP(V545,Minimas!$C$3:$CD$12,9,FALSE)</f>
        <v>#N/A</v>
      </c>
      <c r="AJ545" s="230" t="e">
        <f>T545-HLOOKUP(V545,Minimas!$C$3:$CD$12,10,FALSE)</f>
        <v>#N/A</v>
      </c>
      <c r="AK545" s="231" t="str">
        <f t="shared" si="118"/>
        <v xml:space="preserve"> </v>
      </c>
      <c r="AL545" s="232"/>
      <c r="AM545" s="232" t="str">
        <f t="shared" si="119"/>
        <v xml:space="preserve"> </v>
      </c>
      <c r="AN545" s="232" t="str">
        <f t="shared" si="120"/>
        <v xml:space="preserve"> </v>
      </c>
    </row>
    <row r="546" spans="28:40" ht="14" x14ac:dyDescent="0.25">
      <c r="AB546" s="230" t="e">
        <f>T546-HLOOKUP(V546,Minimas!$C$3:$CD$12,2,FALSE)</f>
        <v>#N/A</v>
      </c>
      <c r="AC546" s="230" t="e">
        <f>T546-HLOOKUP(V546,Minimas!$C$3:$CD$12,3,FALSE)</f>
        <v>#N/A</v>
      </c>
      <c r="AD546" s="230" t="e">
        <f>T546-HLOOKUP(V546,Minimas!$C$3:$CD$12,4,FALSE)</f>
        <v>#N/A</v>
      </c>
      <c r="AE546" s="230" t="e">
        <f>T546-HLOOKUP(V546,Minimas!$C$3:$CD$12,5,FALSE)</f>
        <v>#N/A</v>
      </c>
      <c r="AF546" s="230" t="e">
        <f>T546-HLOOKUP(V546,Minimas!$C$3:$CD$12,6,FALSE)</f>
        <v>#N/A</v>
      </c>
      <c r="AG546" s="230" t="e">
        <f>T546-HLOOKUP(V546,Minimas!$C$3:$CD$12,7,FALSE)</f>
        <v>#N/A</v>
      </c>
      <c r="AH546" s="230" t="e">
        <f>T546-HLOOKUP(V546,Minimas!$C$3:$CD$12,8,FALSE)</f>
        <v>#N/A</v>
      </c>
      <c r="AI546" s="230" t="e">
        <f>T546-HLOOKUP(V546,Minimas!$C$3:$CD$12,9,FALSE)</f>
        <v>#N/A</v>
      </c>
      <c r="AJ546" s="230" t="e">
        <f>T546-HLOOKUP(V546,Minimas!$C$3:$CD$12,10,FALSE)</f>
        <v>#N/A</v>
      </c>
      <c r="AK546" s="231" t="str">
        <f t="shared" si="118"/>
        <v xml:space="preserve"> </v>
      </c>
      <c r="AL546" s="232"/>
      <c r="AM546" s="232" t="str">
        <f t="shared" si="119"/>
        <v xml:space="preserve"> </v>
      </c>
      <c r="AN546" s="232" t="str">
        <f t="shared" si="120"/>
        <v xml:space="preserve"> </v>
      </c>
    </row>
    <row r="547" spans="28:40" ht="14" x14ac:dyDescent="0.25">
      <c r="AB547" s="230" t="e">
        <f>T547-HLOOKUP(V547,Minimas!$C$3:$CD$12,2,FALSE)</f>
        <v>#N/A</v>
      </c>
      <c r="AC547" s="230" t="e">
        <f>T547-HLOOKUP(V547,Minimas!$C$3:$CD$12,3,FALSE)</f>
        <v>#N/A</v>
      </c>
      <c r="AD547" s="230" t="e">
        <f>T547-HLOOKUP(V547,Minimas!$C$3:$CD$12,4,FALSE)</f>
        <v>#N/A</v>
      </c>
      <c r="AE547" s="230" t="e">
        <f>T547-HLOOKUP(V547,Minimas!$C$3:$CD$12,5,FALSE)</f>
        <v>#N/A</v>
      </c>
      <c r="AF547" s="230" t="e">
        <f>T547-HLOOKUP(V547,Minimas!$C$3:$CD$12,6,FALSE)</f>
        <v>#N/A</v>
      </c>
      <c r="AG547" s="230" t="e">
        <f>T547-HLOOKUP(V547,Minimas!$C$3:$CD$12,7,FALSE)</f>
        <v>#N/A</v>
      </c>
      <c r="AH547" s="230" t="e">
        <f>T547-HLOOKUP(V547,Minimas!$C$3:$CD$12,8,FALSE)</f>
        <v>#N/A</v>
      </c>
      <c r="AI547" s="230" t="e">
        <f>T547-HLOOKUP(V547,Minimas!$C$3:$CD$12,9,FALSE)</f>
        <v>#N/A</v>
      </c>
      <c r="AJ547" s="230" t="e">
        <f>T547-HLOOKUP(V547,Minimas!$C$3:$CD$12,10,FALSE)</f>
        <v>#N/A</v>
      </c>
      <c r="AK547" s="231" t="str">
        <f t="shared" si="118"/>
        <v xml:space="preserve"> </v>
      </c>
      <c r="AL547" s="232"/>
      <c r="AM547" s="232" t="str">
        <f t="shared" si="119"/>
        <v xml:space="preserve"> </v>
      </c>
      <c r="AN547" s="232" t="str">
        <f t="shared" si="120"/>
        <v xml:space="preserve"> </v>
      </c>
    </row>
    <row r="548" spans="28:40" ht="14" x14ac:dyDescent="0.25">
      <c r="AB548" s="230" t="e">
        <f>T548-HLOOKUP(V548,Minimas!$C$3:$CD$12,2,FALSE)</f>
        <v>#N/A</v>
      </c>
      <c r="AC548" s="230" t="e">
        <f>T548-HLOOKUP(V548,Minimas!$C$3:$CD$12,3,FALSE)</f>
        <v>#N/A</v>
      </c>
      <c r="AD548" s="230" t="e">
        <f>T548-HLOOKUP(V548,Minimas!$C$3:$CD$12,4,FALSE)</f>
        <v>#N/A</v>
      </c>
      <c r="AE548" s="230" t="e">
        <f>T548-HLOOKUP(V548,Minimas!$C$3:$CD$12,5,FALSE)</f>
        <v>#N/A</v>
      </c>
      <c r="AF548" s="230" t="e">
        <f>T548-HLOOKUP(V548,Minimas!$C$3:$CD$12,6,FALSE)</f>
        <v>#N/A</v>
      </c>
      <c r="AG548" s="230" t="e">
        <f>T548-HLOOKUP(V548,Minimas!$C$3:$CD$12,7,FALSE)</f>
        <v>#N/A</v>
      </c>
      <c r="AH548" s="230" t="e">
        <f>T548-HLOOKUP(V548,Minimas!$C$3:$CD$12,8,FALSE)</f>
        <v>#N/A</v>
      </c>
      <c r="AI548" s="230" t="e">
        <f>T548-HLOOKUP(V548,Minimas!$C$3:$CD$12,9,FALSE)</f>
        <v>#N/A</v>
      </c>
      <c r="AJ548" s="230" t="e">
        <f>T548-HLOOKUP(V548,Minimas!$C$3:$CD$12,10,FALSE)</f>
        <v>#N/A</v>
      </c>
      <c r="AK548" s="231" t="str">
        <f t="shared" si="118"/>
        <v xml:space="preserve"> </v>
      </c>
      <c r="AL548" s="232"/>
      <c r="AM548" s="232" t="str">
        <f t="shared" si="119"/>
        <v xml:space="preserve"> </v>
      </c>
      <c r="AN548" s="232" t="str">
        <f t="shared" si="120"/>
        <v xml:space="preserve"> </v>
      </c>
    </row>
    <row r="549" spans="28:40" ht="14" x14ac:dyDescent="0.25">
      <c r="AB549" s="230" t="e">
        <f>T549-HLOOKUP(V549,Minimas!$C$3:$CD$12,2,FALSE)</f>
        <v>#N/A</v>
      </c>
      <c r="AC549" s="230" t="e">
        <f>T549-HLOOKUP(V549,Minimas!$C$3:$CD$12,3,FALSE)</f>
        <v>#N/A</v>
      </c>
      <c r="AD549" s="230" t="e">
        <f>T549-HLOOKUP(V549,Minimas!$C$3:$CD$12,4,FALSE)</f>
        <v>#N/A</v>
      </c>
      <c r="AE549" s="230" t="e">
        <f>T549-HLOOKUP(V549,Minimas!$C$3:$CD$12,5,FALSE)</f>
        <v>#N/A</v>
      </c>
      <c r="AF549" s="230" t="e">
        <f>T549-HLOOKUP(V549,Minimas!$C$3:$CD$12,6,FALSE)</f>
        <v>#N/A</v>
      </c>
      <c r="AG549" s="230" t="e">
        <f>T549-HLOOKUP(V549,Minimas!$C$3:$CD$12,7,FALSE)</f>
        <v>#N/A</v>
      </c>
      <c r="AH549" s="230" t="e">
        <f>T549-HLOOKUP(V549,Minimas!$C$3:$CD$12,8,FALSE)</f>
        <v>#N/A</v>
      </c>
      <c r="AI549" s="230" t="e">
        <f>T549-HLOOKUP(V549,Minimas!$C$3:$CD$12,9,FALSE)</f>
        <v>#N/A</v>
      </c>
      <c r="AJ549" s="230" t="e">
        <f>T549-HLOOKUP(V549,Minimas!$C$3:$CD$12,10,FALSE)</f>
        <v>#N/A</v>
      </c>
      <c r="AK549" s="231" t="str">
        <f t="shared" si="118"/>
        <v xml:space="preserve"> </v>
      </c>
      <c r="AL549" s="232"/>
      <c r="AM549" s="232" t="str">
        <f t="shared" si="119"/>
        <v xml:space="preserve"> </v>
      </c>
      <c r="AN549" s="232" t="str">
        <f t="shared" si="120"/>
        <v xml:space="preserve"> </v>
      </c>
    </row>
    <row r="550" spans="28:40" ht="14" x14ac:dyDescent="0.25">
      <c r="AB550" s="230" t="e">
        <f>T550-HLOOKUP(V550,Minimas!$C$3:$CD$12,2,FALSE)</f>
        <v>#N/A</v>
      </c>
      <c r="AC550" s="230" t="e">
        <f>T550-HLOOKUP(V550,Minimas!$C$3:$CD$12,3,FALSE)</f>
        <v>#N/A</v>
      </c>
      <c r="AD550" s="230" t="e">
        <f>T550-HLOOKUP(V550,Minimas!$C$3:$CD$12,4,FALSE)</f>
        <v>#N/A</v>
      </c>
      <c r="AE550" s="230" t="e">
        <f>T550-HLOOKUP(V550,Minimas!$C$3:$CD$12,5,FALSE)</f>
        <v>#N/A</v>
      </c>
      <c r="AF550" s="230" t="e">
        <f>T550-HLOOKUP(V550,Minimas!$C$3:$CD$12,6,FALSE)</f>
        <v>#N/A</v>
      </c>
      <c r="AG550" s="230" t="e">
        <f>T550-HLOOKUP(V550,Minimas!$C$3:$CD$12,7,FALSE)</f>
        <v>#N/A</v>
      </c>
      <c r="AH550" s="230" t="e">
        <f>T550-HLOOKUP(V550,Minimas!$C$3:$CD$12,8,FALSE)</f>
        <v>#N/A</v>
      </c>
      <c r="AI550" s="230" t="e">
        <f>T550-HLOOKUP(V550,Minimas!$C$3:$CD$12,9,FALSE)</f>
        <v>#N/A</v>
      </c>
      <c r="AJ550" s="230" t="e">
        <f>T550-HLOOKUP(V550,Minimas!$C$3:$CD$12,10,FALSE)</f>
        <v>#N/A</v>
      </c>
      <c r="AK550" s="231" t="str">
        <f t="shared" si="118"/>
        <v xml:space="preserve"> </v>
      </c>
      <c r="AL550" s="232"/>
      <c r="AM550" s="232" t="str">
        <f t="shared" si="119"/>
        <v xml:space="preserve"> </v>
      </c>
      <c r="AN550" s="232" t="str">
        <f t="shared" si="120"/>
        <v xml:space="preserve"> </v>
      </c>
    </row>
    <row r="551" spans="28:40" ht="14" x14ac:dyDescent="0.25">
      <c r="AB551" s="230" t="e">
        <f>T551-HLOOKUP(V551,Minimas!$C$3:$CD$12,2,FALSE)</f>
        <v>#N/A</v>
      </c>
      <c r="AC551" s="230" t="e">
        <f>T551-HLOOKUP(V551,Minimas!$C$3:$CD$12,3,FALSE)</f>
        <v>#N/A</v>
      </c>
      <c r="AD551" s="230" t="e">
        <f>T551-HLOOKUP(V551,Minimas!$C$3:$CD$12,4,FALSE)</f>
        <v>#N/A</v>
      </c>
      <c r="AE551" s="230" t="e">
        <f>T551-HLOOKUP(V551,Minimas!$C$3:$CD$12,5,FALSE)</f>
        <v>#N/A</v>
      </c>
      <c r="AF551" s="230" t="e">
        <f>T551-HLOOKUP(V551,Minimas!$C$3:$CD$12,6,FALSE)</f>
        <v>#N/A</v>
      </c>
      <c r="AG551" s="230" t="e">
        <f>T551-HLOOKUP(V551,Minimas!$C$3:$CD$12,7,FALSE)</f>
        <v>#N/A</v>
      </c>
      <c r="AH551" s="230" t="e">
        <f>T551-HLOOKUP(V551,Minimas!$C$3:$CD$12,8,FALSE)</f>
        <v>#N/A</v>
      </c>
      <c r="AI551" s="230" t="e">
        <f>T551-HLOOKUP(V551,Minimas!$C$3:$CD$12,9,FALSE)</f>
        <v>#N/A</v>
      </c>
      <c r="AJ551" s="230" t="e">
        <f>T551-HLOOKUP(V551,Minimas!$C$3:$CD$12,10,FALSE)</f>
        <v>#N/A</v>
      </c>
      <c r="AK551" s="231" t="str">
        <f t="shared" si="118"/>
        <v xml:space="preserve"> </v>
      </c>
      <c r="AL551" s="232"/>
      <c r="AM551" s="232" t="str">
        <f t="shared" si="119"/>
        <v xml:space="preserve"> </v>
      </c>
      <c r="AN551" s="232" t="str">
        <f t="shared" si="120"/>
        <v xml:space="preserve"> </v>
      </c>
    </row>
    <row r="552" spans="28:40" ht="14" x14ac:dyDescent="0.25">
      <c r="AB552" s="230" t="e">
        <f>T552-HLOOKUP(V552,Minimas!$C$3:$CD$12,2,FALSE)</f>
        <v>#N/A</v>
      </c>
      <c r="AC552" s="230" t="e">
        <f>T552-HLOOKUP(V552,Minimas!$C$3:$CD$12,3,FALSE)</f>
        <v>#N/A</v>
      </c>
      <c r="AD552" s="230" t="e">
        <f>T552-HLOOKUP(V552,Minimas!$C$3:$CD$12,4,FALSE)</f>
        <v>#N/A</v>
      </c>
      <c r="AE552" s="230" t="e">
        <f>T552-HLOOKUP(V552,Minimas!$C$3:$CD$12,5,FALSE)</f>
        <v>#N/A</v>
      </c>
      <c r="AF552" s="230" t="e">
        <f>T552-HLOOKUP(V552,Minimas!$C$3:$CD$12,6,FALSE)</f>
        <v>#N/A</v>
      </c>
      <c r="AG552" s="230" t="e">
        <f>T552-HLOOKUP(V552,Minimas!$C$3:$CD$12,7,FALSE)</f>
        <v>#N/A</v>
      </c>
      <c r="AH552" s="230" t="e">
        <f>T552-HLOOKUP(V552,Minimas!$C$3:$CD$12,8,FALSE)</f>
        <v>#N/A</v>
      </c>
      <c r="AI552" s="230" t="e">
        <f>T552-HLOOKUP(V552,Minimas!$C$3:$CD$12,9,FALSE)</f>
        <v>#N/A</v>
      </c>
      <c r="AJ552" s="230" t="e">
        <f>T552-HLOOKUP(V552,Minimas!$C$3:$CD$12,10,FALSE)</f>
        <v>#N/A</v>
      </c>
      <c r="AK552" s="231" t="str">
        <f t="shared" si="118"/>
        <v xml:space="preserve"> </v>
      </c>
      <c r="AL552" s="232"/>
      <c r="AM552" s="232" t="str">
        <f t="shared" si="119"/>
        <v xml:space="preserve"> </v>
      </c>
      <c r="AN552" s="232" t="str">
        <f t="shared" si="120"/>
        <v xml:space="preserve"> </v>
      </c>
    </row>
    <row r="553" spans="28:40" ht="14" x14ac:dyDescent="0.25">
      <c r="AB553" s="230" t="e">
        <f>T553-HLOOKUP(V553,Minimas!$C$3:$CD$12,2,FALSE)</f>
        <v>#N/A</v>
      </c>
      <c r="AC553" s="230" t="e">
        <f>T553-HLOOKUP(V553,Minimas!$C$3:$CD$12,3,FALSE)</f>
        <v>#N/A</v>
      </c>
      <c r="AD553" s="230" t="e">
        <f>T553-HLOOKUP(V553,Minimas!$C$3:$CD$12,4,FALSE)</f>
        <v>#N/A</v>
      </c>
      <c r="AE553" s="230" t="e">
        <f>T553-HLOOKUP(V553,Minimas!$C$3:$CD$12,5,FALSE)</f>
        <v>#N/A</v>
      </c>
      <c r="AF553" s="230" t="e">
        <f>T553-HLOOKUP(V553,Minimas!$C$3:$CD$12,6,FALSE)</f>
        <v>#N/A</v>
      </c>
      <c r="AG553" s="230" t="e">
        <f>T553-HLOOKUP(V553,Minimas!$C$3:$CD$12,7,FALSE)</f>
        <v>#N/A</v>
      </c>
      <c r="AH553" s="230" t="e">
        <f>T553-HLOOKUP(V553,Minimas!$C$3:$CD$12,8,FALSE)</f>
        <v>#N/A</v>
      </c>
      <c r="AI553" s="230" t="e">
        <f>T553-HLOOKUP(V553,Minimas!$C$3:$CD$12,9,FALSE)</f>
        <v>#N/A</v>
      </c>
      <c r="AJ553" s="230" t="e">
        <f>T553-HLOOKUP(V553,Minimas!$C$3:$CD$12,10,FALSE)</f>
        <v>#N/A</v>
      </c>
      <c r="AK553" s="231" t="str">
        <f t="shared" si="118"/>
        <v xml:space="preserve"> </v>
      </c>
      <c r="AL553" s="232"/>
      <c r="AM553" s="232" t="str">
        <f t="shared" si="119"/>
        <v xml:space="preserve"> </v>
      </c>
      <c r="AN553" s="232" t="str">
        <f t="shared" si="120"/>
        <v xml:space="preserve"> </v>
      </c>
    </row>
    <row r="554" spans="28:40" ht="14" x14ac:dyDescent="0.25">
      <c r="AB554" s="230" t="e">
        <f>T554-HLOOKUP(V554,Minimas!$C$3:$CD$12,2,FALSE)</f>
        <v>#N/A</v>
      </c>
      <c r="AC554" s="230" t="e">
        <f>T554-HLOOKUP(V554,Minimas!$C$3:$CD$12,3,FALSE)</f>
        <v>#N/A</v>
      </c>
      <c r="AD554" s="230" t="e">
        <f>T554-HLOOKUP(V554,Minimas!$C$3:$CD$12,4,FALSE)</f>
        <v>#N/A</v>
      </c>
      <c r="AE554" s="230" t="e">
        <f>T554-HLOOKUP(V554,Minimas!$C$3:$CD$12,5,FALSE)</f>
        <v>#N/A</v>
      </c>
      <c r="AF554" s="230" t="e">
        <f>T554-HLOOKUP(V554,Minimas!$C$3:$CD$12,6,FALSE)</f>
        <v>#N/A</v>
      </c>
      <c r="AG554" s="230" t="e">
        <f>T554-HLOOKUP(V554,Minimas!$C$3:$CD$12,7,FALSE)</f>
        <v>#N/A</v>
      </c>
      <c r="AH554" s="230" t="e">
        <f>T554-HLOOKUP(V554,Minimas!$C$3:$CD$12,8,FALSE)</f>
        <v>#N/A</v>
      </c>
      <c r="AI554" s="230" t="e">
        <f>T554-HLOOKUP(V554,Minimas!$C$3:$CD$12,9,FALSE)</f>
        <v>#N/A</v>
      </c>
      <c r="AJ554" s="230" t="e">
        <f>T554-HLOOKUP(V554,Minimas!$C$3:$CD$12,10,FALSE)</f>
        <v>#N/A</v>
      </c>
      <c r="AK554" s="231" t="str">
        <f t="shared" si="118"/>
        <v xml:space="preserve"> </v>
      </c>
      <c r="AL554" s="232"/>
      <c r="AM554" s="232" t="str">
        <f t="shared" si="119"/>
        <v xml:space="preserve"> </v>
      </c>
      <c r="AN554" s="232" t="str">
        <f t="shared" si="120"/>
        <v xml:space="preserve"> </v>
      </c>
    </row>
    <row r="555" spans="28:40" ht="14" x14ac:dyDescent="0.25">
      <c r="AB555" s="230" t="e">
        <f>T555-HLOOKUP(V555,Minimas!$C$3:$CD$12,2,FALSE)</f>
        <v>#N/A</v>
      </c>
      <c r="AC555" s="230" t="e">
        <f>T555-HLOOKUP(V555,Minimas!$C$3:$CD$12,3,FALSE)</f>
        <v>#N/A</v>
      </c>
      <c r="AD555" s="230" t="e">
        <f>T555-HLOOKUP(V555,Minimas!$C$3:$CD$12,4,FALSE)</f>
        <v>#N/A</v>
      </c>
      <c r="AE555" s="230" t="e">
        <f>T555-HLOOKUP(V555,Minimas!$C$3:$CD$12,5,FALSE)</f>
        <v>#N/A</v>
      </c>
      <c r="AF555" s="230" t="e">
        <f>T555-HLOOKUP(V555,Minimas!$C$3:$CD$12,6,FALSE)</f>
        <v>#N/A</v>
      </c>
      <c r="AG555" s="230" t="e">
        <f>T555-HLOOKUP(V555,Minimas!$C$3:$CD$12,7,FALSE)</f>
        <v>#N/A</v>
      </c>
      <c r="AH555" s="230" t="e">
        <f>T555-HLOOKUP(V555,Minimas!$C$3:$CD$12,8,FALSE)</f>
        <v>#N/A</v>
      </c>
      <c r="AI555" s="230" t="e">
        <f>T555-HLOOKUP(V555,Minimas!$C$3:$CD$12,9,FALSE)</f>
        <v>#N/A</v>
      </c>
      <c r="AJ555" s="230" t="e">
        <f>T555-HLOOKUP(V555,Minimas!$C$3:$CD$12,10,FALSE)</f>
        <v>#N/A</v>
      </c>
      <c r="AK555" s="231" t="str">
        <f t="shared" si="118"/>
        <v xml:space="preserve"> </v>
      </c>
      <c r="AL555" s="232"/>
      <c r="AM555" s="232" t="str">
        <f t="shared" si="119"/>
        <v xml:space="preserve"> </v>
      </c>
      <c r="AN555" s="232" t="str">
        <f t="shared" si="120"/>
        <v xml:space="preserve"> </v>
      </c>
    </row>
    <row r="556" spans="28:40" ht="14" x14ac:dyDescent="0.25">
      <c r="AB556" s="230" t="e">
        <f>T556-HLOOKUP(V556,Minimas!$C$3:$CD$12,2,FALSE)</f>
        <v>#N/A</v>
      </c>
      <c r="AC556" s="230" t="e">
        <f>T556-HLOOKUP(V556,Minimas!$C$3:$CD$12,3,FALSE)</f>
        <v>#N/A</v>
      </c>
      <c r="AD556" s="230" t="e">
        <f>T556-HLOOKUP(V556,Minimas!$C$3:$CD$12,4,FALSE)</f>
        <v>#N/A</v>
      </c>
      <c r="AE556" s="230" t="e">
        <f>T556-HLOOKUP(V556,Minimas!$C$3:$CD$12,5,FALSE)</f>
        <v>#N/A</v>
      </c>
      <c r="AF556" s="230" t="e">
        <f>T556-HLOOKUP(V556,Minimas!$C$3:$CD$12,6,FALSE)</f>
        <v>#N/A</v>
      </c>
      <c r="AG556" s="230" t="e">
        <f>T556-HLOOKUP(V556,Minimas!$C$3:$CD$12,7,FALSE)</f>
        <v>#N/A</v>
      </c>
      <c r="AH556" s="230" t="e">
        <f>T556-HLOOKUP(V556,Minimas!$C$3:$CD$12,8,FALSE)</f>
        <v>#N/A</v>
      </c>
      <c r="AI556" s="230" t="e">
        <f>T556-HLOOKUP(V556,Minimas!$C$3:$CD$12,9,FALSE)</f>
        <v>#N/A</v>
      </c>
      <c r="AJ556" s="230" t="e">
        <f>T556-HLOOKUP(V556,Minimas!$C$3:$CD$12,10,FALSE)</f>
        <v>#N/A</v>
      </c>
      <c r="AK556" s="231" t="str">
        <f t="shared" si="118"/>
        <v xml:space="preserve"> </v>
      </c>
      <c r="AL556" s="232"/>
      <c r="AM556" s="232" t="str">
        <f t="shared" si="119"/>
        <v xml:space="preserve"> </v>
      </c>
      <c r="AN556" s="232" t="str">
        <f t="shared" si="120"/>
        <v xml:space="preserve"> </v>
      </c>
    </row>
    <row r="557" spans="28:40" ht="14" x14ac:dyDescent="0.25">
      <c r="AB557" s="230" t="e">
        <f>T557-HLOOKUP(V557,Minimas!$C$3:$CD$12,2,FALSE)</f>
        <v>#N/A</v>
      </c>
      <c r="AC557" s="230" t="e">
        <f>T557-HLOOKUP(V557,Minimas!$C$3:$CD$12,3,FALSE)</f>
        <v>#N/A</v>
      </c>
      <c r="AD557" s="230" t="e">
        <f>T557-HLOOKUP(V557,Minimas!$C$3:$CD$12,4,FALSE)</f>
        <v>#N/A</v>
      </c>
      <c r="AE557" s="230" t="e">
        <f>T557-HLOOKUP(V557,Minimas!$C$3:$CD$12,5,FALSE)</f>
        <v>#N/A</v>
      </c>
      <c r="AF557" s="230" t="e">
        <f>T557-HLOOKUP(V557,Minimas!$C$3:$CD$12,6,FALSE)</f>
        <v>#N/A</v>
      </c>
      <c r="AG557" s="230" t="e">
        <f>T557-HLOOKUP(V557,Minimas!$C$3:$CD$12,7,FALSE)</f>
        <v>#N/A</v>
      </c>
      <c r="AH557" s="230" t="e">
        <f>T557-HLOOKUP(V557,Minimas!$C$3:$CD$12,8,FALSE)</f>
        <v>#N/A</v>
      </c>
      <c r="AI557" s="230" t="e">
        <f>T557-HLOOKUP(V557,Minimas!$C$3:$CD$12,9,FALSE)</f>
        <v>#N/A</v>
      </c>
      <c r="AJ557" s="230" t="e">
        <f>T557-HLOOKUP(V557,Minimas!$C$3:$CD$12,10,FALSE)</f>
        <v>#N/A</v>
      </c>
      <c r="AK557" s="231" t="str">
        <f t="shared" si="118"/>
        <v xml:space="preserve"> </v>
      </c>
      <c r="AL557" s="232"/>
      <c r="AM557" s="232" t="str">
        <f t="shared" si="119"/>
        <v xml:space="preserve"> </v>
      </c>
      <c r="AN557" s="232" t="str">
        <f t="shared" si="120"/>
        <v xml:space="preserve"> </v>
      </c>
    </row>
    <row r="558" spans="28:40" ht="14" x14ac:dyDescent="0.25">
      <c r="AB558" s="230" t="e">
        <f>T558-HLOOKUP(V558,Minimas!$C$3:$CD$12,2,FALSE)</f>
        <v>#N/A</v>
      </c>
      <c r="AC558" s="230" t="e">
        <f>T558-HLOOKUP(V558,Minimas!$C$3:$CD$12,3,FALSE)</f>
        <v>#N/A</v>
      </c>
      <c r="AD558" s="230" t="e">
        <f>T558-HLOOKUP(V558,Minimas!$C$3:$CD$12,4,FALSE)</f>
        <v>#N/A</v>
      </c>
      <c r="AE558" s="230" t="e">
        <f>T558-HLOOKUP(V558,Minimas!$C$3:$CD$12,5,FALSE)</f>
        <v>#N/A</v>
      </c>
      <c r="AF558" s="230" t="e">
        <f>T558-HLOOKUP(V558,Minimas!$C$3:$CD$12,6,FALSE)</f>
        <v>#N/A</v>
      </c>
      <c r="AG558" s="230" t="e">
        <f>T558-HLOOKUP(V558,Minimas!$C$3:$CD$12,7,FALSE)</f>
        <v>#N/A</v>
      </c>
      <c r="AH558" s="230" t="e">
        <f>T558-HLOOKUP(V558,Minimas!$C$3:$CD$12,8,FALSE)</f>
        <v>#N/A</v>
      </c>
      <c r="AI558" s="230" t="e">
        <f>T558-HLOOKUP(V558,Minimas!$C$3:$CD$12,9,FALSE)</f>
        <v>#N/A</v>
      </c>
      <c r="AJ558" s="230" t="e">
        <f>T558-HLOOKUP(V558,Minimas!$C$3:$CD$12,10,FALSE)</f>
        <v>#N/A</v>
      </c>
      <c r="AK558" s="231" t="str">
        <f t="shared" si="118"/>
        <v xml:space="preserve"> </v>
      </c>
      <c r="AL558" s="232"/>
      <c r="AM558" s="232" t="str">
        <f t="shared" si="119"/>
        <v xml:space="preserve"> </v>
      </c>
      <c r="AN558" s="232" t="str">
        <f t="shared" si="120"/>
        <v xml:space="preserve"> </v>
      </c>
    </row>
    <row r="559" spans="28:40" ht="14" x14ac:dyDescent="0.25">
      <c r="AB559" s="230" t="e">
        <f>T559-HLOOKUP(V559,Minimas!$C$3:$CD$12,2,FALSE)</f>
        <v>#N/A</v>
      </c>
      <c r="AC559" s="230" t="e">
        <f>T559-HLOOKUP(V559,Minimas!$C$3:$CD$12,3,FALSE)</f>
        <v>#N/A</v>
      </c>
      <c r="AD559" s="230" t="e">
        <f>T559-HLOOKUP(V559,Minimas!$C$3:$CD$12,4,FALSE)</f>
        <v>#N/A</v>
      </c>
      <c r="AE559" s="230" t="e">
        <f>T559-HLOOKUP(V559,Minimas!$C$3:$CD$12,5,FALSE)</f>
        <v>#N/A</v>
      </c>
      <c r="AF559" s="230" t="e">
        <f>T559-HLOOKUP(V559,Minimas!$C$3:$CD$12,6,FALSE)</f>
        <v>#N/A</v>
      </c>
      <c r="AG559" s="230" t="e">
        <f>T559-HLOOKUP(V559,Minimas!$C$3:$CD$12,7,FALSE)</f>
        <v>#N/A</v>
      </c>
      <c r="AH559" s="230" t="e">
        <f>T559-HLOOKUP(V559,Minimas!$C$3:$CD$12,8,FALSE)</f>
        <v>#N/A</v>
      </c>
      <c r="AI559" s="230" t="e">
        <f>T559-HLOOKUP(V559,Minimas!$C$3:$CD$12,9,FALSE)</f>
        <v>#N/A</v>
      </c>
      <c r="AJ559" s="230" t="e">
        <f>T559-HLOOKUP(V559,Minimas!$C$3:$CD$12,10,FALSE)</f>
        <v>#N/A</v>
      </c>
      <c r="AK559" s="231" t="str">
        <f t="shared" si="118"/>
        <v xml:space="preserve"> </v>
      </c>
      <c r="AL559" s="232"/>
      <c r="AM559" s="232" t="str">
        <f t="shared" si="119"/>
        <v xml:space="preserve"> </v>
      </c>
      <c r="AN559" s="232" t="str">
        <f t="shared" si="120"/>
        <v xml:space="preserve"> </v>
      </c>
    </row>
    <row r="560" spans="28:40" ht="14" x14ac:dyDescent="0.25">
      <c r="AB560" s="230" t="e">
        <f>T560-HLOOKUP(V560,Minimas!$C$3:$CD$12,2,FALSE)</f>
        <v>#N/A</v>
      </c>
      <c r="AC560" s="230" t="e">
        <f>T560-HLOOKUP(V560,Minimas!$C$3:$CD$12,3,FALSE)</f>
        <v>#N/A</v>
      </c>
      <c r="AD560" s="230" t="e">
        <f>T560-HLOOKUP(V560,Minimas!$C$3:$CD$12,4,FALSE)</f>
        <v>#N/A</v>
      </c>
      <c r="AE560" s="230" t="e">
        <f>T560-HLOOKUP(V560,Minimas!$C$3:$CD$12,5,FALSE)</f>
        <v>#N/A</v>
      </c>
      <c r="AF560" s="230" t="e">
        <f>T560-HLOOKUP(V560,Minimas!$C$3:$CD$12,6,FALSE)</f>
        <v>#N/A</v>
      </c>
      <c r="AG560" s="230" t="e">
        <f>T560-HLOOKUP(V560,Minimas!$C$3:$CD$12,7,FALSE)</f>
        <v>#N/A</v>
      </c>
      <c r="AH560" s="230" t="e">
        <f>T560-HLOOKUP(V560,Minimas!$C$3:$CD$12,8,FALSE)</f>
        <v>#N/A</v>
      </c>
      <c r="AI560" s="230" t="e">
        <f>T560-HLOOKUP(V560,Minimas!$C$3:$CD$12,9,FALSE)</f>
        <v>#N/A</v>
      </c>
      <c r="AJ560" s="230" t="e">
        <f>T560-HLOOKUP(V560,Minimas!$C$3:$CD$12,10,FALSE)</f>
        <v>#N/A</v>
      </c>
      <c r="AK560" s="231" t="str">
        <f t="shared" si="118"/>
        <v xml:space="preserve"> </v>
      </c>
      <c r="AL560" s="232"/>
      <c r="AM560" s="232" t="str">
        <f t="shared" si="119"/>
        <v xml:space="preserve"> </v>
      </c>
      <c r="AN560" s="232" t="str">
        <f t="shared" si="120"/>
        <v xml:space="preserve"> </v>
      </c>
    </row>
    <row r="561" spans="28:40" ht="14" x14ac:dyDescent="0.25">
      <c r="AB561" s="230" t="e">
        <f>T561-HLOOKUP(V561,Minimas!$C$3:$CD$12,2,FALSE)</f>
        <v>#N/A</v>
      </c>
      <c r="AC561" s="230" t="e">
        <f>T561-HLOOKUP(V561,Minimas!$C$3:$CD$12,3,FALSE)</f>
        <v>#N/A</v>
      </c>
      <c r="AD561" s="230" t="e">
        <f>T561-HLOOKUP(V561,Minimas!$C$3:$CD$12,4,FALSE)</f>
        <v>#N/A</v>
      </c>
      <c r="AE561" s="230" t="e">
        <f>T561-HLOOKUP(V561,Minimas!$C$3:$CD$12,5,FALSE)</f>
        <v>#N/A</v>
      </c>
      <c r="AF561" s="230" t="e">
        <f>T561-HLOOKUP(V561,Minimas!$C$3:$CD$12,6,FALSE)</f>
        <v>#N/A</v>
      </c>
      <c r="AG561" s="230" t="e">
        <f>T561-HLOOKUP(V561,Minimas!$C$3:$CD$12,7,FALSE)</f>
        <v>#N/A</v>
      </c>
      <c r="AH561" s="230" t="e">
        <f>T561-HLOOKUP(V561,Minimas!$C$3:$CD$12,8,FALSE)</f>
        <v>#N/A</v>
      </c>
      <c r="AI561" s="230" t="e">
        <f>T561-HLOOKUP(V561,Minimas!$C$3:$CD$12,9,FALSE)</f>
        <v>#N/A</v>
      </c>
      <c r="AJ561" s="230" t="e">
        <f>T561-HLOOKUP(V561,Minimas!$C$3:$CD$12,10,FALSE)</f>
        <v>#N/A</v>
      </c>
      <c r="AK561" s="231" t="str">
        <f t="shared" si="118"/>
        <v xml:space="preserve"> </v>
      </c>
      <c r="AL561" s="232"/>
      <c r="AM561" s="232" t="str">
        <f t="shared" si="119"/>
        <v xml:space="preserve"> </v>
      </c>
      <c r="AN561" s="232" t="str">
        <f t="shared" si="120"/>
        <v xml:space="preserve"> </v>
      </c>
    </row>
    <row r="562" spans="28:40" ht="14" x14ac:dyDescent="0.25">
      <c r="AB562" s="230" t="e">
        <f>T562-HLOOKUP(V562,Minimas!$C$3:$CD$12,2,FALSE)</f>
        <v>#N/A</v>
      </c>
      <c r="AC562" s="230" t="e">
        <f>T562-HLOOKUP(V562,Minimas!$C$3:$CD$12,3,FALSE)</f>
        <v>#N/A</v>
      </c>
      <c r="AD562" s="230" t="e">
        <f>T562-HLOOKUP(V562,Minimas!$C$3:$CD$12,4,FALSE)</f>
        <v>#N/A</v>
      </c>
      <c r="AE562" s="230" t="e">
        <f>T562-HLOOKUP(V562,Minimas!$C$3:$CD$12,5,FALSE)</f>
        <v>#N/A</v>
      </c>
      <c r="AF562" s="230" t="e">
        <f>T562-HLOOKUP(V562,Minimas!$C$3:$CD$12,6,FALSE)</f>
        <v>#N/A</v>
      </c>
      <c r="AG562" s="230" t="e">
        <f>T562-HLOOKUP(V562,Minimas!$C$3:$CD$12,7,FALSE)</f>
        <v>#N/A</v>
      </c>
      <c r="AH562" s="230" t="e">
        <f>T562-HLOOKUP(V562,Minimas!$C$3:$CD$12,8,FALSE)</f>
        <v>#N/A</v>
      </c>
      <c r="AI562" s="230" t="e">
        <f>T562-HLOOKUP(V562,Minimas!$C$3:$CD$12,9,FALSE)</f>
        <v>#N/A</v>
      </c>
      <c r="AJ562" s="230" t="e">
        <f>T562-HLOOKUP(V562,Minimas!$C$3:$CD$12,10,FALSE)</f>
        <v>#N/A</v>
      </c>
      <c r="AK562" s="231" t="str">
        <f t="shared" si="118"/>
        <v xml:space="preserve"> </v>
      </c>
      <c r="AL562" s="232"/>
      <c r="AM562" s="232" t="str">
        <f t="shared" si="119"/>
        <v xml:space="preserve"> </v>
      </c>
      <c r="AN562" s="232" t="str">
        <f t="shared" si="120"/>
        <v xml:space="preserve"> </v>
      </c>
    </row>
    <row r="563" spans="28:40" ht="14" x14ac:dyDescent="0.25">
      <c r="AB563" s="230" t="e">
        <f>T563-HLOOKUP(V563,Minimas!$C$3:$CD$12,2,FALSE)</f>
        <v>#N/A</v>
      </c>
      <c r="AC563" s="230" t="e">
        <f>T563-HLOOKUP(V563,Minimas!$C$3:$CD$12,3,FALSE)</f>
        <v>#N/A</v>
      </c>
      <c r="AD563" s="230" t="e">
        <f>T563-HLOOKUP(V563,Minimas!$C$3:$CD$12,4,FALSE)</f>
        <v>#N/A</v>
      </c>
      <c r="AE563" s="230" t="e">
        <f>T563-HLOOKUP(V563,Minimas!$C$3:$CD$12,5,FALSE)</f>
        <v>#N/A</v>
      </c>
      <c r="AF563" s="230" t="e">
        <f>T563-HLOOKUP(V563,Minimas!$C$3:$CD$12,6,FALSE)</f>
        <v>#N/A</v>
      </c>
      <c r="AG563" s="230" t="e">
        <f>T563-HLOOKUP(V563,Minimas!$C$3:$CD$12,7,FALSE)</f>
        <v>#N/A</v>
      </c>
      <c r="AH563" s="230" t="e">
        <f>T563-HLOOKUP(V563,Minimas!$C$3:$CD$12,8,FALSE)</f>
        <v>#N/A</v>
      </c>
      <c r="AI563" s="230" t="e">
        <f>T563-HLOOKUP(V563,Minimas!$C$3:$CD$12,9,FALSE)</f>
        <v>#N/A</v>
      </c>
      <c r="AJ563" s="230" t="e">
        <f>T563-HLOOKUP(V563,Minimas!$C$3:$CD$12,10,FALSE)</f>
        <v>#N/A</v>
      </c>
      <c r="AK563" s="231" t="str">
        <f t="shared" si="118"/>
        <v xml:space="preserve"> </v>
      </c>
      <c r="AL563" s="232"/>
      <c r="AM563" s="232" t="str">
        <f t="shared" si="119"/>
        <v xml:space="preserve"> </v>
      </c>
      <c r="AN563" s="232" t="str">
        <f t="shared" si="120"/>
        <v xml:space="preserve"> </v>
      </c>
    </row>
    <row r="564" spans="28:40" ht="14" x14ac:dyDescent="0.25">
      <c r="AB564" s="230" t="e">
        <f>T564-HLOOKUP(V564,Minimas!$C$3:$CD$12,2,FALSE)</f>
        <v>#N/A</v>
      </c>
      <c r="AC564" s="230" t="e">
        <f>T564-HLOOKUP(V564,Minimas!$C$3:$CD$12,3,FALSE)</f>
        <v>#N/A</v>
      </c>
      <c r="AD564" s="230" t="e">
        <f>T564-HLOOKUP(V564,Minimas!$C$3:$CD$12,4,FALSE)</f>
        <v>#N/A</v>
      </c>
      <c r="AE564" s="230" t="e">
        <f>T564-HLOOKUP(V564,Minimas!$C$3:$CD$12,5,FALSE)</f>
        <v>#N/A</v>
      </c>
      <c r="AF564" s="230" t="e">
        <f>T564-HLOOKUP(V564,Minimas!$C$3:$CD$12,6,FALSE)</f>
        <v>#N/A</v>
      </c>
      <c r="AG564" s="230" t="e">
        <f>T564-HLOOKUP(V564,Minimas!$C$3:$CD$12,7,FALSE)</f>
        <v>#N/A</v>
      </c>
      <c r="AH564" s="230" t="e">
        <f>T564-HLOOKUP(V564,Minimas!$C$3:$CD$12,8,FALSE)</f>
        <v>#N/A</v>
      </c>
      <c r="AI564" s="230" t="e">
        <f>T564-HLOOKUP(V564,Minimas!$C$3:$CD$12,9,FALSE)</f>
        <v>#N/A</v>
      </c>
      <c r="AJ564" s="230" t="e">
        <f>T564-HLOOKUP(V564,Minimas!$C$3:$CD$12,10,FALSE)</f>
        <v>#N/A</v>
      </c>
      <c r="AK564" s="231" t="str">
        <f t="shared" si="118"/>
        <v xml:space="preserve"> </v>
      </c>
      <c r="AL564" s="232"/>
      <c r="AM564" s="232" t="str">
        <f t="shared" si="119"/>
        <v xml:space="preserve"> </v>
      </c>
      <c r="AN564" s="232" t="str">
        <f t="shared" si="120"/>
        <v xml:space="preserve"> </v>
      </c>
    </row>
    <row r="565" spans="28:40" ht="14" x14ac:dyDescent="0.25">
      <c r="AB565" s="230" t="e">
        <f>T565-HLOOKUP(V565,Minimas!$C$3:$CD$12,2,FALSE)</f>
        <v>#N/A</v>
      </c>
      <c r="AC565" s="230" t="e">
        <f>T565-HLOOKUP(V565,Minimas!$C$3:$CD$12,3,FALSE)</f>
        <v>#N/A</v>
      </c>
      <c r="AD565" s="230" t="e">
        <f>T565-HLOOKUP(V565,Minimas!$C$3:$CD$12,4,FALSE)</f>
        <v>#N/A</v>
      </c>
      <c r="AE565" s="230" t="e">
        <f>T565-HLOOKUP(V565,Minimas!$C$3:$CD$12,5,FALSE)</f>
        <v>#N/A</v>
      </c>
      <c r="AF565" s="230" t="e">
        <f>T565-HLOOKUP(V565,Minimas!$C$3:$CD$12,6,FALSE)</f>
        <v>#N/A</v>
      </c>
      <c r="AG565" s="230" t="e">
        <f>T565-HLOOKUP(V565,Minimas!$C$3:$CD$12,7,FALSE)</f>
        <v>#N/A</v>
      </c>
      <c r="AH565" s="230" t="e">
        <f>T565-HLOOKUP(V565,Minimas!$C$3:$CD$12,8,FALSE)</f>
        <v>#N/A</v>
      </c>
      <c r="AI565" s="230" t="e">
        <f>T565-HLOOKUP(V565,Minimas!$C$3:$CD$12,9,FALSE)</f>
        <v>#N/A</v>
      </c>
      <c r="AJ565" s="230" t="e">
        <f>T565-HLOOKUP(V565,Minimas!$C$3:$CD$12,10,FALSE)</f>
        <v>#N/A</v>
      </c>
      <c r="AK565" s="231" t="str">
        <f t="shared" si="118"/>
        <v xml:space="preserve"> </v>
      </c>
      <c r="AL565" s="232"/>
      <c r="AM565" s="232" t="str">
        <f t="shared" si="119"/>
        <v xml:space="preserve"> </v>
      </c>
      <c r="AN565" s="232" t="str">
        <f t="shared" si="120"/>
        <v xml:space="preserve"> </v>
      </c>
    </row>
    <row r="566" spans="28:40" ht="14" x14ac:dyDescent="0.25">
      <c r="AB566" s="230" t="e">
        <f>T566-HLOOKUP(V566,Minimas!$C$3:$CD$12,2,FALSE)</f>
        <v>#N/A</v>
      </c>
      <c r="AC566" s="230" t="e">
        <f>T566-HLOOKUP(V566,Minimas!$C$3:$CD$12,3,FALSE)</f>
        <v>#N/A</v>
      </c>
      <c r="AD566" s="230" t="e">
        <f>T566-HLOOKUP(V566,Minimas!$C$3:$CD$12,4,FALSE)</f>
        <v>#N/A</v>
      </c>
      <c r="AE566" s="230" t="e">
        <f>T566-HLOOKUP(V566,Minimas!$C$3:$CD$12,5,FALSE)</f>
        <v>#N/A</v>
      </c>
      <c r="AF566" s="230" t="e">
        <f>T566-HLOOKUP(V566,Minimas!$C$3:$CD$12,6,FALSE)</f>
        <v>#N/A</v>
      </c>
      <c r="AG566" s="230" t="e">
        <f>T566-HLOOKUP(V566,Minimas!$C$3:$CD$12,7,FALSE)</f>
        <v>#N/A</v>
      </c>
      <c r="AH566" s="230" t="e">
        <f>T566-HLOOKUP(V566,Minimas!$C$3:$CD$12,8,FALSE)</f>
        <v>#N/A</v>
      </c>
      <c r="AI566" s="230" t="e">
        <f>T566-HLOOKUP(V566,Minimas!$C$3:$CD$12,9,FALSE)</f>
        <v>#N/A</v>
      </c>
      <c r="AJ566" s="230" t="e">
        <f>T566-HLOOKUP(V566,Minimas!$C$3:$CD$12,10,FALSE)</f>
        <v>#N/A</v>
      </c>
      <c r="AK566" s="231" t="str">
        <f t="shared" si="118"/>
        <v xml:space="preserve"> </v>
      </c>
      <c r="AL566" s="232"/>
      <c r="AM566" s="232" t="str">
        <f t="shared" si="119"/>
        <v xml:space="preserve"> </v>
      </c>
      <c r="AN566" s="232" t="str">
        <f t="shared" si="120"/>
        <v xml:space="preserve"> </v>
      </c>
    </row>
    <row r="567" spans="28:40" ht="14" x14ac:dyDescent="0.25">
      <c r="AB567" s="230" t="e">
        <f>T567-HLOOKUP(V567,Minimas!$C$3:$CD$12,2,FALSE)</f>
        <v>#N/A</v>
      </c>
      <c r="AC567" s="230" t="e">
        <f>T567-HLOOKUP(V567,Minimas!$C$3:$CD$12,3,FALSE)</f>
        <v>#N/A</v>
      </c>
      <c r="AD567" s="230" t="e">
        <f>T567-HLOOKUP(V567,Minimas!$C$3:$CD$12,4,FALSE)</f>
        <v>#N/A</v>
      </c>
      <c r="AE567" s="230" t="e">
        <f>T567-HLOOKUP(V567,Minimas!$C$3:$CD$12,5,FALSE)</f>
        <v>#N/A</v>
      </c>
      <c r="AF567" s="230" t="e">
        <f>T567-HLOOKUP(V567,Minimas!$C$3:$CD$12,6,FALSE)</f>
        <v>#N/A</v>
      </c>
      <c r="AG567" s="230" t="e">
        <f>T567-HLOOKUP(V567,Minimas!$C$3:$CD$12,7,FALSE)</f>
        <v>#N/A</v>
      </c>
      <c r="AH567" s="230" t="e">
        <f>T567-HLOOKUP(V567,Minimas!$C$3:$CD$12,8,FALSE)</f>
        <v>#N/A</v>
      </c>
      <c r="AI567" s="230" t="e">
        <f>T567-HLOOKUP(V567,Minimas!$C$3:$CD$12,9,FALSE)</f>
        <v>#N/A</v>
      </c>
      <c r="AJ567" s="230" t="e">
        <f>T567-HLOOKUP(V567,Minimas!$C$3:$CD$12,10,FALSE)</f>
        <v>#N/A</v>
      </c>
      <c r="AK567" s="231" t="str">
        <f t="shared" si="118"/>
        <v xml:space="preserve"> </v>
      </c>
      <c r="AL567" s="232"/>
      <c r="AM567" s="232" t="str">
        <f t="shared" si="119"/>
        <v xml:space="preserve"> </v>
      </c>
      <c r="AN567" s="232" t="str">
        <f t="shared" si="120"/>
        <v xml:space="preserve"> </v>
      </c>
    </row>
    <row r="568" spans="28:40" ht="14" x14ac:dyDescent="0.25">
      <c r="AB568" s="230" t="e">
        <f>T568-HLOOKUP(V568,Minimas!$C$3:$CD$12,2,FALSE)</f>
        <v>#N/A</v>
      </c>
      <c r="AC568" s="230" t="e">
        <f>T568-HLOOKUP(V568,Minimas!$C$3:$CD$12,3,FALSE)</f>
        <v>#N/A</v>
      </c>
      <c r="AD568" s="230" t="e">
        <f>T568-HLOOKUP(V568,Minimas!$C$3:$CD$12,4,FALSE)</f>
        <v>#N/A</v>
      </c>
      <c r="AE568" s="230" t="e">
        <f>T568-HLOOKUP(V568,Minimas!$C$3:$CD$12,5,FALSE)</f>
        <v>#N/A</v>
      </c>
      <c r="AF568" s="230" t="e">
        <f>T568-HLOOKUP(V568,Minimas!$C$3:$CD$12,6,FALSE)</f>
        <v>#N/A</v>
      </c>
      <c r="AG568" s="230" t="e">
        <f>T568-HLOOKUP(V568,Minimas!$C$3:$CD$12,7,FALSE)</f>
        <v>#N/A</v>
      </c>
      <c r="AH568" s="230" t="e">
        <f>T568-HLOOKUP(V568,Minimas!$C$3:$CD$12,8,FALSE)</f>
        <v>#N/A</v>
      </c>
      <c r="AI568" s="230" t="e">
        <f>T568-HLOOKUP(V568,Minimas!$C$3:$CD$12,9,FALSE)</f>
        <v>#N/A</v>
      </c>
      <c r="AJ568" s="230" t="e">
        <f>T568-HLOOKUP(V568,Minimas!$C$3:$CD$12,10,FALSE)</f>
        <v>#N/A</v>
      </c>
      <c r="AK568" s="231" t="str">
        <f t="shared" si="118"/>
        <v xml:space="preserve"> </v>
      </c>
      <c r="AL568" s="232"/>
      <c r="AM568" s="232" t="str">
        <f t="shared" si="119"/>
        <v xml:space="preserve"> </v>
      </c>
      <c r="AN568" s="232" t="str">
        <f t="shared" si="120"/>
        <v xml:space="preserve"> </v>
      </c>
    </row>
    <row r="569" spans="28:40" ht="14" x14ac:dyDescent="0.25">
      <c r="AB569" s="230" t="e">
        <f>T569-HLOOKUP(V569,Minimas!$C$3:$CD$12,2,FALSE)</f>
        <v>#N/A</v>
      </c>
      <c r="AC569" s="230" t="e">
        <f>T569-HLOOKUP(V569,Minimas!$C$3:$CD$12,3,FALSE)</f>
        <v>#N/A</v>
      </c>
      <c r="AD569" s="230" t="e">
        <f>T569-HLOOKUP(V569,Minimas!$C$3:$CD$12,4,FALSE)</f>
        <v>#N/A</v>
      </c>
      <c r="AE569" s="230" t="e">
        <f>T569-HLOOKUP(V569,Minimas!$C$3:$CD$12,5,FALSE)</f>
        <v>#N/A</v>
      </c>
      <c r="AF569" s="230" t="e">
        <f>T569-HLOOKUP(V569,Minimas!$C$3:$CD$12,6,FALSE)</f>
        <v>#N/A</v>
      </c>
      <c r="AG569" s="230" t="e">
        <f>T569-HLOOKUP(V569,Minimas!$C$3:$CD$12,7,FALSE)</f>
        <v>#N/A</v>
      </c>
      <c r="AH569" s="230" t="e">
        <f>T569-HLOOKUP(V569,Minimas!$C$3:$CD$12,8,FALSE)</f>
        <v>#N/A</v>
      </c>
      <c r="AI569" s="230" t="e">
        <f>T569-HLOOKUP(V569,Minimas!$C$3:$CD$12,9,FALSE)</f>
        <v>#N/A</v>
      </c>
      <c r="AJ569" s="230" t="e">
        <f>T569-HLOOKUP(V569,Minimas!$C$3:$CD$12,10,FALSE)</f>
        <v>#N/A</v>
      </c>
      <c r="AK569" s="231" t="str">
        <f t="shared" si="118"/>
        <v xml:space="preserve"> </v>
      </c>
      <c r="AL569" s="232"/>
      <c r="AM569" s="232" t="str">
        <f t="shared" si="119"/>
        <v xml:space="preserve"> </v>
      </c>
      <c r="AN569" s="232" t="str">
        <f t="shared" si="120"/>
        <v xml:space="preserve"> </v>
      </c>
    </row>
    <row r="570" spans="28:40" ht="14" x14ac:dyDescent="0.25">
      <c r="AB570" s="230" t="e">
        <f>T570-HLOOKUP(V570,Minimas!$C$3:$CD$12,2,FALSE)</f>
        <v>#N/A</v>
      </c>
      <c r="AC570" s="230" t="e">
        <f>T570-HLOOKUP(V570,Minimas!$C$3:$CD$12,3,FALSE)</f>
        <v>#N/A</v>
      </c>
      <c r="AD570" s="230" t="e">
        <f>T570-HLOOKUP(V570,Minimas!$C$3:$CD$12,4,FALSE)</f>
        <v>#N/A</v>
      </c>
      <c r="AE570" s="230" t="e">
        <f>T570-HLOOKUP(V570,Minimas!$C$3:$CD$12,5,FALSE)</f>
        <v>#N/A</v>
      </c>
      <c r="AF570" s="230" t="e">
        <f>T570-HLOOKUP(V570,Minimas!$C$3:$CD$12,6,FALSE)</f>
        <v>#N/A</v>
      </c>
      <c r="AG570" s="230" t="e">
        <f>T570-HLOOKUP(V570,Minimas!$C$3:$CD$12,7,FALSE)</f>
        <v>#N/A</v>
      </c>
      <c r="AH570" s="230" t="e">
        <f>T570-HLOOKUP(V570,Minimas!$C$3:$CD$12,8,FALSE)</f>
        <v>#N/A</v>
      </c>
      <c r="AI570" s="230" t="e">
        <f>T570-HLOOKUP(V570,Minimas!$C$3:$CD$12,9,FALSE)</f>
        <v>#N/A</v>
      </c>
      <c r="AJ570" s="230" t="e">
        <f>T570-HLOOKUP(V570,Minimas!$C$3:$CD$12,10,FALSE)</f>
        <v>#N/A</v>
      </c>
      <c r="AK570" s="231" t="str">
        <f t="shared" si="118"/>
        <v xml:space="preserve"> </v>
      </c>
      <c r="AL570" s="232"/>
      <c r="AM570" s="232" t="str">
        <f t="shared" si="119"/>
        <v xml:space="preserve"> </v>
      </c>
      <c r="AN570" s="232" t="str">
        <f t="shared" si="120"/>
        <v xml:space="preserve"> </v>
      </c>
    </row>
    <row r="571" spans="28:40" ht="14" x14ac:dyDescent="0.25">
      <c r="AB571" s="230" t="e">
        <f>T571-HLOOKUP(V571,Minimas!$C$3:$CD$12,2,FALSE)</f>
        <v>#N/A</v>
      </c>
      <c r="AC571" s="230" t="e">
        <f>T571-HLOOKUP(V571,Minimas!$C$3:$CD$12,3,FALSE)</f>
        <v>#N/A</v>
      </c>
      <c r="AD571" s="230" t="e">
        <f>T571-HLOOKUP(V571,Minimas!$C$3:$CD$12,4,FALSE)</f>
        <v>#N/A</v>
      </c>
      <c r="AE571" s="230" t="e">
        <f>T571-HLOOKUP(V571,Minimas!$C$3:$CD$12,5,FALSE)</f>
        <v>#N/A</v>
      </c>
      <c r="AF571" s="230" t="e">
        <f>T571-HLOOKUP(V571,Minimas!$C$3:$CD$12,6,FALSE)</f>
        <v>#N/A</v>
      </c>
      <c r="AG571" s="230" t="e">
        <f>T571-HLOOKUP(V571,Minimas!$C$3:$CD$12,7,FALSE)</f>
        <v>#N/A</v>
      </c>
      <c r="AH571" s="230" t="e">
        <f>T571-HLOOKUP(V571,Minimas!$C$3:$CD$12,8,FALSE)</f>
        <v>#N/A</v>
      </c>
      <c r="AI571" s="230" t="e">
        <f>T571-HLOOKUP(V571,Minimas!$C$3:$CD$12,9,FALSE)</f>
        <v>#N/A</v>
      </c>
      <c r="AJ571" s="230" t="e">
        <f>T571-HLOOKUP(V571,Minimas!$C$3:$CD$12,10,FALSE)</f>
        <v>#N/A</v>
      </c>
      <c r="AK571" s="231" t="str">
        <f t="shared" ref="AK571:AK634" si="121">IF(E571=0," ",IF(AJ571&gt;=0,$AJ$5,IF(AI571&gt;=0,$AI$5,IF(AH571&gt;=0,$AH$5,IF(AG571&gt;=0,$AG$5,IF(AF571&gt;=0,$AF$5,IF(AE571&gt;=0,$AE$5,IF(AD571&gt;=0,$AD$5,IF(AC571&gt;=0,$AC$5,$AB$5)))))))))</f>
        <v xml:space="preserve"> </v>
      </c>
      <c r="AL571" s="232"/>
      <c r="AM571" s="232" t="str">
        <f t="shared" ref="AM571:AM634" si="122">IF(AK571="","",AK571)</f>
        <v xml:space="preserve"> </v>
      </c>
      <c r="AN571" s="232" t="str">
        <f t="shared" ref="AN571:AN634" si="123">IF(E571=0," ",IF(AJ571&gt;=0,AJ571,IF(AI571&gt;=0,AI571,IF(AH571&gt;=0,AH571,IF(AG571&gt;=0,AG571,IF(AF571&gt;=0,AF571,IF(AE571&gt;=0,AE571,IF(AD571&gt;=0,AD571,IF(AC571&gt;=0,AC571,AB571)))))))))</f>
        <v xml:space="preserve"> </v>
      </c>
    </row>
    <row r="572" spans="28:40" ht="14" x14ac:dyDescent="0.25">
      <c r="AB572" s="230" t="e">
        <f>T572-HLOOKUP(V572,Minimas!$C$3:$CD$12,2,FALSE)</f>
        <v>#N/A</v>
      </c>
      <c r="AC572" s="230" t="e">
        <f>T572-HLOOKUP(V572,Minimas!$C$3:$CD$12,3,FALSE)</f>
        <v>#N/A</v>
      </c>
      <c r="AD572" s="230" t="e">
        <f>T572-HLOOKUP(V572,Minimas!$C$3:$CD$12,4,FALSE)</f>
        <v>#N/A</v>
      </c>
      <c r="AE572" s="230" t="e">
        <f>T572-HLOOKUP(V572,Minimas!$C$3:$CD$12,5,FALSE)</f>
        <v>#N/A</v>
      </c>
      <c r="AF572" s="230" t="e">
        <f>T572-HLOOKUP(V572,Minimas!$C$3:$CD$12,6,FALSE)</f>
        <v>#N/A</v>
      </c>
      <c r="AG572" s="230" t="e">
        <f>T572-HLOOKUP(V572,Minimas!$C$3:$CD$12,7,FALSE)</f>
        <v>#N/A</v>
      </c>
      <c r="AH572" s="230" t="e">
        <f>T572-HLOOKUP(V572,Minimas!$C$3:$CD$12,8,FALSE)</f>
        <v>#N/A</v>
      </c>
      <c r="AI572" s="230" t="e">
        <f>T572-HLOOKUP(V572,Minimas!$C$3:$CD$12,9,FALSE)</f>
        <v>#N/A</v>
      </c>
      <c r="AJ572" s="230" t="e">
        <f>T572-HLOOKUP(V572,Minimas!$C$3:$CD$12,10,FALSE)</f>
        <v>#N/A</v>
      </c>
      <c r="AK572" s="231" t="str">
        <f t="shared" si="121"/>
        <v xml:space="preserve"> </v>
      </c>
      <c r="AL572" s="232"/>
      <c r="AM572" s="232" t="str">
        <f t="shared" si="122"/>
        <v xml:space="preserve"> </v>
      </c>
      <c r="AN572" s="232" t="str">
        <f t="shared" si="123"/>
        <v xml:space="preserve"> </v>
      </c>
    </row>
    <row r="573" spans="28:40" ht="14" x14ac:dyDescent="0.25">
      <c r="AB573" s="230" t="e">
        <f>T573-HLOOKUP(V573,Minimas!$C$3:$CD$12,2,FALSE)</f>
        <v>#N/A</v>
      </c>
      <c r="AC573" s="230" t="e">
        <f>T573-HLOOKUP(V573,Minimas!$C$3:$CD$12,3,FALSE)</f>
        <v>#N/A</v>
      </c>
      <c r="AD573" s="230" t="e">
        <f>T573-HLOOKUP(V573,Minimas!$C$3:$CD$12,4,FALSE)</f>
        <v>#N/A</v>
      </c>
      <c r="AE573" s="230" t="e">
        <f>T573-HLOOKUP(V573,Minimas!$C$3:$CD$12,5,FALSE)</f>
        <v>#N/A</v>
      </c>
      <c r="AF573" s="230" t="e">
        <f>T573-HLOOKUP(V573,Minimas!$C$3:$CD$12,6,FALSE)</f>
        <v>#N/A</v>
      </c>
      <c r="AG573" s="230" t="e">
        <f>T573-HLOOKUP(V573,Minimas!$C$3:$CD$12,7,FALSE)</f>
        <v>#N/A</v>
      </c>
      <c r="AH573" s="230" t="e">
        <f>T573-HLOOKUP(V573,Minimas!$C$3:$CD$12,8,FALSE)</f>
        <v>#N/A</v>
      </c>
      <c r="AI573" s="230" t="e">
        <f>T573-HLOOKUP(V573,Minimas!$C$3:$CD$12,9,FALSE)</f>
        <v>#N/A</v>
      </c>
      <c r="AJ573" s="230" t="e">
        <f>T573-HLOOKUP(V573,Minimas!$C$3:$CD$12,10,FALSE)</f>
        <v>#N/A</v>
      </c>
      <c r="AK573" s="231" t="str">
        <f t="shared" si="121"/>
        <v xml:space="preserve"> </v>
      </c>
      <c r="AL573" s="232"/>
      <c r="AM573" s="232" t="str">
        <f t="shared" si="122"/>
        <v xml:space="preserve"> </v>
      </c>
      <c r="AN573" s="232" t="str">
        <f t="shared" si="123"/>
        <v xml:space="preserve"> </v>
      </c>
    </row>
    <row r="574" spans="28:40" ht="14" x14ac:dyDescent="0.25">
      <c r="AB574" s="230" t="e">
        <f>T574-HLOOKUP(V574,Minimas!$C$3:$CD$12,2,FALSE)</f>
        <v>#N/A</v>
      </c>
      <c r="AC574" s="230" t="e">
        <f>T574-HLOOKUP(V574,Minimas!$C$3:$CD$12,3,FALSE)</f>
        <v>#N/A</v>
      </c>
      <c r="AD574" s="230" t="e">
        <f>T574-HLOOKUP(V574,Minimas!$C$3:$CD$12,4,FALSE)</f>
        <v>#N/A</v>
      </c>
      <c r="AE574" s="230" t="e">
        <f>T574-HLOOKUP(V574,Minimas!$C$3:$CD$12,5,FALSE)</f>
        <v>#N/A</v>
      </c>
      <c r="AF574" s="230" t="e">
        <f>T574-HLOOKUP(V574,Minimas!$C$3:$CD$12,6,FALSE)</f>
        <v>#N/A</v>
      </c>
      <c r="AG574" s="230" t="e">
        <f>T574-HLOOKUP(V574,Minimas!$C$3:$CD$12,7,FALSE)</f>
        <v>#N/A</v>
      </c>
      <c r="AH574" s="230" t="e">
        <f>T574-HLOOKUP(V574,Minimas!$C$3:$CD$12,8,FALSE)</f>
        <v>#N/A</v>
      </c>
      <c r="AI574" s="230" t="e">
        <f>T574-HLOOKUP(V574,Minimas!$C$3:$CD$12,9,FALSE)</f>
        <v>#N/A</v>
      </c>
      <c r="AJ574" s="230" t="e">
        <f>T574-HLOOKUP(V574,Minimas!$C$3:$CD$12,10,FALSE)</f>
        <v>#N/A</v>
      </c>
      <c r="AK574" s="231" t="str">
        <f t="shared" si="121"/>
        <v xml:space="preserve"> </v>
      </c>
      <c r="AL574" s="232"/>
      <c r="AM574" s="232" t="str">
        <f t="shared" si="122"/>
        <v xml:space="preserve"> </v>
      </c>
      <c r="AN574" s="232" t="str">
        <f t="shared" si="123"/>
        <v xml:space="preserve"> </v>
      </c>
    </row>
    <row r="575" spans="28:40" ht="14" x14ac:dyDescent="0.25">
      <c r="AB575" s="230" t="e">
        <f>T575-HLOOKUP(V575,Minimas!$C$3:$CD$12,2,FALSE)</f>
        <v>#N/A</v>
      </c>
      <c r="AC575" s="230" t="e">
        <f>T575-HLOOKUP(V575,Minimas!$C$3:$CD$12,3,FALSE)</f>
        <v>#N/A</v>
      </c>
      <c r="AD575" s="230" t="e">
        <f>T575-HLOOKUP(V575,Minimas!$C$3:$CD$12,4,FALSE)</f>
        <v>#N/A</v>
      </c>
      <c r="AE575" s="230" t="e">
        <f>T575-HLOOKUP(V575,Minimas!$C$3:$CD$12,5,FALSE)</f>
        <v>#N/A</v>
      </c>
      <c r="AF575" s="230" t="e">
        <f>T575-HLOOKUP(V575,Minimas!$C$3:$CD$12,6,FALSE)</f>
        <v>#N/A</v>
      </c>
      <c r="AG575" s="230" t="e">
        <f>T575-HLOOKUP(V575,Minimas!$C$3:$CD$12,7,FALSE)</f>
        <v>#N/A</v>
      </c>
      <c r="AH575" s="230" t="e">
        <f>T575-HLOOKUP(V575,Minimas!$C$3:$CD$12,8,FALSE)</f>
        <v>#N/A</v>
      </c>
      <c r="AI575" s="230" t="e">
        <f>T575-HLOOKUP(V575,Minimas!$C$3:$CD$12,9,FALSE)</f>
        <v>#N/A</v>
      </c>
      <c r="AJ575" s="230" t="e">
        <f>T575-HLOOKUP(V575,Minimas!$C$3:$CD$12,10,FALSE)</f>
        <v>#N/A</v>
      </c>
      <c r="AK575" s="231" t="str">
        <f t="shared" si="121"/>
        <v xml:space="preserve"> </v>
      </c>
      <c r="AL575" s="232"/>
      <c r="AM575" s="232" t="str">
        <f t="shared" si="122"/>
        <v xml:space="preserve"> </v>
      </c>
      <c r="AN575" s="232" t="str">
        <f t="shared" si="123"/>
        <v xml:space="preserve"> </v>
      </c>
    </row>
    <row r="576" spans="28:40" ht="14" x14ac:dyDescent="0.25">
      <c r="AB576" s="230" t="e">
        <f>T576-HLOOKUP(V576,Minimas!$C$3:$CD$12,2,FALSE)</f>
        <v>#N/A</v>
      </c>
      <c r="AC576" s="230" t="e">
        <f>T576-HLOOKUP(V576,Minimas!$C$3:$CD$12,3,FALSE)</f>
        <v>#N/A</v>
      </c>
      <c r="AD576" s="230" t="e">
        <f>T576-HLOOKUP(V576,Minimas!$C$3:$CD$12,4,FALSE)</f>
        <v>#N/A</v>
      </c>
      <c r="AE576" s="230" t="e">
        <f>T576-HLOOKUP(V576,Minimas!$C$3:$CD$12,5,FALSE)</f>
        <v>#N/A</v>
      </c>
      <c r="AF576" s="230" t="e">
        <f>T576-HLOOKUP(V576,Minimas!$C$3:$CD$12,6,FALSE)</f>
        <v>#N/A</v>
      </c>
      <c r="AG576" s="230" t="e">
        <f>T576-HLOOKUP(V576,Minimas!$C$3:$CD$12,7,FALSE)</f>
        <v>#N/A</v>
      </c>
      <c r="AH576" s="230" t="e">
        <f>T576-HLOOKUP(V576,Minimas!$C$3:$CD$12,8,FALSE)</f>
        <v>#N/A</v>
      </c>
      <c r="AI576" s="230" t="e">
        <f>T576-HLOOKUP(V576,Minimas!$C$3:$CD$12,9,FALSE)</f>
        <v>#N/A</v>
      </c>
      <c r="AJ576" s="230" t="e">
        <f>T576-HLOOKUP(V576,Minimas!$C$3:$CD$12,10,FALSE)</f>
        <v>#N/A</v>
      </c>
      <c r="AK576" s="231" t="str">
        <f t="shared" si="121"/>
        <v xml:space="preserve"> </v>
      </c>
      <c r="AL576" s="232"/>
      <c r="AM576" s="232" t="str">
        <f t="shared" si="122"/>
        <v xml:space="preserve"> </v>
      </c>
      <c r="AN576" s="232" t="str">
        <f t="shared" si="123"/>
        <v xml:space="preserve"> </v>
      </c>
    </row>
    <row r="577" spans="28:40" ht="14" x14ac:dyDescent="0.25">
      <c r="AB577" s="230" t="e">
        <f>T577-HLOOKUP(V577,Minimas!$C$3:$CD$12,2,FALSE)</f>
        <v>#N/A</v>
      </c>
      <c r="AC577" s="230" t="e">
        <f>T577-HLOOKUP(V577,Minimas!$C$3:$CD$12,3,FALSE)</f>
        <v>#N/A</v>
      </c>
      <c r="AD577" s="230" t="e">
        <f>T577-HLOOKUP(V577,Minimas!$C$3:$CD$12,4,FALSE)</f>
        <v>#N/A</v>
      </c>
      <c r="AE577" s="230" t="e">
        <f>T577-HLOOKUP(V577,Minimas!$C$3:$CD$12,5,FALSE)</f>
        <v>#N/A</v>
      </c>
      <c r="AF577" s="230" t="e">
        <f>T577-HLOOKUP(V577,Minimas!$C$3:$CD$12,6,FALSE)</f>
        <v>#N/A</v>
      </c>
      <c r="AG577" s="230" t="e">
        <f>T577-HLOOKUP(V577,Minimas!$C$3:$CD$12,7,FALSE)</f>
        <v>#N/A</v>
      </c>
      <c r="AH577" s="230" t="e">
        <f>T577-HLOOKUP(V577,Minimas!$C$3:$CD$12,8,FALSE)</f>
        <v>#N/A</v>
      </c>
      <c r="AI577" s="230" t="e">
        <f>T577-HLOOKUP(V577,Minimas!$C$3:$CD$12,9,FALSE)</f>
        <v>#N/A</v>
      </c>
      <c r="AJ577" s="230" t="e">
        <f>T577-HLOOKUP(V577,Minimas!$C$3:$CD$12,10,FALSE)</f>
        <v>#N/A</v>
      </c>
      <c r="AK577" s="231" t="str">
        <f t="shared" si="121"/>
        <v xml:space="preserve"> </v>
      </c>
      <c r="AL577" s="232"/>
      <c r="AM577" s="232" t="str">
        <f t="shared" si="122"/>
        <v xml:space="preserve"> </v>
      </c>
      <c r="AN577" s="232" t="str">
        <f t="shared" si="123"/>
        <v xml:space="preserve"> </v>
      </c>
    </row>
    <row r="578" spans="28:40" ht="14" x14ac:dyDescent="0.25">
      <c r="AB578" s="230" t="e">
        <f>T578-HLOOKUP(V578,Minimas!$C$3:$CD$12,2,FALSE)</f>
        <v>#N/A</v>
      </c>
      <c r="AC578" s="230" t="e">
        <f>T578-HLOOKUP(V578,Minimas!$C$3:$CD$12,3,FALSE)</f>
        <v>#N/A</v>
      </c>
      <c r="AD578" s="230" t="e">
        <f>T578-HLOOKUP(V578,Minimas!$C$3:$CD$12,4,FALSE)</f>
        <v>#N/A</v>
      </c>
      <c r="AE578" s="230" t="e">
        <f>T578-HLOOKUP(V578,Minimas!$C$3:$CD$12,5,FALSE)</f>
        <v>#N/A</v>
      </c>
      <c r="AF578" s="230" t="e">
        <f>T578-HLOOKUP(V578,Minimas!$C$3:$CD$12,6,FALSE)</f>
        <v>#N/A</v>
      </c>
      <c r="AG578" s="230" t="e">
        <f>T578-HLOOKUP(V578,Minimas!$C$3:$CD$12,7,FALSE)</f>
        <v>#N/A</v>
      </c>
      <c r="AH578" s="230" t="e">
        <f>T578-HLOOKUP(V578,Minimas!$C$3:$CD$12,8,FALSE)</f>
        <v>#N/A</v>
      </c>
      <c r="AI578" s="230" t="e">
        <f>T578-HLOOKUP(V578,Minimas!$C$3:$CD$12,9,FALSE)</f>
        <v>#N/A</v>
      </c>
      <c r="AJ578" s="230" t="e">
        <f>T578-HLOOKUP(V578,Minimas!$C$3:$CD$12,10,FALSE)</f>
        <v>#N/A</v>
      </c>
      <c r="AK578" s="231" t="str">
        <f t="shared" si="121"/>
        <v xml:space="preserve"> </v>
      </c>
      <c r="AL578" s="232"/>
      <c r="AM578" s="232" t="str">
        <f t="shared" si="122"/>
        <v xml:space="preserve"> </v>
      </c>
      <c r="AN578" s="232" t="str">
        <f t="shared" si="123"/>
        <v xml:space="preserve"> </v>
      </c>
    </row>
    <row r="579" spans="28:40" ht="14" x14ac:dyDescent="0.25">
      <c r="AB579" s="230" t="e">
        <f>T579-HLOOKUP(V579,Minimas!$C$3:$CD$12,2,FALSE)</f>
        <v>#N/A</v>
      </c>
      <c r="AC579" s="230" t="e">
        <f>T579-HLOOKUP(V579,Minimas!$C$3:$CD$12,3,FALSE)</f>
        <v>#N/A</v>
      </c>
      <c r="AD579" s="230" t="e">
        <f>T579-HLOOKUP(V579,Minimas!$C$3:$CD$12,4,FALSE)</f>
        <v>#N/A</v>
      </c>
      <c r="AE579" s="230" t="e">
        <f>T579-HLOOKUP(V579,Minimas!$C$3:$CD$12,5,FALSE)</f>
        <v>#N/A</v>
      </c>
      <c r="AF579" s="230" t="e">
        <f>T579-HLOOKUP(V579,Minimas!$C$3:$CD$12,6,FALSE)</f>
        <v>#N/A</v>
      </c>
      <c r="AG579" s="230" t="e">
        <f>T579-HLOOKUP(V579,Minimas!$C$3:$CD$12,7,FALSE)</f>
        <v>#N/A</v>
      </c>
      <c r="AH579" s="230" t="e">
        <f>T579-HLOOKUP(V579,Minimas!$C$3:$CD$12,8,FALSE)</f>
        <v>#N/A</v>
      </c>
      <c r="AI579" s="230" t="e">
        <f>T579-HLOOKUP(V579,Minimas!$C$3:$CD$12,9,FALSE)</f>
        <v>#N/A</v>
      </c>
      <c r="AJ579" s="230" t="e">
        <f>T579-HLOOKUP(V579,Minimas!$C$3:$CD$12,10,FALSE)</f>
        <v>#N/A</v>
      </c>
      <c r="AK579" s="231" t="str">
        <f t="shared" si="121"/>
        <v xml:space="preserve"> </v>
      </c>
      <c r="AL579" s="232"/>
      <c r="AM579" s="232" t="str">
        <f t="shared" si="122"/>
        <v xml:space="preserve"> </v>
      </c>
      <c r="AN579" s="232" t="str">
        <f t="shared" si="123"/>
        <v xml:space="preserve"> </v>
      </c>
    </row>
    <row r="580" spans="28:40" ht="14" x14ac:dyDescent="0.25">
      <c r="AB580" s="230" t="e">
        <f>T580-HLOOKUP(V580,Minimas!$C$3:$CD$12,2,FALSE)</f>
        <v>#N/A</v>
      </c>
      <c r="AC580" s="230" t="e">
        <f>T580-HLOOKUP(V580,Minimas!$C$3:$CD$12,3,FALSE)</f>
        <v>#N/A</v>
      </c>
      <c r="AD580" s="230" t="e">
        <f>T580-HLOOKUP(V580,Minimas!$C$3:$CD$12,4,FALSE)</f>
        <v>#N/A</v>
      </c>
      <c r="AE580" s="230" t="e">
        <f>T580-HLOOKUP(V580,Minimas!$C$3:$CD$12,5,FALSE)</f>
        <v>#N/A</v>
      </c>
      <c r="AF580" s="230" t="e">
        <f>T580-HLOOKUP(V580,Minimas!$C$3:$CD$12,6,FALSE)</f>
        <v>#N/A</v>
      </c>
      <c r="AG580" s="230" t="e">
        <f>T580-HLOOKUP(V580,Minimas!$C$3:$CD$12,7,FALSE)</f>
        <v>#N/A</v>
      </c>
      <c r="AH580" s="230" t="e">
        <f>T580-HLOOKUP(V580,Minimas!$C$3:$CD$12,8,FALSE)</f>
        <v>#N/A</v>
      </c>
      <c r="AI580" s="230" t="e">
        <f>T580-HLOOKUP(V580,Minimas!$C$3:$CD$12,9,FALSE)</f>
        <v>#N/A</v>
      </c>
      <c r="AJ580" s="230" t="e">
        <f>T580-HLOOKUP(V580,Minimas!$C$3:$CD$12,10,FALSE)</f>
        <v>#N/A</v>
      </c>
      <c r="AK580" s="231" t="str">
        <f t="shared" si="121"/>
        <v xml:space="preserve"> </v>
      </c>
      <c r="AL580" s="232"/>
      <c r="AM580" s="232" t="str">
        <f t="shared" si="122"/>
        <v xml:space="preserve"> </v>
      </c>
      <c r="AN580" s="232" t="str">
        <f t="shared" si="123"/>
        <v xml:space="preserve"> </v>
      </c>
    </row>
    <row r="581" spans="28:40" ht="14" x14ac:dyDescent="0.25">
      <c r="AB581" s="230" t="e">
        <f>T581-HLOOKUP(V581,Minimas!$C$3:$CD$12,2,FALSE)</f>
        <v>#N/A</v>
      </c>
      <c r="AC581" s="230" t="e">
        <f>T581-HLOOKUP(V581,Minimas!$C$3:$CD$12,3,FALSE)</f>
        <v>#N/A</v>
      </c>
      <c r="AD581" s="230" t="e">
        <f>T581-HLOOKUP(V581,Minimas!$C$3:$CD$12,4,FALSE)</f>
        <v>#N/A</v>
      </c>
      <c r="AE581" s="230" t="e">
        <f>T581-HLOOKUP(V581,Minimas!$C$3:$CD$12,5,FALSE)</f>
        <v>#N/A</v>
      </c>
      <c r="AF581" s="230" t="e">
        <f>T581-HLOOKUP(V581,Minimas!$C$3:$CD$12,6,FALSE)</f>
        <v>#N/A</v>
      </c>
      <c r="AG581" s="230" t="e">
        <f>T581-HLOOKUP(V581,Minimas!$C$3:$CD$12,7,FALSE)</f>
        <v>#N/A</v>
      </c>
      <c r="AH581" s="230" t="e">
        <f>T581-HLOOKUP(V581,Minimas!$C$3:$CD$12,8,FALSE)</f>
        <v>#N/A</v>
      </c>
      <c r="AI581" s="230" t="e">
        <f>T581-HLOOKUP(V581,Minimas!$C$3:$CD$12,9,FALSE)</f>
        <v>#N/A</v>
      </c>
      <c r="AJ581" s="230" t="e">
        <f>T581-HLOOKUP(V581,Minimas!$C$3:$CD$12,10,FALSE)</f>
        <v>#N/A</v>
      </c>
      <c r="AK581" s="231" t="str">
        <f t="shared" si="121"/>
        <v xml:space="preserve"> </v>
      </c>
      <c r="AL581" s="232"/>
      <c r="AM581" s="232" t="str">
        <f t="shared" si="122"/>
        <v xml:space="preserve"> </v>
      </c>
      <c r="AN581" s="232" t="str">
        <f t="shared" si="123"/>
        <v xml:space="preserve"> </v>
      </c>
    </row>
    <row r="582" spans="28:40" ht="14" x14ac:dyDescent="0.25">
      <c r="AB582" s="230" t="e">
        <f>T582-HLOOKUP(V582,Minimas!$C$3:$CD$12,2,FALSE)</f>
        <v>#N/A</v>
      </c>
      <c r="AC582" s="230" t="e">
        <f>T582-HLOOKUP(V582,Minimas!$C$3:$CD$12,3,FALSE)</f>
        <v>#N/A</v>
      </c>
      <c r="AD582" s="230" t="e">
        <f>T582-HLOOKUP(V582,Minimas!$C$3:$CD$12,4,FALSE)</f>
        <v>#N/A</v>
      </c>
      <c r="AE582" s="230" t="e">
        <f>T582-HLOOKUP(V582,Minimas!$C$3:$CD$12,5,FALSE)</f>
        <v>#N/A</v>
      </c>
      <c r="AF582" s="230" t="e">
        <f>T582-HLOOKUP(V582,Minimas!$C$3:$CD$12,6,FALSE)</f>
        <v>#N/A</v>
      </c>
      <c r="AG582" s="230" t="e">
        <f>T582-HLOOKUP(V582,Minimas!$C$3:$CD$12,7,FALSE)</f>
        <v>#N/A</v>
      </c>
      <c r="AH582" s="230" t="e">
        <f>T582-HLOOKUP(V582,Minimas!$C$3:$CD$12,8,FALSE)</f>
        <v>#N/A</v>
      </c>
      <c r="AI582" s="230" t="e">
        <f>T582-HLOOKUP(V582,Minimas!$C$3:$CD$12,9,FALSE)</f>
        <v>#N/A</v>
      </c>
      <c r="AJ582" s="230" t="e">
        <f>T582-HLOOKUP(V582,Minimas!$C$3:$CD$12,10,FALSE)</f>
        <v>#N/A</v>
      </c>
      <c r="AK582" s="231" t="str">
        <f t="shared" si="121"/>
        <v xml:space="preserve"> </v>
      </c>
      <c r="AL582" s="232"/>
      <c r="AM582" s="232" t="str">
        <f t="shared" si="122"/>
        <v xml:space="preserve"> </v>
      </c>
      <c r="AN582" s="232" t="str">
        <f t="shared" si="123"/>
        <v xml:space="preserve"> </v>
      </c>
    </row>
    <row r="583" spans="28:40" ht="14" x14ac:dyDescent="0.25">
      <c r="AB583" s="230" t="e">
        <f>T583-HLOOKUP(V583,Minimas!$C$3:$CD$12,2,FALSE)</f>
        <v>#N/A</v>
      </c>
      <c r="AC583" s="230" t="e">
        <f>T583-HLOOKUP(V583,Minimas!$C$3:$CD$12,3,FALSE)</f>
        <v>#N/A</v>
      </c>
      <c r="AD583" s="230" t="e">
        <f>T583-HLOOKUP(V583,Minimas!$C$3:$CD$12,4,FALSE)</f>
        <v>#N/A</v>
      </c>
      <c r="AE583" s="230" t="e">
        <f>T583-HLOOKUP(V583,Minimas!$C$3:$CD$12,5,FALSE)</f>
        <v>#N/A</v>
      </c>
      <c r="AF583" s="230" t="e">
        <f>T583-HLOOKUP(V583,Minimas!$C$3:$CD$12,6,FALSE)</f>
        <v>#N/A</v>
      </c>
      <c r="AG583" s="230" t="e">
        <f>T583-HLOOKUP(V583,Minimas!$C$3:$CD$12,7,FALSE)</f>
        <v>#N/A</v>
      </c>
      <c r="AH583" s="230" t="e">
        <f>T583-HLOOKUP(V583,Minimas!$C$3:$CD$12,8,FALSE)</f>
        <v>#N/A</v>
      </c>
      <c r="AI583" s="230" t="e">
        <f>T583-HLOOKUP(V583,Minimas!$C$3:$CD$12,9,FALSE)</f>
        <v>#N/A</v>
      </c>
      <c r="AJ583" s="230" t="e">
        <f>T583-HLOOKUP(V583,Minimas!$C$3:$CD$12,10,FALSE)</f>
        <v>#N/A</v>
      </c>
      <c r="AK583" s="231" t="str">
        <f t="shared" si="121"/>
        <v xml:space="preserve"> </v>
      </c>
      <c r="AL583" s="232"/>
      <c r="AM583" s="232" t="str">
        <f t="shared" si="122"/>
        <v xml:space="preserve"> </v>
      </c>
      <c r="AN583" s="232" t="str">
        <f t="shared" si="123"/>
        <v xml:space="preserve"> </v>
      </c>
    </row>
    <row r="584" spans="28:40" ht="14" x14ac:dyDescent="0.25">
      <c r="AB584" s="230" t="e">
        <f>T584-HLOOKUP(V584,Minimas!$C$3:$CD$12,2,FALSE)</f>
        <v>#N/A</v>
      </c>
      <c r="AC584" s="230" t="e">
        <f>T584-HLOOKUP(V584,Minimas!$C$3:$CD$12,3,FALSE)</f>
        <v>#N/A</v>
      </c>
      <c r="AD584" s="230" t="e">
        <f>T584-HLOOKUP(V584,Minimas!$C$3:$CD$12,4,FALSE)</f>
        <v>#N/A</v>
      </c>
      <c r="AE584" s="230" t="e">
        <f>T584-HLOOKUP(V584,Minimas!$C$3:$CD$12,5,FALSE)</f>
        <v>#N/A</v>
      </c>
      <c r="AF584" s="230" t="e">
        <f>T584-HLOOKUP(V584,Minimas!$C$3:$CD$12,6,FALSE)</f>
        <v>#N/A</v>
      </c>
      <c r="AG584" s="230" t="e">
        <f>T584-HLOOKUP(V584,Minimas!$C$3:$CD$12,7,FALSE)</f>
        <v>#N/A</v>
      </c>
      <c r="AH584" s="230" t="e">
        <f>T584-HLOOKUP(V584,Minimas!$C$3:$CD$12,8,FALSE)</f>
        <v>#N/A</v>
      </c>
      <c r="AI584" s="230" t="e">
        <f>T584-HLOOKUP(V584,Minimas!$C$3:$CD$12,9,FALSE)</f>
        <v>#N/A</v>
      </c>
      <c r="AJ584" s="230" t="e">
        <f>T584-HLOOKUP(V584,Minimas!$C$3:$CD$12,10,FALSE)</f>
        <v>#N/A</v>
      </c>
      <c r="AK584" s="231" t="str">
        <f t="shared" si="121"/>
        <v xml:space="preserve"> </v>
      </c>
      <c r="AL584" s="232"/>
      <c r="AM584" s="232" t="str">
        <f t="shared" si="122"/>
        <v xml:space="preserve"> </v>
      </c>
      <c r="AN584" s="232" t="str">
        <f t="shared" si="123"/>
        <v xml:space="preserve"> </v>
      </c>
    </row>
    <row r="585" spans="28:40" ht="14" x14ac:dyDescent="0.25">
      <c r="AB585" s="230" t="e">
        <f>T585-HLOOKUP(V585,Minimas!$C$3:$CD$12,2,FALSE)</f>
        <v>#N/A</v>
      </c>
      <c r="AC585" s="230" t="e">
        <f>T585-HLOOKUP(V585,Minimas!$C$3:$CD$12,3,FALSE)</f>
        <v>#N/A</v>
      </c>
      <c r="AD585" s="230" t="e">
        <f>T585-HLOOKUP(V585,Minimas!$C$3:$CD$12,4,FALSE)</f>
        <v>#N/A</v>
      </c>
      <c r="AE585" s="230" t="e">
        <f>T585-HLOOKUP(V585,Minimas!$C$3:$CD$12,5,FALSE)</f>
        <v>#N/A</v>
      </c>
      <c r="AF585" s="230" t="e">
        <f>T585-HLOOKUP(V585,Minimas!$C$3:$CD$12,6,FALSE)</f>
        <v>#N/A</v>
      </c>
      <c r="AG585" s="230" t="e">
        <f>T585-HLOOKUP(V585,Minimas!$C$3:$CD$12,7,FALSE)</f>
        <v>#N/A</v>
      </c>
      <c r="AH585" s="230" t="e">
        <f>T585-HLOOKUP(V585,Minimas!$C$3:$CD$12,8,FALSE)</f>
        <v>#N/A</v>
      </c>
      <c r="AI585" s="230" t="e">
        <f>T585-HLOOKUP(V585,Minimas!$C$3:$CD$12,9,FALSE)</f>
        <v>#N/A</v>
      </c>
      <c r="AJ585" s="230" t="e">
        <f>T585-HLOOKUP(V585,Minimas!$C$3:$CD$12,10,FALSE)</f>
        <v>#N/A</v>
      </c>
      <c r="AK585" s="231" t="str">
        <f t="shared" si="121"/>
        <v xml:space="preserve"> </v>
      </c>
      <c r="AL585" s="232"/>
      <c r="AM585" s="232" t="str">
        <f t="shared" si="122"/>
        <v xml:space="preserve"> </v>
      </c>
      <c r="AN585" s="232" t="str">
        <f t="shared" si="123"/>
        <v xml:space="preserve"> </v>
      </c>
    </row>
    <row r="586" spans="28:40" ht="14" x14ac:dyDescent="0.25">
      <c r="AB586" s="230" t="e">
        <f>T586-HLOOKUP(V586,Minimas!$C$3:$CD$12,2,FALSE)</f>
        <v>#N/A</v>
      </c>
      <c r="AC586" s="230" t="e">
        <f>T586-HLOOKUP(V586,Minimas!$C$3:$CD$12,3,FALSE)</f>
        <v>#N/A</v>
      </c>
      <c r="AD586" s="230" t="e">
        <f>T586-HLOOKUP(V586,Minimas!$C$3:$CD$12,4,FALSE)</f>
        <v>#N/A</v>
      </c>
      <c r="AE586" s="230" t="e">
        <f>T586-HLOOKUP(V586,Minimas!$C$3:$CD$12,5,FALSE)</f>
        <v>#N/A</v>
      </c>
      <c r="AF586" s="230" t="e">
        <f>T586-HLOOKUP(V586,Minimas!$C$3:$CD$12,6,FALSE)</f>
        <v>#N/A</v>
      </c>
      <c r="AG586" s="230" t="e">
        <f>T586-HLOOKUP(V586,Minimas!$C$3:$CD$12,7,FALSE)</f>
        <v>#N/A</v>
      </c>
      <c r="AH586" s="230" t="e">
        <f>T586-HLOOKUP(V586,Minimas!$C$3:$CD$12,8,FALSE)</f>
        <v>#N/A</v>
      </c>
      <c r="AI586" s="230" t="e">
        <f>T586-HLOOKUP(V586,Minimas!$C$3:$CD$12,9,FALSE)</f>
        <v>#N/A</v>
      </c>
      <c r="AJ586" s="230" t="e">
        <f>T586-HLOOKUP(V586,Minimas!$C$3:$CD$12,10,FALSE)</f>
        <v>#N/A</v>
      </c>
      <c r="AK586" s="231" t="str">
        <f t="shared" si="121"/>
        <v xml:space="preserve"> </v>
      </c>
      <c r="AL586" s="232"/>
      <c r="AM586" s="232" t="str">
        <f t="shared" si="122"/>
        <v xml:space="preserve"> </v>
      </c>
      <c r="AN586" s="232" t="str">
        <f t="shared" si="123"/>
        <v xml:space="preserve"> </v>
      </c>
    </row>
    <row r="587" spans="28:40" ht="14" x14ac:dyDescent="0.25">
      <c r="AB587" s="230" t="e">
        <f>T587-HLOOKUP(V587,Minimas!$C$3:$CD$12,2,FALSE)</f>
        <v>#N/A</v>
      </c>
      <c r="AC587" s="230" t="e">
        <f>T587-HLOOKUP(V587,Minimas!$C$3:$CD$12,3,FALSE)</f>
        <v>#N/A</v>
      </c>
      <c r="AD587" s="230" t="e">
        <f>T587-HLOOKUP(V587,Minimas!$C$3:$CD$12,4,FALSE)</f>
        <v>#N/A</v>
      </c>
      <c r="AE587" s="230" t="e">
        <f>T587-HLOOKUP(V587,Minimas!$C$3:$CD$12,5,FALSE)</f>
        <v>#N/A</v>
      </c>
      <c r="AF587" s="230" t="e">
        <f>T587-HLOOKUP(V587,Minimas!$C$3:$CD$12,6,FALSE)</f>
        <v>#N/A</v>
      </c>
      <c r="AG587" s="230" t="e">
        <f>T587-HLOOKUP(V587,Minimas!$C$3:$CD$12,7,FALSE)</f>
        <v>#N/A</v>
      </c>
      <c r="AH587" s="230" t="e">
        <f>T587-HLOOKUP(V587,Minimas!$C$3:$CD$12,8,FALSE)</f>
        <v>#N/A</v>
      </c>
      <c r="AI587" s="230" t="e">
        <f>T587-HLOOKUP(V587,Minimas!$C$3:$CD$12,9,FALSE)</f>
        <v>#N/A</v>
      </c>
      <c r="AJ587" s="230" t="e">
        <f>T587-HLOOKUP(V587,Minimas!$C$3:$CD$12,10,FALSE)</f>
        <v>#N/A</v>
      </c>
      <c r="AK587" s="231" t="str">
        <f t="shared" si="121"/>
        <v xml:space="preserve"> </v>
      </c>
      <c r="AL587" s="232"/>
      <c r="AM587" s="232" t="str">
        <f t="shared" si="122"/>
        <v xml:space="preserve"> </v>
      </c>
      <c r="AN587" s="232" t="str">
        <f t="shared" si="123"/>
        <v xml:space="preserve"> </v>
      </c>
    </row>
    <row r="588" spans="28:40" ht="14" x14ac:dyDescent="0.25">
      <c r="AB588" s="230" t="e">
        <f>T588-HLOOKUP(V588,Minimas!$C$3:$CD$12,2,FALSE)</f>
        <v>#N/A</v>
      </c>
      <c r="AC588" s="230" t="e">
        <f>T588-HLOOKUP(V588,Minimas!$C$3:$CD$12,3,FALSE)</f>
        <v>#N/A</v>
      </c>
      <c r="AD588" s="230" t="e">
        <f>T588-HLOOKUP(V588,Minimas!$C$3:$CD$12,4,FALSE)</f>
        <v>#N/A</v>
      </c>
      <c r="AE588" s="230" t="e">
        <f>T588-HLOOKUP(V588,Minimas!$C$3:$CD$12,5,FALSE)</f>
        <v>#N/A</v>
      </c>
      <c r="AF588" s="230" t="e">
        <f>T588-HLOOKUP(V588,Minimas!$C$3:$CD$12,6,FALSE)</f>
        <v>#N/A</v>
      </c>
      <c r="AG588" s="230" t="e">
        <f>T588-HLOOKUP(V588,Minimas!$C$3:$CD$12,7,FALSE)</f>
        <v>#N/A</v>
      </c>
      <c r="AH588" s="230" t="e">
        <f>T588-HLOOKUP(V588,Minimas!$C$3:$CD$12,8,FALSE)</f>
        <v>#N/A</v>
      </c>
      <c r="AI588" s="230" t="e">
        <f>T588-HLOOKUP(V588,Minimas!$C$3:$CD$12,9,FALSE)</f>
        <v>#N/A</v>
      </c>
      <c r="AJ588" s="230" t="e">
        <f>T588-HLOOKUP(V588,Minimas!$C$3:$CD$12,10,FALSE)</f>
        <v>#N/A</v>
      </c>
      <c r="AK588" s="231" t="str">
        <f t="shared" si="121"/>
        <v xml:space="preserve"> </v>
      </c>
      <c r="AL588" s="232"/>
      <c r="AM588" s="232" t="str">
        <f t="shared" si="122"/>
        <v xml:space="preserve"> </v>
      </c>
      <c r="AN588" s="232" t="str">
        <f t="shared" si="123"/>
        <v xml:space="preserve"> </v>
      </c>
    </row>
    <row r="589" spans="28:40" ht="14" x14ac:dyDescent="0.25">
      <c r="AB589" s="230" t="e">
        <f>T589-HLOOKUP(V589,Minimas!$C$3:$CD$12,2,FALSE)</f>
        <v>#N/A</v>
      </c>
      <c r="AC589" s="230" t="e">
        <f>T589-HLOOKUP(V589,Minimas!$C$3:$CD$12,3,FALSE)</f>
        <v>#N/A</v>
      </c>
      <c r="AD589" s="230" t="e">
        <f>T589-HLOOKUP(V589,Minimas!$C$3:$CD$12,4,FALSE)</f>
        <v>#N/A</v>
      </c>
      <c r="AE589" s="230" t="e">
        <f>T589-HLOOKUP(V589,Minimas!$C$3:$CD$12,5,FALSE)</f>
        <v>#N/A</v>
      </c>
      <c r="AF589" s="230" t="e">
        <f>T589-HLOOKUP(V589,Minimas!$C$3:$CD$12,6,FALSE)</f>
        <v>#N/A</v>
      </c>
      <c r="AG589" s="230" t="e">
        <f>T589-HLOOKUP(V589,Minimas!$C$3:$CD$12,7,FALSE)</f>
        <v>#N/A</v>
      </c>
      <c r="AH589" s="230" t="e">
        <f>T589-HLOOKUP(V589,Minimas!$C$3:$CD$12,8,FALSE)</f>
        <v>#N/A</v>
      </c>
      <c r="AI589" s="230" t="e">
        <f>T589-HLOOKUP(V589,Minimas!$C$3:$CD$12,9,FALSE)</f>
        <v>#N/A</v>
      </c>
      <c r="AJ589" s="230" t="e">
        <f>T589-HLOOKUP(V589,Minimas!$C$3:$CD$12,10,FALSE)</f>
        <v>#N/A</v>
      </c>
      <c r="AK589" s="231" t="str">
        <f t="shared" si="121"/>
        <v xml:space="preserve"> </v>
      </c>
      <c r="AL589" s="232"/>
      <c r="AM589" s="232" t="str">
        <f t="shared" si="122"/>
        <v xml:space="preserve"> </v>
      </c>
      <c r="AN589" s="232" t="str">
        <f t="shared" si="123"/>
        <v xml:space="preserve"> </v>
      </c>
    </row>
    <row r="590" spans="28:40" ht="14" x14ac:dyDescent="0.25">
      <c r="AB590" s="230" t="e">
        <f>T590-HLOOKUP(V590,Minimas!$C$3:$CD$12,2,FALSE)</f>
        <v>#N/A</v>
      </c>
      <c r="AC590" s="230" t="e">
        <f>T590-HLOOKUP(V590,Minimas!$C$3:$CD$12,3,FALSE)</f>
        <v>#N/A</v>
      </c>
      <c r="AD590" s="230" t="e">
        <f>T590-HLOOKUP(V590,Minimas!$C$3:$CD$12,4,FALSE)</f>
        <v>#N/A</v>
      </c>
      <c r="AE590" s="230" t="e">
        <f>T590-HLOOKUP(V590,Minimas!$C$3:$CD$12,5,FALSE)</f>
        <v>#N/A</v>
      </c>
      <c r="AF590" s="230" t="e">
        <f>T590-HLOOKUP(V590,Minimas!$C$3:$CD$12,6,FALSE)</f>
        <v>#N/A</v>
      </c>
      <c r="AG590" s="230" t="e">
        <f>T590-HLOOKUP(V590,Minimas!$C$3:$CD$12,7,FALSE)</f>
        <v>#N/A</v>
      </c>
      <c r="AH590" s="230" t="e">
        <f>T590-HLOOKUP(V590,Minimas!$C$3:$CD$12,8,FALSE)</f>
        <v>#N/A</v>
      </c>
      <c r="AI590" s="230" t="e">
        <f>T590-HLOOKUP(V590,Minimas!$C$3:$CD$12,9,FALSE)</f>
        <v>#N/A</v>
      </c>
      <c r="AJ590" s="230" t="e">
        <f>T590-HLOOKUP(V590,Minimas!$C$3:$CD$12,10,FALSE)</f>
        <v>#N/A</v>
      </c>
      <c r="AK590" s="231" t="str">
        <f t="shared" si="121"/>
        <v xml:space="preserve"> </v>
      </c>
      <c r="AL590" s="232"/>
      <c r="AM590" s="232" t="str">
        <f t="shared" si="122"/>
        <v xml:space="preserve"> </v>
      </c>
      <c r="AN590" s="232" t="str">
        <f t="shared" si="123"/>
        <v xml:space="preserve"> </v>
      </c>
    </row>
    <row r="591" spans="28:40" ht="14" x14ac:dyDescent="0.25">
      <c r="AB591" s="230" t="e">
        <f>T591-HLOOKUP(V591,Minimas!$C$3:$CD$12,2,FALSE)</f>
        <v>#N/A</v>
      </c>
      <c r="AC591" s="230" t="e">
        <f>T591-HLOOKUP(V591,Minimas!$C$3:$CD$12,3,FALSE)</f>
        <v>#N/A</v>
      </c>
      <c r="AD591" s="230" t="e">
        <f>T591-HLOOKUP(V591,Minimas!$C$3:$CD$12,4,FALSE)</f>
        <v>#N/A</v>
      </c>
      <c r="AE591" s="230" t="e">
        <f>T591-HLOOKUP(V591,Minimas!$C$3:$CD$12,5,FALSE)</f>
        <v>#N/A</v>
      </c>
      <c r="AF591" s="230" t="e">
        <f>T591-HLOOKUP(V591,Minimas!$C$3:$CD$12,6,FALSE)</f>
        <v>#N/A</v>
      </c>
      <c r="AG591" s="230" t="e">
        <f>T591-HLOOKUP(V591,Minimas!$C$3:$CD$12,7,FALSE)</f>
        <v>#N/A</v>
      </c>
      <c r="AH591" s="230" t="e">
        <f>T591-HLOOKUP(V591,Minimas!$C$3:$CD$12,8,FALSE)</f>
        <v>#N/A</v>
      </c>
      <c r="AI591" s="230" t="e">
        <f>T591-HLOOKUP(V591,Minimas!$C$3:$CD$12,9,FALSE)</f>
        <v>#N/A</v>
      </c>
      <c r="AJ591" s="230" t="e">
        <f>T591-HLOOKUP(V591,Minimas!$C$3:$CD$12,10,FALSE)</f>
        <v>#N/A</v>
      </c>
      <c r="AK591" s="231" t="str">
        <f t="shared" si="121"/>
        <v xml:space="preserve"> </v>
      </c>
      <c r="AL591" s="232"/>
      <c r="AM591" s="232" t="str">
        <f t="shared" si="122"/>
        <v xml:space="preserve"> </v>
      </c>
      <c r="AN591" s="232" t="str">
        <f t="shared" si="123"/>
        <v xml:space="preserve"> </v>
      </c>
    </row>
    <row r="592" spans="28:40" ht="14" x14ac:dyDescent="0.25">
      <c r="AB592" s="230" t="e">
        <f>T592-HLOOKUP(V592,Minimas!$C$3:$CD$12,2,FALSE)</f>
        <v>#N/A</v>
      </c>
      <c r="AC592" s="230" t="e">
        <f>T592-HLOOKUP(V592,Minimas!$C$3:$CD$12,3,FALSE)</f>
        <v>#N/A</v>
      </c>
      <c r="AD592" s="230" t="e">
        <f>T592-HLOOKUP(V592,Minimas!$C$3:$CD$12,4,FALSE)</f>
        <v>#N/A</v>
      </c>
      <c r="AE592" s="230" t="e">
        <f>T592-HLOOKUP(V592,Minimas!$C$3:$CD$12,5,FALSE)</f>
        <v>#N/A</v>
      </c>
      <c r="AF592" s="230" t="e">
        <f>T592-HLOOKUP(V592,Minimas!$C$3:$CD$12,6,FALSE)</f>
        <v>#N/A</v>
      </c>
      <c r="AG592" s="230" t="e">
        <f>T592-HLOOKUP(V592,Minimas!$C$3:$CD$12,7,FALSE)</f>
        <v>#N/A</v>
      </c>
      <c r="AH592" s="230" t="e">
        <f>T592-HLOOKUP(V592,Minimas!$C$3:$CD$12,8,FALSE)</f>
        <v>#N/A</v>
      </c>
      <c r="AI592" s="230" t="e">
        <f>T592-HLOOKUP(V592,Minimas!$C$3:$CD$12,9,FALSE)</f>
        <v>#N/A</v>
      </c>
      <c r="AJ592" s="230" t="e">
        <f>T592-HLOOKUP(V592,Minimas!$C$3:$CD$12,10,FALSE)</f>
        <v>#N/A</v>
      </c>
      <c r="AK592" s="231" t="str">
        <f t="shared" si="121"/>
        <v xml:space="preserve"> </v>
      </c>
      <c r="AL592" s="232"/>
      <c r="AM592" s="232" t="str">
        <f t="shared" si="122"/>
        <v xml:space="preserve"> </v>
      </c>
      <c r="AN592" s="232" t="str">
        <f t="shared" si="123"/>
        <v xml:space="preserve"> </v>
      </c>
    </row>
    <row r="593" spans="28:40" ht="14" x14ac:dyDescent="0.25">
      <c r="AB593" s="230" t="e">
        <f>T593-HLOOKUP(V593,Minimas!$C$3:$CD$12,2,FALSE)</f>
        <v>#N/A</v>
      </c>
      <c r="AC593" s="230" t="e">
        <f>T593-HLOOKUP(V593,Minimas!$C$3:$CD$12,3,FALSE)</f>
        <v>#N/A</v>
      </c>
      <c r="AD593" s="230" t="e">
        <f>T593-HLOOKUP(V593,Minimas!$C$3:$CD$12,4,FALSE)</f>
        <v>#N/A</v>
      </c>
      <c r="AE593" s="230" t="e">
        <f>T593-HLOOKUP(V593,Minimas!$C$3:$CD$12,5,FALSE)</f>
        <v>#N/A</v>
      </c>
      <c r="AF593" s="230" t="e">
        <f>T593-HLOOKUP(V593,Minimas!$C$3:$CD$12,6,FALSE)</f>
        <v>#N/A</v>
      </c>
      <c r="AG593" s="230" t="e">
        <f>T593-HLOOKUP(V593,Minimas!$C$3:$CD$12,7,FALSE)</f>
        <v>#N/A</v>
      </c>
      <c r="AH593" s="230" t="e">
        <f>T593-HLOOKUP(V593,Minimas!$C$3:$CD$12,8,FALSE)</f>
        <v>#N/A</v>
      </c>
      <c r="AI593" s="230" t="e">
        <f>T593-HLOOKUP(V593,Minimas!$C$3:$CD$12,9,FALSE)</f>
        <v>#N/A</v>
      </c>
      <c r="AJ593" s="230" t="e">
        <f>T593-HLOOKUP(V593,Minimas!$C$3:$CD$12,10,FALSE)</f>
        <v>#N/A</v>
      </c>
      <c r="AK593" s="231" t="str">
        <f t="shared" si="121"/>
        <v xml:space="preserve"> </v>
      </c>
      <c r="AL593" s="232"/>
      <c r="AM593" s="232" t="str">
        <f t="shared" si="122"/>
        <v xml:space="preserve"> </v>
      </c>
      <c r="AN593" s="232" t="str">
        <f t="shared" si="123"/>
        <v xml:space="preserve"> </v>
      </c>
    </row>
    <row r="594" spans="28:40" ht="14" x14ac:dyDescent="0.25">
      <c r="AB594" s="230" t="e">
        <f>T594-HLOOKUP(V594,Minimas!$C$3:$CD$12,2,FALSE)</f>
        <v>#N/A</v>
      </c>
      <c r="AC594" s="230" t="e">
        <f>T594-HLOOKUP(V594,Minimas!$C$3:$CD$12,3,FALSE)</f>
        <v>#N/A</v>
      </c>
      <c r="AD594" s="230" t="e">
        <f>T594-HLOOKUP(V594,Minimas!$C$3:$CD$12,4,FALSE)</f>
        <v>#N/A</v>
      </c>
      <c r="AE594" s="230" t="e">
        <f>T594-HLOOKUP(V594,Minimas!$C$3:$CD$12,5,FALSE)</f>
        <v>#N/A</v>
      </c>
      <c r="AF594" s="230" t="e">
        <f>T594-HLOOKUP(V594,Minimas!$C$3:$CD$12,6,FALSE)</f>
        <v>#N/A</v>
      </c>
      <c r="AG594" s="230" t="e">
        <f>T594-HLOOKUP(V594,Minimas!$C$3:$CD$12,7,FALSE)</f>
        <v>#N/A</v>
      </c>
      <c r="AH594" s="230" t="e">
        <f>T594-HLOOKUP(V594,Minimas!$C$3:$CD$12,8,FALSE)</f>
        <v>#N/A</v>
      </c>
      <c r="AI594" s="230" t="e">
        <f>T594-HLOOKUP(V594,Minimas!$C$3:$CD$12,9,FALSE)</f>
        <v>#N/A</v>
      </c>
      <c r="AJ594" s="230" t="e">
        <f>T594-HLOOKUP(V594,Minimas!$C$3:$CD$12,10,FALSE)</f>
        <v>#N/A</v>
      </c>
      <c r="AK594" s="231" t="str">
        <f t="shared" si="121"/>
        <v xml:space="preserve"> </v>
      </c>
      <c r="AL594" s="232"/>
      <c r="AM594" s="232" t="str">
        <f t="shared" si="122"/>
        <v xml:space="preserve"> </v>
      </c>
      <c r="AN594" s="232" t="str">
        <f t="shared" si="123"/>
        <v xml:space="preserve"> </v>
      </c>
    </row>
    <row r="595" spans="28:40" ht="14" x14ac:dyDescent="0.25">
      <c r="AB595" s="230" t="e">
        <f>T595-HLOOKUP(V595,Minimas!$C$3:$CD$12,2,FALSE)</f>
        <v>#N/A</v>
      </c>
      <c r="AC595" s="230" t="e">
        <f>T595-HLOOKUP(V595,Minimas!$C$3:$CD$12,3,FALSE)</f>
        <v>#N/A</v>
      </c>
      <c r="AD595" s="230" t="e">
        <f>T595-HLOOKUP(V595,Minimas!$C$3:$CD$12,4,FALSE)</f>
        <v>#N/A</v>
      </c>
      <c r="AE595" s="230" t="e">
        <f>T595-HLOOKUP(V595,Minimas!$C$3:$CD$12,5,FALSE)</f>
        <v>#N/A</v>
      </c>
      <c r="AF595" s="230" t="e">
        <f>T595-HLOOKUP(V595,Minimas!$C$3:$CD$12,6,FALSE)</f>
        <v>#N/A</v>
      </c>
      <c r="AG595" s="230" t="e">
        <f>T595-HLOOKUP(V595,Minimas!$C$3:$CD$12,7,FALSE)</f>
        <v>#N/A</v>
      </c>
      <c r="AH595" s="230" t="e">
        <f>T595-HLOOKUP(V595,Minimas!$C$3:$CD$12,8,FALSE)</f>
        <v>#N/A</v>
      </c>
      <c r="AI595" s="230" t="e">
        <f>T595-HLOOKUP(V595,Minimas!$C$3:$CD$12,9,FALSE)</f>
        <v>#N/A</v>
      </c>
      <c r="AJ595" s="230" t="e">
        <f>T595-HLOOKUP(V595,Minimas!$C$3:$CD$12,10,FALSE)</f>
        <v>#N/A</v>
      </c>
      <c r="AK595" s="231" t="str">
        <f t="shared" si="121"/>
        <v xml:space="preserve"> </v>
      </c>
      <c r="AL595" s="232"/>
      <c r="AM595" s="232" t="str">
        <f t="shared" si="122"/>
        <v xml:space="preserve"> </v>
      </c>
      <c r="AN595" s="232" t="str">
        <f t="shared" si="123"/>
        <v xml:space="preserve"> </v>
      </c>
    </row>
    <row r="596" spans="28:40" ht="14" x14ac:dyDescent="0.25">
      <c r="AB596" s="230" t="e">
        <f>T596-HLOOKUP(V596,Minimas!$C$3:$CD$12,2,FALSE)</f>
        <v>#N/A</v>
      </c>
      <c r="AC596" s="230" t="e">
        <f>T596-HLOOKUP(V596,Minimas!$C$3:$CD$12,3,FALSE)</f>
        <v>#N/A</v>
      </c>
      <c r="AD596" s="230" t="e">
        <f>T596-HLOOKUP(V596,Minimas!$C$3:$CD$12,4,FALSE)</f>
        <v>#N/A</v>
      </c>
      <c r="AE596" s="230" t="e">
        <f>T596-HLOOKUP(V596,Minimas!$C$3:$CD$12,5,FALSE)</f>
        <v>#N/A</v>
      </c>
      <c r="AF596" s="230" t="e">
        <f>T596-HLOOKUP(V596,Minimas!$C$3:$CD$12,6,FALSE)</f>
        <v>#N/A</v>
      </c>
      <c r="AG596" s="230" t="e">
        <f>T596-HLOOKUP(V596,Minimas!$C$3:$CD$12,7,FALSE)</f>
        <v>#N/A</v>
      </c>
      <c r="AH596" s="230" t="e">
        <f>T596-HLOOKUP(V596,Minimas!$C$3:$CD$12,8,FALSE)</f>
        <v>#N/A</v>
      </c>
      <c r="AI596" s="230" t="e">
        <f>T596-HLOOKUP(V596,Minimas!$C$3:$CD$12,9,FALSE)</f>
        <v>#N/A</v>
      </c>
      <c r="AJ596" s="230" t="e">
        <f>T596-HLOOKUP(V596,Minimas!$C$3:$CD$12,10,FALSE)</f>
        <v>#N/A</v>
      </c>
      <c r="AK596" s="231" t="str">
        <f t="shared" si="121"/>
        <v xml:space="preserve"> </v>
      </c>
      <c r="AL596" s="232"/>
      <c r="AM596" s="232" t="str">
        <f t="shared" si="122"/>
        <v xml:space="preserve"> </v>
      </c>
      <c r="AN596" s="232" t="str">
        <f t="shared" si="123"/>
        <v xml:space="preserve"> </v>
      </c>
    </row>
    <row r="597" spans="28:40" ht="14" x14ac:dyDescent="0.25">
      <c r="AB597" s="230" t="e">
        <f>T597-HLOOKUP(V597,Minimas!$C$3:$CD$12,2,FALSE)</f>
        <v>#N/A</v>
      </c>
      <c r="AC597" s="230" t="e">
        <f>T597-HLOOKUP(V597,Minimas!$C$3:$CD$12,3,FALSE)</f>
        <v>#N/A</v>
      </c>
      <c r="AD597" s="230" t="e">
        <f>T597-HLOOKUP(V597,Minimas!$C$3:$CD$12,4,FALSE)</f>
        <v>#N/A</v>
      </c>
      <c r="AE597" s="230" t="e">
        <f>T597-HLOOKUP(V597,Minimas!$C$3:$CD$12,5,FALSE)</f>
        <v>#N/A</v>
      </c>
      <c r="AF597" s="230" t="e">
        <f>T597-HLOOKUP(V597,Minimas!$C$3:$CD$12,6,FALSE)</f>
        <v>#N/A</v>
      </c>
      <c r="AG597" s="230" t="e">
        <f>T597-HLOOKUP(V597,Minimas!$C$3:$CD$12,7,FALSE)</f>
        <v>#N/A</v>
      </c>
      <c r="AH597" s="230" t="e">
        <f>T597-HLOOKUP(V597,Minimas!$C$3:$CD$12,8,FALSE)</f>
        <v>#N/A</v>
      </c>
      <c r="AI597" s="230" t="e">
        <f>T597-HLOOKUP(V597,Minimas!$C$3:$CD$12,9,FALSE)</f>
        <v>#N/A</v>
      </c>
      <c r="AJ597" s="230" t="e">
        <f>T597-HLOOKUP(V597,Minimas!$C$3:$CD$12,10,FALSE)</f>
        <v>#N/A</v>
      </c>
      <c r="AK597" s="231" t="str">
        <f t="shared" si="121"/>
        <v xml:space="preserve"> </v>
      </c>
      <c r="AL597" s="232"/>
      <c r="AM597" s="232" t="str">
        <f t="shared" si="122"/>
        <v xml:space="preserve"> </v>
      </c>
      <c r="AN597" s="232" t="str">
        <f t="shared" si="123"/>
        <v xml:space="preserve"> </v>
      </c>
    </row>
    <row r="598" spans="28:40" ht="14" x14ac:dyDescent="0.25">
      <c r="AB598" s="230" t="e">
        <f>T598-HLOOKUP(V598,Minimas!$C$3:$CD$12,2,FALSE)</f>
        <v>#N/A</v>
      </c>
      <c r="AC598" s="230" t="e">
        <f>T598-HLOOKUP(V598,Minimas!$C$3:$CD$12,3,FALSE)</f>
        <v>#N/A</v>
      </c>
      <c r="AD598" s="230" t="e">
        <f>T598-HLOOKUP(V598,Minimas!$C$3:$CD$12,4,FALSE)</f>
        <v>#N/A</v>
      </c>
      <c r="AE598" s="230" t="e">
        <f>T598-HLOOKUP(V598,Minimas!$C$3:$CD$12,5,FALSE)</f>
        <v>#N/A</v>
      </c>
      <c r="AF598" s="230" t="e">
        <f>T598-HLOOKUP(V598,Minimas!$C$3:$CD$12,6,FALSE)</f>
        <v>#N/A</v>
      </c>
      <c r="AG598" s="230" t="e">
        <f>T598-HLOOKUP(V598,Minimas!$C$3:$CD$12,7,FALSE)</f>
        <v>#N/A</v>
      </c>
      <c r="AH598" s="230" t="e">
        <f>T598-HLOOKUP(V598,Minimas!$C$3:$CD$12,8,FALSE)</f>
        <v>#N/A</v>
      </c>
      <c r="AI598" s="230" t="e">
        <f>T598-HLOOKUP(V598,Minimas!$C$3:$CD$12,9,FALSE)</f>
        <v>#N/A</v>
      </c>
      <c r="AJ598" s="230" t="e">
        <f>T598-HLOOKUP(V598,Minimas!$C$3:$CD$12,10,FALSE)</f>
        <v>#N/A</v>
      </c>
      <c r="AK598" s="231" t="str">
        <f t="shared" si="121"/>
        <v xml:space="preserve"> </v>
      </c>
      <c r="AL598" s="232"/>
      <c r="AM598" s="232" t="str">
        <f t="shared" si="122"/>
        <v xml:space="preserve"> </v>
      </c>
      <c r="AN598" s="232" t="str">
        <f t="shared" si="123"/>
        <v xml:space="preserve"> </v>
      </c>
    </row>
    <row r="599" spans="28:40" ht="14" x14ac:dyDescent="0.25">
      <c r="AB599" s="230" t="e">
        <f>T599-HLOOKUP(V599,Minimas!$C$3:$CD$12,2,FALSE)</f>
        <v>#N/A</v>
      </c>
      <c r="AC599" s="230" t="e">
        <f>T599-HLOOKUP(V599,Minimas!$C$3:$CD$12,3,FALSE)</f>
        <v>#N/A</v>
      </c>
      <c r="AD599" s="230" t="e">
        <f>T599-HLOOKUP(V599,Minimas!$C$3:$CD$12,4,FALSE)</f>
        <v>#N/A</v>
      </c>
      <c r="AE599" s="230" t="e">
        <f>T599-HLOOKUP(V599,Minimas!$C$3:$CD$12,5,FALSE)</f>
        <v>#N/A</v>
      </c>
      <c r="AF599" s="230" t="e">
        <f>T599-HLOOKUP(V599,Minimas!$C$3:$CD$12,6,FALSE)</f>
        <v>#N/A</v>
      </c>
      <c r="AG599" s="230" t="e">
        <f>T599-HLOOKUP(V599,Minimas!$C$3:$CD$12,7,FALSE)</f>
        <v>#N/A</v>
      </c>
      <c r="AH599" s="230" t="e">
        <f>T599-HLOOKUP(V599,Minimas!$C$3:$CD$12,8,FALSE)</f>
        <v>#N/A</v>
      </c>
      <c r="AI599" s="230" t="e">
        <f>T599-HLOOKUP(V599,Minimas!$C$3:$CD$12,9,FALSE)</f>
        <v>#N/A</v>
      </c>
      <c r="AJ599" s="230" t="e">
        <f>T599-HLOOKUP(V599,Minimas!$C$3:$CD$12,10,FALSE)</f>
        <v>#N/A</v>
      </c>
      <c r="AK599" s="231" t="str">
        <f t="shared" si="121"/>
        <v xml:space="preserve"> </v>
      </c>
      <c r="AL599" s="232"/>
      <c r="AM599" s="232" t="str">
        <f t="shared" si="122"/>
        <v xml:space="preserve"> </v>
      </c>
      <c r="AN599" s="232" t="str">
        <f t="shared" si="123"/>
        <v xml:space="preserve"> </v>
      </c>
    </row>
    <row r="600" spans="28:40" ht="14" x14ac:dyDescent="0.25">
      <c r="AB600" s="230" t="e">
        <f>T600-HLOOKUP(V600,Minimas!$C$3:$CD$12,2,FALSE)</f>
        <v>#N/A</v>
      </c>
      <c r="AC600" s="230" t="e">
        <f>T600-HLOOKUP(V600,Minimas!$C$3:$CD$12,3,FALSE)</f>
        <v>#N/A</v>
      </c>
      <c r="AD600" s="230" t="e">
        <f>T600-HLOOKUP(V600,Minimas!$C$3:$CD$12,4,FALSE)</f>
        <v>#N/A</v>
      </c>
      <c r="AE600" s="230" t="e">
        <f>T600-HLOOKUP(V600,Minimas!$C$3:$CD$12,5,FALSE)</f>
        <v>#N/A</v>
      </c>
      <c r="AF600" s="230" t="e">
        <f>T600-HLOOKUP(V600,Minimas!$C$3:$CD$12,6,FALSE)</f>
        <v>#N/A</v>
      </c>
      <c r="AG600" s="230" t="e">
        <f>T600-HLOOKUP(V600,Minimas!$C$3:$CD$12,7,FALSE)</f>
        <v>#N/A</v>
      </c>
      <c r="AH600" s="230" t="e">
        <f>T600-HLOOKUP(V600,Minimas!$C$3:$CD$12,8,FALSE)</f>
        <v>#N/A</v>
      </c>
      <c r="AI600" s="230" t="e">
        <f>T600-HLOOKUP(V600,Minimas!$C$3:$CD$12,9,FALSE)</f>
        <v>#N/A</v>
      </c>
      <c r="AJ600" s="230" t="e">
        <f>T600-HLOOKUP(V600,Minimas!$C$3:$CD$12,10,FALSE)</f>
        <v>#N/A</v>
      </c>
      <c r="AK600" s="231" t="str">
        <f t="shared" si="121"/>
        <v xml:space="preserve"> </v>
      </c>
      <c r="AL600" s="232"/>
      <c r="AM600" s="232" t="str">
        <f t="shared" si="122"/>
        <v xml:space="preserve"> </v>
      </c>
      <c r="AN600" s="232" t="str">
        <f t="shared" si="123"/>
        <v xml:space="preserve"> </v>
      </c>
    </row>
    <row r="601" spans="28:40" ht="14" x14ac:dyDescent="0.25">
      <c r="AB601" s="230" t="e">
        <f>T601-HLOOKUP(V601,Minimas!$C$3:$CD$12,2,FALSE)</f>
        <v>#N/A</v>
      </c>
      <c r="AC601" s="230" t="e">
        <f>T601-HLOOKUP(V601,Minimas!$C$3:$CD$12,3,FALSE)</f>
        <v>#N/A</v>
      </c>
      <c r="AD601" s="230" t="e">
        <f>T601-HLOOKUP(V601,Minimas!$C$3:$CD$12,4,FALSE)</f>
        <v>#N/A</v>
      </c>
      <c r="AE601" s="230" t="e">
        <f>T601-HLOOKUP(V601,Minimas!$C$3:$CD$12,5,FALSE)</f>
        <v>#N/A</v>
      </c>
      <c r="AF601" s="230" t="e">
        <f>T601-HLOOKUP(V601,Minimas!$C$3:$CD$12,6,FALSE)</f>
        <v>#N/A</v>
      </c>
      <c r="AG601" s="230" t="e">
        <f>T601-HLOOKUP(V601,Minimas!$C$3:$CD$12,7,FALSE)</f>
        <v>#N/A</v>
      </c>
      <c r="AH601" s="230" t="e">
        <f>T601-HLOOKUP(V601,Minimas!$C$3:$CD$12,8,FALSE)</f>
        <v>#N/A</v>
      </c>
      <c r="AI601" s="230" t="e">
        <f>T601-HLOOKUP(V601,Minimas!$C$3:$CD$12,9,FALSE)</f>
        <v>#N/A</v>
      </c>
      <c r="AJ601" s="230" t="e">
        <f>T601-HLOOKUP(V601,Minimas!$C$3:$CD$12,10,FALSE)</f>
        <v>#N/A</v>
      </c>
      <c r="AK601" s="231" t="str">
        <f t="shared" si="121"/>
        <v xml:space="preserve"> </v>
      </c>
      <c r="AL601" s="232"/>
      <c r="AM601" s="232" t="str">
        <f t="shared" si="122"/>
        <v xml:space="preserve"> </v>
      </c>
      <c r="AN601" s="232" t="str">
        <f t="shared" si="123"/>
        <v xml:space="preserve"> </v>
      </c>
    </row>
    <row r="602" spans="28:40" ht="14" x14ac:dyDescent="0.25">
      <c r="AB602" s="230" t="e">
        <f>T602-HLOOKUP(V602,Minimas!$C$3:$CD$12,2,FALSE)</f>
        <v>#N/A</v>
      </c>
      <c r="AC602" s="230" t="e">
        <f>T602-HLOOKUP(V602,Minimas!$C$3:$CD$12,3,FALSE)</f>
        <v>#N/A</v>
      </c>
      <c r="AD602" s="230" t="e">
        <f>T602-HLOOKUP(V602,Minimas!$C$3:$CD$12,4,FALSE)</f>
        <v>#N/A</v>
      </c>
      <c r="AE602" s="230" t="e">
        <f>T602-HLOOKUP(V602,Minimas!$C$3:$CD$12,5,FALSE)</f>
        <v>#N/A</v>
      </c>
      <c r="AF602" s="230" t="e">
        <f>T602-HLOOKUP(V602,Minimas!$C$3:$CD$12,6,FALSE)</f>
        <v>#N/A</v>
      </c>
      <c r="AG602" s="230" t="e">
        <f>T602-HLOOKUP(V602,Minimas!$C$3:$CD$12,7,FALSE)</f>
        <v>#N/A</v>
      </c>
      <c r="AH602" s="230" t="e">
        <f>T602-HLOOKUP(V602,Minimas!$C$3:$CD$12,8,FALSE)</f>
        <v>#N/A</v>
      </c>
      <c r="AI602" s="230" t="e">
        <f>T602-HLOOKUP(V602,Minimas!$C$3:$CD$12,9,FALSE)</f>
        <v>#N/A</v>
      </c>
      <c r="AJ602" s="230" t="e">
        <f>T602-HLOOKUP(V602,Minimas!$C$3:$CD$12,10,FALSE)</f>
        <v>#N/A</v>
      </c>
      <c r="AK602" s="231" t="str">
        <f t="shared" si="121"/>
        <v xml:space="preserve"> </v>
      </c>
      <c r="AL602" s="232"/>
      <c r="AM602" s="232" t="str">
        <f t="shared" si="122"/>
        <v xml:space="preserve"> </v>
      </c>
      <c r="AN602" s="232" t="str">
        <f t="shared" si="123"/>
        <v xml:space="preserve"> </v>
      </c>
    </row>
    <row r="603" spans="28:40" ht="14" x14ac:dyDescent="0.25">
      <c r="AB603" s="230" t="e">
        <f>T603-HLOOKUP(V603,Minimas!$C$3:$CD$12,2,FALSE)</f>
        <v>#N/A</v>
      </c>
      <c r="AC603" s="230" t="e">
        <f>T603-HLOOKUP(V603,Minimas!$C$3:$CD$12,3,FALSE)</f>
        <v>#N/A</v>
      </c>
      <c r="AD603" s="230" t="e">
        <f>T603-HLOOKUP(V603,Minimas!$C$3:$CD$12,4,FALSE)</f>
        <v>#N/A</v>
      </c>
      <c r="AE603" s="230" t="e">
        <f>T603-HLOOKUP(V603,Minimas!$C$3:$CD$12,5,FALSE)</f>
        <v>#N/A</v>
      </c>
      <c r="AF603" s="230" t="e">
        <f>T603-HLOOKUP(V603,Minimas!$C$3:$CD$12,6,FALSE)</f>
        <v>#N/A</v>
      </c>
      <c r="AG603" s="230" t="e">
        <f>T603-HLOOKUP(V603,Minimas!$C$3:$CD$12,7,FALSE)</f>
        <v>#N/A</v>
      </c>
      <c r="AH603" s="230" t="e">
        <f>T603-HLOOKUP(V603,Minimas!$C$3:$CD$12,8,FALSE)</f>
        <v>#N/A</v>
      </c>
      <c r="AI603" s="230" t="e">
        <f>T603-HLOOKUP(V603,Minimas!$C$3:$CD$12,9,FALSE)</f>
        <v>#N/A</v>
      </c>
      <c r="AJ603" s="230" t="e">
        <f>T603-HLOOKUP(V603,Minimas!$C$3:$CD$12,10,FALSE)</f>
        <v>#N/A</v>
      </c>
      <c r="AK603" s="231" t="str">
        <f t="shared" si="121"/>
        <v xml:space="preserve"> </v>
      </c>
      <c r="AL603" s="232"/>
      <c r="AM603" s="232" t="str">
        <f t="shared" si="122"/>
        <v xml:space="preserve"> </v>
      </c>
      <c r="AN603" s="232" t="str">
        <f t="shared" si="123"/>
        <v xml:space="preserve"> </v>
      </c>
    </row>
    <row r="604" spans="28:40" ht="14" x14ac:dyDescent="0.25">
      <c r="AB604" s="230" t="e">
        <f>T604-HLOOKUP(V604,Minimas!$C$3:$CD$12,2,FALSE)</f>
        <v>#N/A</v>
      </c>
      <c r="AC604" s="230" t="e">
        <f>T604-HLOOKUP(V604,Minimas!$C$3:$CD$12,3,FALSE)</f>
        <v>#N/A</v>
      </c>
      <c r="AD604" s="230" t="e">
        <f>T604-HLOOKUP(V604,Minimas!$C$3:$CD$12,4,FALSE)</f>
        <v>#N/A</v>
      </c>
      <c r="AE604" s="230" t="e">
        <f>T604-HLOOKUP(V604,Minimas!$C$3:$CD$12,5,FALSE)</f>
        <v>#N/A</v>
      </c>
      <c r="AF604" s="230" t="e">
        <f>T604-HLOOKUP(V604,Minimas!$C$3:$CD$12,6,FALSE)</f>
        <v>#N/A</v>
      </c>
      <c r="AG604" s="230" t="e">
        <f>T604-HLOOKUP(V604,Minimas!$C$3:$CD$12,7,FALSE)</f>
        <v>#N/A</v>
      </c>
      <c r="AH604" s="230" t="e">
        <f>T604-HLOOKUP(V604,Minimas!$C$3:$CD$12,8,FALSE)</f>
        <v>#N/A</v>
      </c>
      <c r="AI604" s="230" t="e">
        <f>T604-HLOOKUP(V604,Minimas!$C$3:$CD$12,9,FALSE)</f>
        <v>#N/A</v>
      </c>
      <c r="AJ604" s="230" t="e">
        <f>T604-HLOOKUP(V604,Minimas!$C$3:$CD$12,10,FALSE)</f>
        <v>#N/A</v>
      </c>
      <c r="AK604" s="231" t="str">
        <f t="shared" si="121"/>
        <v xml:space="preserve"> </v>
      </c>
      <c r="AL604" s="232"/>
      <c r="AM604" s="232" t="str">
        <f t="shared" si="122"/>
        <v xml:space="preserve"> </v>
      </c>
      <c r="AN604" s="232" t="str">
        <f t="shared" si="123"/>
        <v xml:space="preserve"> </v>
      </c>
    </row>
    <row r="605" spans="28:40" ht="14" x14ac:dyDescent="0.25">
      <c r="AB605" s="230" t="e">
        <f>T605-HLOOKUP(V605,Minimas!$C$3:$CD$12,2,FALSE)</f>
        <v>#N/A</v>
      </c>
      <c r="AC605" s="230" t="e">
        <f>T605-HLOOKUP(V605,Minimas!$C$3:$CD$12,3,FALSE)</f>
        <v>#N/A</v>
      </c>
      <c r="AD605" s="230" t="e">
        <f>T605-HLOOKUP(V605,Minimas!$C$3:$CD$12,4,FALSE)</f>
        <v>#N/A</v>
      </c>
      <c r="AE605" s="230" t="e">
        <f>T605-HLOOKUP(V605,Minimas!$C$3:$CD$12,5,FALSE)</f>
        <v>#N/A</v>
      </c>
      <c r="AF605" s="230" t="e">
        <f>T605-HLOOKUP(V605,Minimas!$C$3:$CD$12,6,FALSE)</f>
        <v>#N/A</v>
      </c>
      <c r="AG605" s="230" t="e">
        <f>T605-HLOOKUP(V605,Minimas!$C$3:$CD$12,7,FALSE)</f>
        <v>#N/A</v>
      </c>
      <c r="AH605" s="230" t="e">
        <f>T605-HLOOKUP(V605,Minimas!$C$3:$CD$12,8,FALSE)</f>
        <v>#N/A</v>
      </c>
      <c r="AI605" s="230" t="e">
        <f>T605-HLOOKUP(V605,Minimas!$C$3:$CD$12,9,FALSE)</f>
        <v>#N/A</v>
      </c>
      <c r="AJ605" s="230" t="e">
        <f>T605-HLOOKUP(V605,Minimas!$C$3:$CD$12,10,FALSE)</f>
        <v>#N/A</v>
      </c>
      <c r="AK605" s="231" t="str">
        <f t="shared" si="121"/>
        <v xml:space="preserve"> </v>
      </c>
      <c r="AL605" s="232"/>
      <c r="AM605" s="232" t="str">
        <f t="shared" si="122"/>
        <v xml:space="preserve"> </v>
      </c>
      <c r="AN605" s="232" t="str">
        <f t="shared" si="123"/>
        <v xml:space="preserve"> </v>
      </c>
    </row>
    <row r="606" spans="28:40" ht="14" x14ac:dyDescent="0.25">
      <c r="AB606" s="230" t="e">
        <f>T606-HLOOKUP(V606,Minimas!$C$3:$CD$12,2,FALSE)</f>
        <v>#N/A</v>
      </c>
      <c r="AC606" s="230" t="e">
        <f>T606-HLOOKUP(V606,Minimas!$C$3:$CD$12,3,FALSE)</f>
        <v>#N/A</v>
      </c>
      <c r="AD606" s="230" t="e">
        <f>T606-HLOOKUP(V606,Minimas!$C$3:$CD$12,4,FALSE)</f>
        <v>#N/A</v>
      </c>
      <c r="AE606" s="230" t="e">
        <f>T606-HLOOKUP(V606,Minimas!$C$3:$CD$12,5,FALSE)</f>
        <v>#N/A</v>
      </c>
      <c r="AF606" s="230" t="e">
        <f>T606-HLOOKUP(V606,Minimas!$C$3:$CD$12,6,FALSE)</f>
        <v>#N/A</v>
      </c>
      <c r="AG606" s="230" t="e">
        <f>T606-HLOOKUP(V606,Minimas!$C$3:$CD$12,7,FALSE)</f>
        <v>#N/A</v>
      </c>
      <c r="AH606" s="230" t="e">
        <f>T606-HLOOKUP(V606,Minimas!$C$3:$CD$12,8,FALSE)</f>
        <v>#N/A</v>
      </c>
      <c r="AI606" s="230" t="e">
        <f>T606-HLOOKUP(V606,Minimas!$C$3:$CD$12,9,FALSE)</f>
        <v>#N/A</v>
      </c>
      <c r="AJ606" s="230" t="e">
        <f>T606-HLOOKUP(V606,Minimas!$C$3:$CD$12,10,FALSE)</f>
        <v>#N/A</v>
      </c>
      <c r="AK606" s="231" t="str">
        <f t="shared" si="121"/>
        <v xml:space="preserve"> </v>
      </c>
      <c r="AL606" s="232"/>
      <c r="AM606" s="232" t="str">
        <f t="shared" si="122"/>
        <v xml:space="preserve"> </v>
      </c>
      <c r="AN606" s="232" t="str">
        <f t="shared" si="123"/>
        <v xml:space="preserve"> </v>
      </c>
    </row>
    <row r="607" spans="28:40" ht="14" x14ac:dyDescent="0.25">
      <c r="AB607" s="230" t="e">
        <f>T607-HLOOKUP(V607,Minimas!$C$3:$CD$12,2,FALSE)</f>
        <v>#N/A</v>
      </c>
      <c r="AC607" s="230" t="e">
        <f>T607-HLOOKUP(V607,Minimas!$C$3:$CD$12,3,FALSE)</f>
        <v>#N/A</v>
      </c>
      <c r="AD607" s="230" t="e">
        <f>T607-HLOOKUP(V607,Minimas!$C$3:$CD$12,4,FALSE)</f>
        <v>#N/A</v>
      </c>
      <c r="AE607" s="230" t="e">
        <f>T607-HLOOKUP(V607,Minimas!$C$3:$CD$12,5,FALSE)</f>
        <v>#N/A</v>
      </c>
      <c r="AF607" s="230" t="e">
        <f>T607-HLOOKUP(V607,Minimas!$C$3:$CD$12,6,FALSE)</f>
        <v>#N/A</v>
      </c>
      <c r="AG607" s="230" t="e">
        <f>T607-HLOOKUP(V607,Minimas!$C$3:$CD$12,7,FALSE)</f>
        <v>#N/A</v>
      </c>
      <c r="AH607" s="230" t="e">
        <f>T607-HLOOKUP(V607,Minimas!$C$3:$CD$12,8,FALSE)</f>
        <v>#N/A</v>
      </c>
      <c r="AI607" s="230" t="e">
        <f>T607-HLOOKUP(V607,Minimas!$C$3:$CD$12,9,FALSE)</f>
        <v>#N/A</v>
      </c>
      <c r="AJ607" s="230" t="e">
        <f>T607-HLOOKUP(V607,Minimas!$C$3:$CD$12,10,FALSE)</f>
        <v>#N/A</v>
      </c>
      <c r="AK607" s="231" t="str">
        <f t="shared" si="121"/>
        <v xml:space="preserve"> </v>
      </c>
      <c r="AL607" s="232"/>
      <c r="AM607" s="232" t="str">
        <f t="shared" si="122"/>
        <v xml:space="preserve"> </v>
      </c>
      <c r="AN607" s="232" t="str">
        <f t="shared" si="123"/>
        <v xml:space="preserve"> </v>
      </c>
    </row>
    <row r="608" spans="28:40" ht="14" x14ac:dyDescent="0.25">
      <c r="AB608" s="230" t="e">
        <f>T608-HLOOKUP(V608,Minimas!$C$3:$CD$12,2,FALSE)</f>
        <v>#N/A</v>
      </c>
      <c r="AC608" s="230" t="e">
        <f>T608-HLOOKUP(V608,Minimas!$C$3:$CD$12,3,FALSE)</f>
        <v>#N/A</v>
      </c>
      <c r="AD608" s="230" t="e">
        <f>T608-HLOOKUP(V608,Minimas!$C$3:$CD$12,4,FALSE)</f>
        <v>#N/A</v>
      </c>
      <c r="AE608" s="230" t="e">
        <f>T608-HLOOKUP(V608,Minimas!$C$3:$CD$12,5,FALSE)</f>
        <v>#N/A</v>
      </c>
      <c r="AF608" s="230" t="e">
        <f>T608-HLOOKUP(V608,Minimas!$C$3:$CD$12,6,FALSE)</f>
        <v>#N/A</v>
      </c>
      <c r="AG608" s="230" t="e">
        <f>T608-HLOOKUP(V608,Minimas!$C$3:$CD$12,7,FALSE)</f>
        <v>#N/A</v>
      </c>
      <c r="AH608" s="230" t="e">
        <f>T608-HLOOKUP(V608,Minimas!$C$3:$CD$12,8,FALSE)</f>
        <v>#N/A</v>
      </c>
      <c r="AI608" s="230" t="e">
        <f>T608-HLOOKUP(V608,Minimas!$C$3:$CD$12,9,FALSE)</f>
        <v>#N/A</v>
      </c>
      <c r="AJ608" s="230" t="e">
        <f>T608-HLOOKUP(V608,Minimas!$C$3:$CD$12,10,FALSE)</f>
        <v>#N/A</v>
      </c>
      <c r="AK608" s="231" t="str">
        <f t="shared" si="121"/>
        <v xml:space="preserve"> </v>
      </c>
      <c r="AL608" s="232"/>
      <c r="AM608" s="232" t="str">
        <f t="shared" si="122"/>
        <v xml:space="preserve"> </v>
      </c>
      <c r="AN608" s="232" t="str">
        <f t="shared" si="123"/>
        <v xml:space="preserve"> </v>
      </c>
    </row>
    <row r="609" spans="28:40" ht="14" x14ac:dyDescent="0.25">
      <c r="AB609" s="230" t="e">
        <f>T609-HLOOKUP(V609,Minimas!$C$3:$CD$12,2,FALSE)</f>
        <v>#N/A</v>
      </c>
      <c r="AC609" s="230" t="e">
        <f>T609-HLOOKUP(V609,Minimas!$C$3:$CD$12,3,FALSE)</f>
        <v>#N/A</v>
      </c>
      <c r="AD609" s="230" t="e">
        <f>T609-HLOOKUP(V609,Minimas!$C$3:$CD$12,4,FALSE)</f>
        <v>#N/A</v>
      </c>
      <c r="AE609" s="230" t="e">
        <f>T609-HLOOKUP(V609,Minimas!$C$3:$CD$12,5,FALSE)</f>
        <v>#N/A</v>
      </c>
      <c r="AF609" s="230" t="e">
        <f>T609-HLOOKUP(V609,Minimas!$C$3:$CD$12,6,FALSE)</f>
        <v>#N/A</v>
      </c>
      <c r="AG609" s="230" t="e">
        <f>T609-HLOOKUP(V609,Minimas!$C$3:$CD$12,7,FALSE)</f>
        <v>#N/A</v>
      </c>
      <c r="AH609" s="230" t="e">
        <f>T609-HLOOKUP(V609,Minimas!$C$3:$CD$12,8,FALSE)</f>
        <v>#N/A</v>
      </c>
      <c r="AI609" s="230" t="e">
        <f>T609-HLOOKUP(V609,Minimas!$C$3:$CD$12,9,FALSE)</f>
        <v>#N/A</v>
      </c>
      <c r="AJ609" s="230" t="e">
        <f>T609-HLOOKUP(V609,Minimas!$C$3:$CD$12,10,FALSE)</f>
        <v>#N/A</v>
      </c>
      <c r="AK609" s="231" t="str">
        <f t="shared" si="121"/>
        <v xml:space="preserve"> </v>
      </c>
      <c r="AL609" s="232"/>
      <c r="AM609" s="232" t="str">
        <f t="shared" si="122"/>
        <v xml:space="preserve"> </v>
      </c>
      <c r="AN609" s="232" t="str">
        <f t="shared" si="123"/>
        <v xml:space="preserve"> </v>
      </c>
    </row>
    <row r="610" spans="28:40" ht="14" x14ac:dyDescent="0.25">
      <c r="AB610" s="230" t="e">
        <f>T610-HLOOKUP(V610,Minimas!$C$3:$CD$12,2,FALSE)</f>
        <v>#N/A</v>
      </c>
      <c r="AC610" s="230" t="e">
        <f>T610-HLOOKUP(V610,Minimas!$C$3:$CD$12,3,FALSE)</f>
        <v>#N/A</v>
      </c>
      <c r="AD610" s="230" t="e">
        <f>T610-HLOOKUP(V610,Minimas!$C$3:$CD$12,4,FALSE)</f>
        <v>#N/A</v>
      </c>
      <c r="AE610" s="230" t="e">
        <f>T610-HLOOKUP(V610,Minimas!$C$3:$CD$12,5,FALSE)</f>
        <v>#N/A</v>
      </c>
      <c r="AF610" s="230" t="e">
        <f>T610-HLOOKUP(V610,Minimas!$C$3:$CD$12,6,FALSE)</f>
        <v>#N/A</v>
      </c>
      <c r="AG610" s="230" t="e">
        <f>T610-HLOOKUP(V610,Minimas!$C$3:$CD$12,7,FALSE)</f>
        <v>#N/A</v>
      </c>
      <c r="AH610" s="230" t="e">
        <f>T610-HLOOKUP(V610,Minimas!$C$3:$CD$12,8,FALSE)</f>
        <v>#N/A</v>
      </c>
      <c r="AI610" s="230" t="e">
        <f>T610-HLOOKUP(V610,Minimas!$C$3:$CD$12,9,FALSE)</f>
        <v>#N/A</v>
      </c>
      <c r="AJ610" s="230" t="e">
        <f>T610-HLOOKUP(V610,Minimas!$C$3:$CD$12,10,FALSE)</f>
        <v>#N/A</v>
      </c>
      <c r="AK610" s="231" t="str">
        <f t="shared" si="121"/>
        <v xml:space="preserve"> </v>
      </c>
      <c r="AL610" s="232"/>
      <c r="AM610" s="232" t="str">
        <f t="shared" si="122"/>
        <v xml:space="preserve"> </v>
      </c>
      <c r="AN610" s="232" t="str">
        <f t="shared" si="123"/>
        <v xml:space="preserve"> </v>
      </c>
    </row>
    <row r="611" spans="28:40" ht="14" x14ac:dyDescent="0.25">
      <c r="AB611" s="230" t="e">
        <f>T611-HLOOKUP(V611,Minimas!$C$3:$CD$12,2,FALSE)</f>
        <v>#N/A</v>
      </c>
      <c r="AC611" s="230" t="e">
        <f>T611-HLOOKUP(V611,Minimas!$C$3:$CD$12,3,FALSE)</f>
        <v>#N/A</v>
      </c>
      <c r="AD611" s="230" t="e">
        <f>T611-HLOOKUP(V611,Minimas!$C$3:$CD$12,4,FALSE)</f>
        <v>#N/A</v>
      </c>
      <c r="AE611" s="230" t="e">
        <f>T611-HLOOKUP(V611,Minimas!$C$3:$CD$12,5,FALSE)</f>
        <v>#N/A</v>
      </c>
      <c r="AF611" s="230" t="e">
        <f>T611-HLOOKUP(V611,Minimas!$C$3:$CD$12,6,FALSE)</f>
        <v>#N/A</v>
      </c>
      <c r="AG611" s="230" t="e">
        <f>T611-HLOOKUP(V611,Minimas!$C$3:$CD$12,7,FALSE)</f>
        <v>#N/A</v>
      </c>
      <c r="AH611" s="230" t="e">
        <f>T611-HLOOKUP(V611,Minimas!$C$3:$CD$12,8,FALSE)</f>
        <v>#N/A</v>
      </c>
      <c r="AI611" s="230" t="e">
        <f>T611-HLOOKUP(V611,Minimas!$C$3:$CD$12,9,FALSE)</f>
        <v>#N/A</v>
      </c>
      <c r="AJ611" s="230" t="e">
        <f>T611-HLOOKUP(V611,Minimas!$C$3:$CD$12,10,FALSE)</f>
        <v>#N/A</v>
      </c>
      <c r="AK611" s="231" t="str">
        <f t="shared" si="121"/>
        <v xml:space="preserve"> </v>
      </c>
      <c r="AL611" s="232"/>
      <c r="AM611" s="232" t="str">
        <f t="shared" si="122"/>
        <v xml:space="preserve"> </v>
      </c>
      <c r="AN611" s="232" t="str">
        <f t="shared" si="123"/>
        <v xml:space="preserve"> </v>
      </c>
    </row>
    <row r="612" spans="28:40" ht="14" x14ac:dyDescent="0.25">
      <c r="AB612" s="230" t="e">
        <f>T612-HLOOKUP(V612,Minimas!$C$3:$CD$12,2,FALSE)</f>
        <v>#N/A</v>
      </c>
      <c r="AC612" s="230" t="e">
        <f>T612-HLOOKUP(V612,Minimas!$C$3:$CD$12,3,FALSE)</f>
        <v>#N/A</v>
      </c>
      <c r="AD612" s="230" t="e">
        <f>T612-HLOOKUP(V612,Minimas!$C$3:$CD$12,4,FALSE)</f>
        <v>#N/A</v>
      </c>
      <c r="AE612" s="230" t="e">
        <f>T612-HLOOKUP(V612,Minimas!$C$3:$CD$12,5,FALSE)</f>
        <v>#N/A</v>
      </c>
      <c r="AF612" s="230" t="e">
        <f>T612-HLOOKUP(V612,Minimas!$C$3:$CD$12,6,FALSE)</f>
        <v>#N/A</v>
      </c>
      <c r="AG612" s="230" t="e">
        <f>T612-HLOOKUP(V612,Minimas!$C$3:$CD$12,7,FALSE)</f>
        <v>#N/A</v>
      </c>
      <c r="AH612" s="230" t="e">
        <f>T612-HLOOKUP(V612,Minimas!$C$3:$CD$12,8,FALSE)</f>
        <v>#N/A</v>
      </c>
      <c r="AI612" s="230" t="e">
        <f>T612-HLOOKUP(V612,Minimas!$C$3:$CD$12,9,FALSE)</f>
        <v>#N/A</v>
      </c>
      <c r="AJ612" s="230" t="e">
        <f>T612-HLOOKUP(V612,Minimas!$C$3:$CD$12,10,FALSE)</f>
        <v>#N/A</v>
      </c>
      <c r="AK612" s="231" t="str">
        <f t="shared" si="121"/>
        <v xml:space="preserve"> </v>
      </c>
      <c r="AL612" s="232"/>
      <c r="AM612" s="232" t="str">
        <f t="shared" si="122"/>
        <v xml:space="preserve"> </v>
      </c>
      <c r="AN612" s="232" t="str">
        <f t="shared" si="123"/>
        <v xml:space="preserve"> </v>
      </c>
    </row>
    <row r="613" spans="28:40" ht="14" x14ac:dyDescent="0.25">
      <c r="AB613" s="230" t="e">
        <f>T613-HLOOKUP(V613,Minimas!$C$3:$CD$12,2,FALSE)</f>
        <v>#N/A</v>
      </c>
      <c r="AC613" s="230" t="e">
        <f>T613-HLOOKUP(V613,Minimas!$C$3:$CD$12,3,FALSE)</f>
        <v>#N/A</v>
      </c>
      <c r="AD613" s="230" t="e">
        <f>T613-HLOOKUP(V613,Minimas!$C$3:$CD$12,4,FALSE)</f>
        <v>#N/A</v>
      </c>
      <c r="AE613" s="230" t="e">
        <f>T613-HLOOKUP(V613,Minimas!$C$3:$CD$12,5,FALSE)</f>
        <v>#N/A</v>
      </c>
      <c r="AF613" s="230" t="e">
        <f>T613-HLOOKUP(V613,Minimas!$C$3:$CD$12,6,FALSE)</f>
        <v>#N/A</v>
      </c>
      <c r="AG613" s="230" t="e">
        <f>T613-HLOOKUP(V613,Minimas!$C$3:$CD$12,7,FALSE)</f>
        <v>#N/A</v>
      </c>
      <c r="AH613" s="230" t="e">
        <f>T613-HLOOKUP(V613,Minimas!$C$3:$CD$12,8,FALSE)</f>
        <v>#N/A</v>
      </c>
      <c r="AI613" s="230" t="e">
        <f>T613-HLOOKUP(V613,Minimas!$C$3:$CD$12,9,FALSE)</f>
        <v>#N/A</v>
      </c>
      <c r="AJ613" s="230" t="e">
        <f>T613-HLOOKUP(V613,Minimas!$C$3:$CD$12,10,FALSE)</f>
        <v>#N/A</v>
      </c>
      <c r="AK613" s="231" t="str">
        <f t="shared" si="121"/>
        <v xml:space="preserve"> </v>
      </c>
      <c r="AL613" s="232"/>
      <c r="AM613" s="232" t="str">
        <f t="shared" si="122"/>
        <v xml:space="preserve"> </v>
      </c>
      <c r="AN613" s="232" t="str">
        <f t="shared" si="123"/>
        <v xml:space="preserve"> </v>
      </c>
    </row>
    <row r="614" spans="28:40" ht="14" x14ac:dyDescent="0.25">
      <c r="AB614" s="230" t="e">
        <f>T614-HLOOKUP(V614,Minimas!$C$3:$CD$12,2,FALSE)</f>
        <v>#N/A</v>
      </c>
      <c r="AC614" s="230" t="e">
        <f>T614-HLOOKUP(V614,Minimas!$C$3:$CD$12,3,FALSE)</f>
        <v>#N/A</v>
      </c>
      <c r="AD614" s="230" t="e">
        <f>T614-HLOOKUP(V614,Minimas!$C$3:$CD$12,4,FALSE)</f>
        <v>#N/A</v>
      </c>
      <c r="AE614" s="230" t="e">
        <f>T614-HLOOKUP(V614,Minimas!$C$3:$CD$12,5,FALSE)</f>
        <v>#N/A</v>
      </c>
      <c r="AF614" s="230" t="e">
        <f>T614-HLOOKUP(V614,Minimas!$C$3:$CD$12,6,FALSE)</f>
        <v>#N/A</v>
      </c>
      <c r="AG614" s="230" t="e">
        <f>T614-HLOOKUP(V614,Minimas!$C$3:$CD$12,7,FALSE)</f>
        <v>#N/A</v>
      </c>
      <c r="AH614" s="230" t="e">
        <f>T614-HLOOKUP(V614,Minimas!$C$3:$CD$12,8,FALSE)</f>
        <v>#N/A</v>
      </c>
      <c r="AI614" s="230" t="e">
        <f>T614-HLOOKUP(V614,Minimas!$C$3:$CD$12,9,FALSE)</f>
        <v>#N/A</v>
      </c>
      <c r="AJ614" s="230" t="e">
        <f>T614-HLOOKUP(V614,Minimas!$C$3:$CD$12,10,FALSE)</f>
        <v>#N/A</v>
      </c>
      <c r="AK614" s="231" t="str">
        <f t="shared" si="121"/>
        <v xml:space="preserve"> </v>
      </c>
      <c r="AL614" s="232"/>
      <c r="AM614" s="232" t="str">
        <f t="shared" si="122"/>
        <v xml:space="preserve"> </v>
      </c>
      <c r="AN614" s="232" t="str">
        <f t="shared" si="123"/>
        <v xml:space="preserve"> </v>
      </c>
    </row>
    <row r="615" spans="28:40" ht="14" x14ac:dyDescent="0.25">
      <c r="AB615" s="230" t="e">
        <f>T615-HLOOKUP(V615,Minimas!$C$3:$CD$12,2,FALSE)</f>
        <v>#N/A</v>
      </c>
      <c r="AC615" s="230" t="e">
        <f>T615-HLOOKUP(V615,Minimas!$C$3:$CD$12,3,FALSE)</f>
        <v>#N/A</v>
      </c>
      <c r="AD615" s="230" t="e">
        <f>T615-HLOOKUP(V615,Minimas!$C$3:$CD$12,4,FALSE)</f>
        <v>#N/A</v>
      </c>
      <c r="AE615" s="230" t="e">
        <f>T615-HLOOKUP(V615,Minimas!$C$3:$CD$12,5,FALSE)</f>
        <v>#N/A</v>
      </c>
      <c r="AF615" s="230" t="e">
        <f>T615-HLOOKUP(V615,Minimas!$C$3:$CD$12,6,FALSE)</f>
        <v>#N/A</v>
      </c>
      <c r="AG615" s="230" t="e">
        <f>T615-HLOOKUP(V615,Minimas!$C$3:$CD$12,7,FALSE)</f>
        <v>#N/A</v>
      </c>
      <c r="AH615" s="230" t="e">
        <f>T615-HLOOKUP(V615,Minimas!$C$3:$CD$12,8,FALSE)</f>
        <v>#N/A</v>
      </c>
      <c r="AI615" s="230" t="e">
        <f>T615-HLOOKUP(V615,Minimas!$C$3:$CD$12,9,FALSE)</f>
        <v>#N/A</v>
      </c>
      <c r="AJ615" s="230" t="e">
        <f>T615-HLOOKUP(V615,Minimas!$C$3:$CD$12,10,FALSE)</f>
        <v>#N/A</v>
      </c>
      <c r="AK615" s="231" t="str">
        <f t="shared" si="121"/>
        <v xml:space="preserve"> </v>
      </c>
      <c r="AL615" s="232"/>
      <c r="AM615" s="232" t="str">
        <f t="shared" si="122"/>
        <v xml:space="preserve"> </v>
      </c>
      <c r="AN615" s="232" t="str">
        <f t="shared" si="123"/>
        <v xml:space="preserve"> </v>
      </c>
    </row>
    <row r="616" spans="28:40" ht="14" x14ac:dyDescent="0.25">
      <c r="AB616" s="230" t="e">
        <f>T616-HLOOKUP(V616,Minimas!$C$3:$CD$12,2,FALSE)</f>
        <v>#N/A</v>
      </c>
      <c r="AC616" s="230" t="e">
        <f>T616-HLOOKUP(V616,Minimas!$C$3:$CD$12,3,FALSE)</f>
        <v>#N/A</v>
      </c>
      <c r="AD616" s="230" t="e">
        <f>T616-HLOOKUP(V616,Minimas!$C$3:$CD$12,4,FALSE)</f>
        <v>#N/A</v>
      </c>
      <c r="AE616" s="230" t="e">
        <f>T616-HLOOKUP(V616,Minimas!$C$3:$CD$12,5,FALSE)</f>
        <v>#N/A</v>
      </c>
      <c r="AF616" s="230" t="e">
        <f>T616-HLOOKUP(V616,Minimas!$C$3:$CD$12,6,FALSE)</f>
        <v>#N/A</v>
      </c>
      <c r="AG616" s="230" t="e">
        <f>T616-HLOOKUP(V616,Minimas!$C$3:$CD$12,7,FALSE)</f>
        <v>#N/A</v>
      </c>
      <c r="AH616" s="230" t="e">
        <f>T616-HLOOKUP(V616,Minimas!$C$3:$CD$12,8,FALSE)</f>
        <v>#N/A</v>
      </c>
      <c r="AI616" s="230" t="e">
        <f>T616-HLOOKUP(V616,Minimas!$C$3:$CD$12,9,FALSE)</f>
        <v>#N/A</v>
      </c>
      <c r="AJ616" s="230" t="e">
        <f>T616-HLOOKUP(V616,Minimas!$C$3:$CD$12,10,FALSE)</f>
        <v>#N/A</v>
      </c>
      <c r="AK616" s="231" t="str">
        <f t="shared" si="121"/>
        <v xml:space="preserve"> </v>
      </c>
      <c r="AL616" s="232"/>
      <c r="AM616" s="232" t="str">
        <f t="shared" si="122"/>
        <v xml:space="preserve"> </v>
      </c>
      <c r="AN616" s="232" t="str">
        <f t="shared" si="123"/>
        <v xml:space="preserve"> </v>
      </c>
    </row>
    <row r="617" spans="28:40" ht="14" x14ac:dyDescent="0.25">
      <c r="AB617" s="230" t="e">
        <f>T617-HLOOKUP(V617,Minimas!$C$3:$CD$12,2,FALSE)</f>
        <v>#N/A</v>
      </c>
      <c r="AC617" s="230" t="e">
        <f>T617-HLOOKUP(V617,Minimas!$C$3:$CD$12,3,FALSE)</f>
        <v>#N/A</v>
      </c>
      <c r="AD617" s="230" t="e">
        <f>T617-HLOOKUP(V617,Minimas!$C$3:$CD$12,4,FALSE)</f>
        <v>#N/A</v>
      </c>
      <c r="AE617" s="230" t="e">
        <f>T617-HLOOKUP(V617,Minimas!$C$3:$CD$12,5,FALSE)</f>
        <v>#N/A</v>
      </c>
      <c r="AF617" s="230" t="e">
        <f>T617-HLOOKUP(V617,Minimas!$C$3:$CD$12,6,FALSE)</f>
        <v>#N/A</v>
      </c>
      <c r="AG617" s="230" t="e">
        <f>T617-HLOOKUP(V617,Minimas!$C$3:$CD$12,7,FALSE)</f>
        <v>#N/A</v>
      </c>
      <c r="AH617" s="230" t="e">
        <f>T617-HLOOKUP(V617,Minimas!$C$3:$CD$12,8,FALSE)</f>
        <v>#N/A</v>
      </c>
      <c r="AI617" s="230" t="e">
        <f>T617-HLOOKUP(V617,Minimas!$C$3:$CD$12,9,FALSE)</f>
        <v>#N/A</v>
      </c>
      <c r="AJ617" s="230" t="e">
        <f>T617-HLOOKUP(V617,Minimas!$C$3:$CD$12,10,FALSE)</f>
        <v>#N/A</v>
      </c>
      <c r="AK617" s="231" t="str">
        <f t="shared" si="121"/>
        <v xml:space="preserve"> </v>
      </c>
      <c r="AL617" s="232"/>
      <c r="AM617" s="232" t="str">
        <f t="shared" si="122"/>
        <v xml:space="preserve"> </v>
      </c>
      <c r="AN617" s="232" t="str">
        <f t="shared" si="123"/>
        <v xml:space="preserve"> </v>
      </c>
    </row>
    <row r="618" spans="28:40" ht="14" x14ac:dyDescent="0.25">
      <c r="AB618" s="230" t="e">
        <f>T618-HLOOKUP(V618,Minimas!$C$3:$CD$12,2,FALSE)</f>
        <v>#N/A</v>
      </c>
      <c r="AC618" s="230" t="e">
        <f>T618-HLOOKUP(V618,Minimas!$C$3:$CD$12,3,FALSE)</f>
        <v>#N/A</v>
      </c>
      <c r="AD618" s="230" t="e">
        <f>T618-HLOOKUP(V618,Minimas!$C$3:$CD$12,4,FALSE)</f>
        <v>#N/A</v>
      </c>
      <c r="AE618" s="230" t="e">
        <f>T618-HLOOKUP(V618,Minimas!$C$3:$CD$12,5,FALSE)</f>
        <v>#N/A</v>
      </c>
      <c r="AF618" s="230" t="e">
        <f>T618-HLOOKUP(V618,Minimas!$C$3:$CD$12,6,FALSE)</f>
        <v>#N/A</v>
      </c>
      <c r="AG618" s="230" t="e">
        <f>T618-HLOOKUP(V618,Minimas!$C$3:$CD$12,7,FALSE)</f>
        <v>#N/A</v>
      </c>
      <c r="AH618" s="230" t="e">
        <f>T618-HLOOKUP(V618,Minimas!$C$3:$CD$12,8,FALSE)</f>
        <v>#N/A</v>
      </c>
      <c r="AI618" s="230" t="e">
        <f>T618-HLOOKUP(V618,Minimas!$C$3:$CD$12,9,FALSE)</f>
        <v>#N/A</v>
      </c>
      <c r="AJ618" s="230" t="e">
        <f>T618-HLOOKUP(V618,Minimas!$C$3:$CD$12,10,FALSE)</f>
        <v>#N/A</v>
      </c>
      <c r="AK618" s="231" t="str">
        <f t="shared" si="121"/>
        <v xml:space="preserve"> </v>
      </c>
      <c r="AL618" s="232"/>
      <c r="AM618" s="232" t="str">
        <f t="shared" si="122"/>
        <v xml:space="preserve"> </v>
      </c>
      <c r="AN618" s="232" t="str">
        <f t="shared" si="123"/>
        <v xml:space="preserve"> </v>
      </c>
    </row>
    <row r="619" spans="28:40" ht="14" x14ac:dyDescent="0.25">
      <c r="AB619" s="230" t="e">
        <f>T619-HLOOKUP(V619,Minimas!$C$3:$CD$12,2,FALSE)</f>
        <v>#N/A</v>
      </c>
      <c r="AC619" s="230" t="e">
        <f>T619-HLOOKUP(V619,Minimas!$C$3:$CD$12,3,FALSE)</f>
        <v>#N/A</v>
      </c>
      <c r="AD619" s="230" t="e">
        <f>T619-HLOOKUP(V619,Minimas!$C$3:$CD$12,4,FALSE)</f>
        <v>#N/A</v>
      </c>
      <c r="AE619" s="230" t="e">
        <f>T619-HLOOKUP(V619,Minimas!$C$3:$CD$12,5,FALSE)</f>
        <v>#N/A</v>
      </c>
      <c r="AF619" s="230" t="e">
        <f>T619-HLOOKUP(V619,Minimas!$C$3:$CD$12,6,FALSE)</f>
        <v>#N/A</v>
      </c>
      <c r="AG619" s="230" t="e">
        <f>T619-HLOOKUP(V619,Minimas!$C$3:$CD$12,7,FALSE)</f>
        <v>#N/A</v>
      </c>
      <c r="AH619" s="230" t="e">
        <f>T619-HLOOKUP(V619,Minimas!$C$3:$CD$12,8,FALSE)</f>
        <v>#N/A</v>
      </c>
      <c r="AI619" s="230" t="e">
        <f>T619-HLOOKUP(V619,Minimas!$C$3:$CD$12,9,FALSE)</f>
        <v>#N/A</v>
      </c>
      <c r="AJ619" s="230" t="e">
        <f>T619-HLOOKUP(V619,Minimas!$C$3:$CD$12,10,FALSE)</f>
        <v>#N/A</v>
      </c>
      <c r="AK619" s="231" t="str">
        <f t="shared" si="121"/>
        <v xml:space="preserve"> </v>
      </c>
      <c r="AL619" s="232"/>
      <c r="AM619" s="232" t="str">
        <f t="shared" si="122"/>
        <v xml:space="preserve"> </v>
      </c>
      <c r="AN619" s="232" t="str">
        <f t="shared" si="123"/>
        <v xml:space="preserve"> </v>
      </c>
    </row>
    <row r="620" spans="28:40" ht="14" x14ac:dyDescent="0.25">
      <c r="AB620" s="230" t="e">
        <f>T620-HLOOKUP(V620,Minimas!$C$3:$CD$12,2,FALSE)</f>
        <v>#N/A</v>
      </c>
      <c r="AC620" s="230" t="e">
        <f>T620-HLOOKUP(V620,Minimas!$C$3:$CD$12,3,FALSE)</f>
        <v>#N/A</v>
      </c>
      <c r="AD620" s="230" t="e">
        <f>T620-HLOOKUP(V620,Minimas!$C$3:$CD$12,4,FALSE)</f>
        <v>#N/A</v>
      </c>
      <c r="AE620" s="230" t="e">
        <f>T620-HLOOKUP(V620,Minimas!$C$3:$CD$12,5,FALSE)</f>
        <v>#N/A</v>
      </c>
      <c r="AF620" s="230" t="e">
        <f>T620-HLOOKUP(V620,Minimas!$C$3:$CD$12,6,FALSE)</f>
        <v>#N/A</v>
      </c>
      <c r="AG620" s="230" t="e">
        <f>T620-HLOOKUP(V620,Minimas!$C$3:$CD$12,7,FALSE)</f>
        <v>#N/A</v>
      </c>
      <c r="AH620" s="230" t="e">
        <f>T620-HLOOKUP(V620,Minimas!$C$3:$CD$12,8,FALSE)</f>
        <v>#N/A</v>
      </c>
      <c r="AI620" s="230" t="e">
        <f>T620-HLOOKUP(V620,Minimas!$C$3:$CD$12,9,FALSE)</f>
        <v>#N/A</v>
      </c>
      <c r="AJ620" s="230" t="e">
        <f>T620-HLOOKUP(V620,Minimas!$C$3:$CD$12,10,FALSE)</f>
        <v>#N/A</v>
      </c>
      <c r="AK620" s="231" t="str">
        <f t="shared" si="121"/>
        <v xml:space="preserve"> </v>
      </c>
      <c r="AL620" s="232"/>
      <c r="AM620" s="232" t="str">
        <f t="shared" si="122"/>
        <v xml:space="preserve"> </v>
      </c>
      <c r="AN620" s="232" t="str">
        <f t="shared" si="123"/>
        <v xml:space="preserve"> </v>
      </c>
    </row>
    <row r="621" spans="28:40" ht="14" x14ac:dyDescent="0.25">
      <c r="AB621" s="230" t="e">
        <f>T621-HLOOKUP(V621,Minimas!$C$3:$CD$12,2,FALSE)</f>
        <v>#N/A</v>
      </c>
      <c r="AC621" s="230" t="e">
        <f>T621-HLOOKUP(V621,Minimas!$C$3:$CD$12,3,FALSE)</f>
        <v>#N/A</v>
      </c>
      <c r="AD621" s="230" t="e">
        <f>T621-HLOOKUP(V621,Minimas!$C$3:$CD$12,4,FALSE)</f>
        <v>#N/A</v>
      </c>
      <c r="AE621" s="230" t="e">
        <f>T621-HLOOKUP(V621,Minimas!$C$3:$CD$12,5,FALSE)</f>
        <v>#N/A</v>
      </c>
      <c r="AF621" s="230" t="e">
        <f>T621-HLOOKUP(V621,Minimas!$C$3:$CD$12,6,FALSE)</f>
        <v>#N/A</v>
      </c>
      <c r="AG621" s="230" t="e">
        <f>T621-HLOOKUP(V621,Minimas!$C$3:$CD$12,7,FALSE)</f>
        <v>#N/A</v>
      </c>
      <c r="AH621" s="230" t="e">
        <f>T621-HLOOKUP(V621,Minimas!$C$3:$CD$12,8,FALSE)</f>
        <v>#N/A</v>
      </c>
      <c r="AI621" s="230" t="e">
        <f>T621-HLOOKUP(V621,Minimas!$C$3:$CD$12,9,FALSE)</f>
        <v>#N/A</v>
      </c>
      <c r="AJ621" s="230" t="e">
        <f>T621-HLOOKUP(V621,Minimas!$C$3:$CD$12,10,FALSE)</f>
        <v>#N/A</v>
      </c>
      <c r="AK621" s="231" t="str">
        <f t="shared" si="121"/>
        <v xml:space="preserve"> </v>
      </c>
      <c r="AL621" s="232"/>
      <c r="AM621" s="232" t="str">
        <f t="shared" si="122"/>
        <v xml:space="preserve"> </v>
      </c>
      <c r="AN621" s="232" t="str">
        <f t="shared" si="123"/>
        <v xml:space="preserve"> </v>
      </c>
    </row>
    <row r="622" spans="28:40" ht="14" x14ac:dyDescent="0.25">
      <c r="AB622" s="230" t="e">
        <f>T622-HLOOKUP(V622,Minimas!$C$3:$CD$12,2,FALSE)</f>
        <v>#N/A</v>
      </c>
      <c r="AC622" s="230" t="e">
        <f>T622-HLOOKUP(V622,Minimas!$C$3:$CD$12,3,FALSE)</f>
        <v>#N/A</v>
      </c>
      <c r="AD622" s="230" t="e">
        <f>T622-HLOOKUP(V622,Minimas!$C$3:$CD$12,4,FALSE)</f>
        <v>#N/A</v>
      </c>
      <c r="AE622" s="230" t="e">
        <f>T622-HLOOKUP(V622,Minimas!$C$3:$CD$12,5,FALSE)</f>
        <v>#N/A</v>
      </c>
      <c r="AF622" s="230" t="e">
        <f>T622-HLOOKUP(V622,Minimas!$C$3:$CD$12,6,FALSE)</f>
        <v>#N/A</v>
      </c>
      <c r="AG622" s="230" t="e">
        <f>T622-HLOOKUP(V622,Minimas!$C$3:$CD$12,7,FALSE)</f>
        <v>#N/A</v>
      </c>
      <c r="AH622" s="230" t="e">
        <f>T622-HLOOKUP(V622,Minimas!$C$3:$CD$12,8,FALSE)</f>
        <v>#N/A</v>
      </c>
      <c r="AI622" s="230" t="e">
        <f>T622-HLOOKUP(V622,Minimas!$C$3:$CD$12,9,FALSE)</f>
        <v>#N/A</v>
      </c>
      <c r="AJ622" s="230" t="e">
        <f>T622-HLOOKUP(V622,Minimas!$C$3:$CD$12,10,FALSE)</f>
        <v>#N/A</v>
      </c>
      <c r="AK622" s="231" t="str">
        <f t="shared" si="121"/>
        <v xml:space="preserve"> </v>
      </c>
      <c r="AL622" s="232"/>
      <c r="AM622" s="232" t="str">
        <f t="shared" si="122"/>
        <v xml:space="preserve"> </v>
      </c>
      <c r="AN622" s="232" t="str">
        <f t="shared" si="123"/>
        <v xml:space="preserve"> </v>
      </c>
    </row>
    <row r="623" spans="28:40" ht="14" x14ac:dyDescent="0.25">
      <c r="AB623" s="230" t="e">
        <f>T623-HLOOKUP(V623,Minimas!$C$3:$CD$12,2,FALSE)</f>
        <v>#N/A</v>
      </c>
      <c r="AC623" s="230" t="e">
        <f>T623-HLOOKUP(V623,Minimas!$C$3:$CD$12,3,FALSE)</f>
        <v>#N/A</v>
      </c>
      <c r="AD623" s="230" t="e">
        <f>T623-HLOOKUP(V623,Minimas!$C$3:$CD$12,4,FALSE)</f>
        <v>#N/A</v>
      </c>
      <c r="AE623" s="230" t="e">
        <f>T623-HLOOKUP(V623,Minimas!$C$3:$CD$12,5,FALSE)</f>
        <v>#N/A</v>
      </c>
      <c r="AF623" s="230" t="e">
        <f>T623-HLOOKUP(V623,Minimas!$C$3:$CD$12,6,FALSE)</f>
        <v>#N/A</v>
      </c>
      <c r="AG623" s="230" t="e">
        <f>T623-HLOOKUP(V623,Minimas!$C$3:$CD$12,7,FALSE)</f>
        <v>#N/A</v>
      </c>
      <c r="AH623" s="230" t="e">
        <f>T623-HLOOKUP(V623,Minimas!$C$3:$CD$12,8,FALSE)</f>
        <v>#N/A</v>
      </c>
      <c r="AI623" s="230" t="e">
        <f>T623-HLOOKUP(V623,Minimas!$C$3:$CD$12,9,FALSE)</f>
        <v>#N/A</v>
      </c>
      <c r="AJ623" s="230" t="e">
        <f>T623-HLOOKUP(V623,Minimas!$C$3:$CD$12,10,FALSE)</f>
        <v>#N/A</v>
      </c>
      <c r="AK623" s="231" t="str">
        <f t="shared" si="121"/>
        <v xml:space="preserve"> </v>
      </c>
      <c r="AL623" s="232"/>
      <c r="AM623" s="232" t="str">
        <f t="shared" si="122"/>
        <v xml:space="preserve"> </v>
      </c>
      <c r="AN623" s="232" t="str">
        <f t="shared" si="123"/>
        <v xml:space="preserve"> </v>
      </c>
    </row>
    <row r="624" spans="28:40" ht="14" x14ac:dyDescent="0.25">
      <c r="AB624" s="230" t="e">
        <f>T624-HLOOKUP(V624,Minimas!$C$3:$CD$12,2,FALSE)</f>
        <v>#N/A</v>
      </c>
      <c r="AC624" s="230" t="e">
        <f>T624-HLOOKUP(V624,Minimas!$C$3:$CD$12,3,FALSE)</f>
        <v>#N/A</v>
      </c>
      <c r="AD624" s="230" t="e">
        <f>T624-HLOOKUP(V624,Minimas!$C$3:$CD$12,4,FALSE)</f>
        <v>#N/A</v>
      </c>
      <c r="AE624" s="230" t="e">
        <f>T624-HLOOKUP(V624,Minimas!$C$3:$CD$12,5,FALSE)</f>
        <v>#N/A</v>
      </c>
      <c r="AF624" s="230" t="e">
        <f>T624-HLOOKUP(V624,Minimas!$C$3:$CD$12,6,FALSE)</f>
        <v>#N/A</v>
      </c>
      <c r="AG624" s="230" t="e">
        <f>T624-HLOOKUP(V624,Minimas!$C$3:$CD$12,7,FALSE)</f>
        <v>#N/A</v>
      </c>
      <c r="AH624" s="230" t="e">
        <f>T624-HLOOKUP(V624,Minimas!$C$3:$CD$12,8,FALSE)</f>
        <v>#N/A</v>
      </c>
      <c r="AI624" s="230" t="e">
        <f>T624-HLOOKUP(V624,Minimas!$C$3:$CD$12,9,FALSE)</f>
        <v>#N/A</v>
      </c>
      <c r="AJ624" s="230" t="e">
        <f>T624-HLOOKUP(V624,Minimas!$C$3:$CD$12,10,FALSE)</f>
        <v>#N/A</v>
      </c>
      <c r="AK624" s="231" t="str">
        <f t="shared" si="121"/>
        <v xml:space="preserve"> </v>
      </c>
      <c r="AL624" s="232"/>
      <c r="AM624" s="232" t="str">
        <f t="shared" si="122"/>
        <v xml:space="preserve"> </v>
      </c>
      <c r="AN624" s="232" t="str">
        <f t="shared" si="123"/>
        <v xml:space="preserve"> </v>
      </c>
    </row>
    <row r="625" spans="28:40" ht="14" x14ac:dyDescent="0.25">
      <c r="AB625" s="230" t="e">
        <f>T625-HLOOKUP(V625,Minimas!$C$3:$CD$12,2,FALSE)</f>
        <v>#N/A</v>
      </c>
      <c r="AC625" s="230" t="e">
        <f>T625-HLOOKUP(V625,Minimas!$C$3:$CD$12,3,FALSE)</f>
        <v>#N/A</v>
      </c>
      <c r="AD625" s="230" t="e">
        <f>T625-HLOOKUP(V625,Minimas!$C$3:$CD$12,4,FALSE)</f>
        <v>#N/A</v>
      </c>
      <c r="AE625" s="230" t="e">
        <f>T625-HLOOKUP(V625,Minimas!$C$3:$CD$12,5,FALSE)</f>
        <v>#N/A</v>
      </c>
      <c r="AF625" s="230" t="e">
        <f>T625-HLOOKUP(V625,Minimas!$C$3:$CD$12,6,FALSE)</f>
        <v>#N/A</v>
      </c>
      <c r="AG625" s="230" t="e">
        <f>T625-HLOOKUP(V625,Minimas!$C$3:$CD$12,7,FALSE)</f>
        <v>#N/A</v>
      </c>
      <c r="AH625" s="230" t="e">
        <f>T625-HLOOKUP(V625,Minimas!$C$3:$CD$12,8,FALSE)</f>
        <v>#N/A</v>
      </c>
      <c r="AI625" s="230" t="e">
        <f>T625-HLOOKUP(V625,Minimas!$C$3:$CD$12,9,FALSE)</f>
        <v>#N/A</v>
      </c>
      <c r="AJ625" s="230" t="e">
        <f>T625-HLOOKUP(V625,Minimas!$C$3:$CD$12,10,FALSE)</f>
        <v>#N/A</v>
      </c>
      <c r="AK625" s="231" t="str">
        <f t="shared" si="121"/>
        <v xml:space="preserve"> </v>
      </c>
      <c r="AL625" s="232"/>
      <c r="AM625" s="232" t="str">
        <f t="shared" si="122"/>
        <v xml:space="preserve"> </v>
      </c>
      <c r="AN625" s="232" t="str">
        <f t="shared" si="123"/>
        <v xml:space="preserve"> </v>
      </c>
    </row>
    <row r="626" spans="28:40" ht="14" x14ac:dyDescent="0.25">
      <c r="AB626" s="230" t="e">
        <f>T626-HLOOKUP(V626,Minimas!$C$3:$CD$12,2,FALSE)</f>
        <v>#N/A</v>
      </c>
      <c r="AC626" s="230" t="e">
        <f>T626-HLOOKUP(V626,Minimas!$C$3:$CD$12,3,FALSE)</f>
        <v>#N/A</v>
      </c>
      <c r="AD626" s="230" t="e">
        <f>T626-HLOOKUP(V626,Minimas!$C$3:$CD$12,4,FALSE)</f>
        <v>#N/A</v>
      </c>
      <c r="AE626" s="230" t="e">
        <f>T626-HLOOKUP(V626,Minimas!$C$3:$CD$12,5,FALSE)</f>
        <v>#N/A</v>
      </c>
      <c r="AF626" s="230" t="e">
        <f>T626-HLOOKUP(V626,Minimas!$C$3:$CD$12,6,FALSE)</f>
        <v>#N/A</v>
      </c>
      <c r="AG626" s="230" t="e">
        <f>T626-HLOOKUP(V626,Minimas!$C$3:$CD$12,7,FALSE)</f>
        <v>#N/A</v>
      </c>
      <c r="AH626" s="230" t="e">
        <f>T626-HLOOKUP(V626,Minimas!$C$3:$CD$12,8,FALSE)</f>
        <v>#N/A</v>
      </c>
      <c r="AI626" s="230" t="e">
        <f>T626-HLOOKUP(V626,Minimas!$C$3:$CD$12,9,FALSE)</f>
        <v>#N/A</v>
      </c>
      <c r="AJ626" s="230" t="e">
        <f>T626-HLOOKUP(V626,Minimas!$C$3:$CD$12,10,FALSE)</f>
        <v>#N/A</v>
      </c>
      <c r="AK626" s="231" t="str">
        <f t="shared" si="121"/>
        <v xml:space="preserve"> </v>
      </c>
      <c r="AL626" s="232"/>
      <c r="AM626" s="232" t="str">
        <f t="shared" si="122"/>
        <v xml:space="preserve"> </v>
      </c>
      <c r="AN626" s="232" t="str">
        <f t="shared" si="123"/>
        <v xml:space="preserve"> </v>
      </c>
    </row>
    <row r="627" spans="28:40" ht="14" x14ac:dyDescent="0.25">
      <c r="AB627" s="230" t="e">
        <f>T627-HLOOKUP(V627,Minimas!$C$3:$CD$12,2,FALSE)</f>
        <v>#N/A</v>
      </c>
      <c r="AC627" s="230" t="e">
        <f>T627-HLOOKUP(V627,Minimas!$C$3:$CD$12,3,FALSE)</f>
        <v>#N/A</v>
      </c>
      <c r="AD627" s="230" t="e">
        <f>T627-HLOOKUP(V627,Minimas!$C$3:$CD$12,4,FALSE)</f>
        <v>#N/A</v>
      </c>
      <c r="AE627" s="230" t="e">
        <f>T627-HLOOKUP(V627,Minimas!$C$3:$CD$12,5,FALSE)</f>
        <v>#N/A</v>
      </c>
      <c r="AF627" s="230" t="e">
        <f>T627-HLOOKUP(V627,Minimas!$C$3:$CD$12,6,FALSE)</f>
        <v>#N/A</v>
      </c>
      <c r="AG627" s="230" t="e">
        <f>T627-HLOOKUP(V627,Minimas!$C$3:$CD$12,7,FALSE)</f>
        <v>#N/A</v>
      </c>
      <c r="AH627" s="230" t="e">
        <f>T627-HLOOKUP(V627,Minimas!$C$3:$CD$12,8,FALSE)</f>
        <v>#N/A</v>
      </c>
      <c r="AI627" s="230" t="e">
        <f>T627-HLOOKUP(V627,Minimas!$C$3:$CD$12,9,FALSE)</f>
        <v>#N/A</v>
      </c>
      <c r="AJ627" s="230" t="e">
        <f>T627-HLOOKUP(V627,Minimas!$C$3:$CD$12,10,FALSE)</f>
        <v>#N/A</v>
      </c>
      <c r="AK627" s="231" t="str">
        <f t="shared" si="121"/>
        <v xml:space="preserve"> </v>
      </c>
      <c r="AL627" s="232"/>
      <c r="AM627" s="232" t="str">
        <f t="shared" si="122"/>
        <v xml:space="preserve"> </v>
      </c>
      <c r="AN627" s="232" t="str">
        <f t="shared" si="123"/>
        <v xml:space="preserve"> </v>
      </c>
    </row>
    <row r="628" spans="28:40" ht="14" x14ac:dyDescent="0.25">
      <c r="AB628" s="230" t="e">
        <f>T628-HLOOKUP(V628,Minimas!$C$3:$CD$12,2,FALSE)</f>
        <v>#N/A</v>
      </c>
      <c r="AC628" s="230" t="e">
        <f>T628-HLOOKUP(V628,Minimas!$C$3:$CD$12,3,FALSE)</f>
        <v>#N/A</v>
      </c>
      <c r="AD628" s="230" t="e">
        <f>T628-HLOOKUP(V628,Minimas!$C$3:$CD$12,4,FALSE)</f>
        <v>#N/A</v>
      </c>
      <c r="AE628" s="230" t="e">
        <f>T628-HLOOKUP(V628,Minimas!$C$3:$CD$12,5,FALSE)</f>
        <v>#N/A</v>
      </c>
      <c r="AF628" s="230" t="e">
        <f>T628-HLOOKUP(V628,Minimas!$C$3:$CD$12,6,FALSE)</f>
        <v>#N/A</v>
      </c>
      <c r="AG628" s="230" t="e">
        <f>T628-HLOOKUP(V628,Minimas!$C$3:$CD$12,7,FALSE)</f>
        <v>#N/A</v>
      </c>
      <c r="AH628" s="230" t="e">
        <f>T628-HLOOKUP(V628,Minimas!$C$3:$CD$12,8,FALSE)</f>
        <v>#N/A</v>
      </c>
      <c r="AI628" s="230" t="e">
        <f>T628-HLOOKUP(V628,Minimas!$C$3:$CD$12,9,FALSE)</f>
        <v>#N/A</v>
      </c>
      <c r="AJ628" s="230" t="e">
        <f>T628-HLOOKUP(V628,Minimas!$C$3:$CD$12,10,FALSE)</f>
        <v>#N/A</v>
      </c>
      <c r="AK628" s="231" t="str">
        <f t="shared" si="121"/>
        <v xml:space="preserve"> </v>
      </c>
      <c r="AL628" s="232"/>
      <c r="AM628" s="232" t="str">
        <f t="shared" si="122"/>
        <v xml:space="preserve"> </v>
      </c>
      <c r="AN628" s="232" t="str">
        <f t="shared" si="123"/>
        <v xml:space="preserve"> </v>
      </c>
    </row>
    <row r="629" spans="28:40" ht="14" x14ac:dyDescent="0.25">
      <c r="AB629" s="230" t="e">
        <f>T629-HLOOKUP(V629,Minimas!$C$3:$CD$12,2,FALSE)</f>
        <v>#N/A</v>
      </c>
      <c r="AC629" s="230" t="e">
        <f>T629-HLOOKUP(V629,Minimas!$C$3:$CD$12,3,FALSE)</f>
        <v>#N/A</v>
      </c>
      <c r="AD629" s="230" t="e">
        <f>T629-HLOOKUP(V629,Minimas!$C$3:$CD$12,4,FALSE)</f>
        <v>#N/A</v>
      </c>
      <c r="AE629" s="230" t="e">
        <f>T629-HLOOKUP(V629,Minimas!$C$3:$CD$12,5,FALSE)</f>
        <v>#N/A</v>
      </c>
      <c r="AF629" s="230" t="e">
        <f>T629-HLOOKUP(V629,Minimas!$C$3:$CD$12,6,FALSE)</f>
        <v>#N/A</v>
      </c>
      <c r="AG629" s="230" t="e">
        <f>T629-HLOOKUP(V629,Minimas!$C$3:$CD$12,7,FALSE)</f>
        <v>#N/A</v>
      </c>
      <c r="AH629" s="230" t="e">
        <f>T629-HLOOKUP(V629,Minimas!$C$3:$CD$12,8,FALSE)</f>
        <v>#N/A</v>
      </c>
      <c r="AI629" s="230" t="e">
        <f>T629-HLOOKUP(V629,Minimas!$C$3:$CD$12,9,FALSE)</f>
        <v>#N/A</v>
      </c>
      <c r="AJ629" s="230" t="e">
        <f>T629-HLOOKUP(V629,Minimas!$C$3:$CD$12,10,FALSE)</f>
        <v>#N/A</v>
      </c>
      <c r="AK629" s="231" t="str">
        <f t="shared" si="121"/>
        <v xml:space="preserve"> </v>
      </c>
      <c r="AL629" s="232"/>
      <c r="AM629" s="232" t="str">
        <f t="shared" si="122"/>
        <v xml:space="preserve"> </v>
      </c>
      <c r="AN629" s="232" t="str">
        <f t="shared" si="123"/>
        <v xml:space="preserve"> </v>
      </c>
    </row>
    <row r="630" spans="28:40" ht="14" x14ac:dyDescent="0.25">
      <c r="AB630" s="230" t="e">
        <f>T630-HLOOKUP(V630,Minimas!$C$3:$CD$12,2,FALSE)</f>
        <v>#N/A</v>
      </c>
      <c r="AC630" s="230" t="e">
        <f>T630-HLOOKUP(V630,Minimas!$C$3:$CD$12,3,FALSE)</f>
        <v>#N/A</v>
      </c>
      <c r="AD630" s="230" t="e">
        <f>T630-HLOOKUP(V630,Minimas!$C$3:$CD$12,4,FALSE)</f>
        <v>#N/A</v>
      </c>
      <c r="AE630" s="230" t="e">
        <f>T630-HLOOKUP(V630,Minimas!$C$3:$CD$12,5,FALSE)</f>
        <v>#N/A</v>
      </c>
      <c r="AF630" s="230" t="e">
        <f>T630-HLOOKUP(V630,Minimas!$C$3:$CD$12,6,FALSE)</f>
        <v>#N/A</v>
      </c>
      <c r="AG630" s="230" t="e">
        <f>T630-HLOOKUP(V630,Minimas!$C$3:$CD$12,7,FALSE)</f>
        <v>#N/A</v>
      </c>
      <c r="AH630" s="230" t="e">
        <f>T630-HLOOKUP(V630,Minimas!$C$3:$CD$12,8,FALSE)</f>
        <v>#N/A</v>
      </c>
      <c r="AI630" s="230" t="e">
        <f>T630-HLOOKUP(V630,Minimas!$C$3:$CD$12,9,FALSE)</f>
        <v>#N/A</v>
      </c>
      <c r="AJ630" s="230" t="e">
        <f>T630-HLOOKUP(V630,Minimas!$C$3:$CD$12,10,FALSE)</f>
        <v>#N/A</v>
      </c>
      <c r="AK630" s="231" t="str">
        <f t="shared" si="121"/>
        <v xml:space="preserve"> </v>
      </c>
      <c r="AL630" s="232"/>
      <c r="AM630" s="232" t="str">
        <f t="shared" si="122"/>
        <v xml:space="preserve"> </v>
      </c>
      <c r="AN630" s="232" t="str">
        <f t="shared" si="123"/>
        <v xml:space="preserve"> </v>
      </c>
    </row>
    <row r="631" spans="28:40" ht="14" x14ac:dyDescent="0.25">
      <c r="AB631" s="230" t="e">
        <f>T631-HLOOKUP(V631,Minimas!$C$3:$CD$12,2,FALSE)</f>
        <v>#N/A</v>
      </c>
      <c r="AC631" s="230" t="e">
        <f>T631-HLOOKUP(V631,Minimas!$C$3:$CD$12,3,FALSE)</f>
        <v>#N/A</v>
      </c>
      <c r="AD631" s="230" t="e">
        <f>T631-HLOOKUP(V631,Minimas!$C$3:$CD$12,4,FALSE)</f>
        <v>#N/A</v>
      </c>
      <c r="AE631" s="230" t="e">
        <f>T631-HLOOKUP(V631,Minimas!$C$3:$CD$12,5,FALSE)</f>
        <v>#N/A</v>
      </c>
      <c r="AF631" s="230" t="e">
        <f>T631-HLOOKUP(V631,Minimas!$C$3:$CD$12,6,FALSE)</f>
        <v>#N/A</v>
      </c>
      <c r="AG631" s="230" t="e">
        <f>T631-HLOOKUP(V631,Minimas!$C$3:$CD$12,7,FALSE)</f>
        <v>#N/A</v>
      </c>
      <c r="AH631" s="230" t="e">
        <f>T631-HLOOKUP(V631,Minimas!$C$3:$CD$12,8,FALSE)</f>
        <v>#N/A</v>
      </c>
      <c r="AI631" s="230" t="e">
        <f>T631-HLOOKUP(V631,Minimas!$C$3:$CD$12,9,FALSE)</f>
        <v>#N/A</v>
      </c>
      <c r="AJ631" s="230" t="e">
        <f>T631-HLOOKUP(V631,Minimas!$C$3:$CD$12,10,FALSE)</f>
        <v>#N/A</v>
      </c>
      <c r="AK631" s="231" t="str">
        <f t="shared" si="121"/>
        <v xml:space="preserve"> </v>
      </c>
      <c r="AL631" s="232"/>
      <c r="AM631" s="232" t="str">
        <f t="shared" si="122"/>
        <v xml:space="preserve"> </v>
      </c>
      <c r="AN631" s="232" t="str">
        <f t="shared" si="123"/>
        <v xml:space="preserve"> </v>
      </c>
    </row>
    <row r="632" spans="28:40" ht="14" x14ac:dyDescent="0.25">
      <c r="AB632" s="230" t="e">
        <f>T632-HLOOKUP(V632,Minimas!$C$3:$CD$12,2,FALSE)</f>
        <v>#N/A</v>
      </c>
      <c r="AC632" s="230" t="e">
        <f>T632-HLOOKUP(V632,Minimas!$C$3:$CD$12,3,FALSE)</f>
        <v>#N/A</v>
      </c>
      <c r="AD632" s="230" t="e">
        <f>T632-HLOOKUP(V632,Minimas!$C$3:$CD$12,4,FALSE)</f>
        <v>#N/A</v>
      </c>
      <c r="AE632" s="230" t="e">
        <f>T632-HLOOKUP(V632,Minimas!$C$3:$CD$12,5,FALSE)</f>
        <v>#N/A</v>
      </c>
      <c r="AF632" s="230" t="e">
        <f>T632-HLOOKUP(V632,Minimas!$C$3:$CD$12,6,FALSE)</f>
        <v>#N/A</v>
      </c>
      <c r="AG632" s="230" t="e">
        <f>T632-HLOOKUP(V632,Minimas!$C$3:$CD$12,7,FALSE)</f>
        <v>#N/A</v>
      </c>
      <c r="AH632" s="230" t="e">
        <f>T632-HLOOKUP(V632,Minimas!$C$3:$CD$12,8,FALSE)</f>
        <v>#N/A</v>
      </c>
      <c r="AI632" s="230" t="e">
        <f>T632-HLOOKUP(V632,Minimas!$C$3:$CD$12,9,FALSE)</f>
        <v>#N/A</v>
      </c>
      <c r="AJ632" s="230" t="e">
        <f>T632-HLOOKUP(V632,Minimas!$C$3:$CD$12,10,FALSE)</f>
        <v>#N/A</v>
      </c>
      <c r="AK632" s="231" t="str">
        <f t="shared" si="121"/>
        <v xml:space="preserve"> </v>
      </c>
      <c r="AL632" s="232"/>
      <c r="AM632" s="232" t="str">
        <f t="shared" si="122"/>
        <v xml:space="preserve"> </v>
      </c>
      <c r="AN632" s="232" t="str">
        <f t="shared" si="123"/>
        <v xml:space="preserve"> </v>
      </c>
    </row>
    <row r="633" spans="28:40" ht="14" x14ac:dyDescent="0.25">
      <c r="AB633" s="230" t="e">
        <f>T633-HLOOKUP(V633,Minimas!$C$3:$CD$12,2,FALSE)</f>
        <v>#N/A</v>
      </c>
      <c r="AC633" s="230" t="e">
        <f>T633-HLOOKUP(V633,Minimas!$C$3:$CD$12,3,FALSE)</f>
        <v>#N/A</v>
      </c>
      <c r="AD633" s="230" t="e">
        <f>T633-HLOOKUP(V633,Minimas!$C$3:$CD$12,4,FALSE)</f>
        <v>#N/A</v>
      </c>
      <c r="AE633" s="230" t="e">
        <f>T633-HLOOKUP(V633,Minimas!$C$3:$CD$12,5,FALSE)</f>
        <v>#N/A</v>
      </c>
      <c r="AF633" s="230" t="e">
        <f>T633-HLOOKUP(V633,Minimas!$C$3:$CD$12,6,FALSE)</f>
        <v>#N/A</v>
      </c>
      <c r="AG633" s="230" t="e">
        <f>T633-HLOOKUP(V633,Minimas!$C$3:$CD$12,7,FALSE)</f>
        <v>#N/A</v>
      </c>
      <c r="AH633" s="230" t="e">
        <f>T633-HLOOKUP(V633,Minimas!$C$3:$CD$12,8,FALSE)</f>
        <v>#N/A</v>
      </c>
      <c r="AI633" s="230" t="e">
        <f>T633-HLOOKUP(V633,Minimas!$C$3:$CD$12,9,FALSE)</f>
        <v>#N/A</v>
      </c>
      <c r="AJ633" s="230" t="e">
        <f>T633-HLOOKUP(V633,Minimas!$C$3:$CD$12,10,FALSE)</f>
        <v>#N/A</v>
      </c>
      <c r="AK633" s="231" t="str">
        <f t="shared" si="121"/>
        <v xml:space="preserve"> </v>
      </c>
      <c r="AL633" s="232"/>
      <c r="AM633" s="232" t="str">
        <f t="shared" si="122"/>
        <v xml:space="preserve"> </v>
      </c>
      <c r="AN633" s="232" t="str">
        <f t="shared" si="123"/>
        <v xml:space="preserve"> </v>
      </c>
    </row>
    <row r="634" spans="28:40" ht="14" x14ac:dyDescent="0.25">
      <c r="AB634" s="230" t="e">
        <f>T634-HLOOKUP(V634,Minimas!$C$3:$CD$12,2,FALSE)</f>
        <v>#N/A</v>
      </c>
      <c r="AC634" s="230" t="e">
        <f>T634-HLOOKUP(V634,Minimas!$C$3:$CD$12,3,FALSE)</f>
        <v>#N/A</v>
      </c>
      <c r="AD634" s="230" t="e">
        <f>T634-HLOOKUP(V634,Minimas!$C$3:$CD$12,4,FALSE)</f>
        <v>#N/A</v>
      </c>
      <c r="AE634" s="230" t="e">
        <f>T634-HLOOKUP(V634,Minimas!$C$3:$CD$12,5,FALSE)</f>
        <v>#N/A</v>
      </c>
      <c r="AF634" s="230" t="e">
        <f>T634-HLOOKUP(V634,Minimas!$C$3:$CD$12,6,FALSE)</f>
        <v>#N/A</v>
      </c>
      <c r="AG634" s="230" t="e">
        <f>T634-HLOOKUP(V634,Minimas!$C$3:$CD$12,7,FALSE)</f>
        <v>#N/A</v>
      </c>
      <c r="AH634" s="230" t="e">
        <f>T634-HLOOKUP(V634,Minimas!$C$3:$CD$12,8,FALSE)</f>
        <v>#N/A</v>
      </c>
      <c r="AI634" s="230" t="e">
        <f>T634-HLOOKUP(V634,Minimas!$C$3:$CD$12,9,FALSE)</f>
        <v>#N/A</v>
      </c>
      <c r="AJ634" s="230" t="e">
        <f>T634-HLOOKUP(V634,Minimas!$C$3:$CD$12,10,FALSE)</f>
        <v>#N/A</v>
      </c>
      <c r="AK634" s="231" t="str">
        <f t="shared" si="121"/>
        <v xml:space="preserve"> </v>
      </c>
      <c r="AL634" s="232"/>
      <c r="AM634" s="232" t="str">
        <f t="shared" si="122"/>
        <v xml:space="preserve"> </v>
      </c>
      <c r="AN634" s="232" t="str">
        <f t="shared" si="123"/>
        <v xml:space="preserve"> </v>
      </c>
    </row>
    <row r="635" spans="28:40" ht="14" x14ac:dyDescent="0.25">
      <c r="AB635" s="230" t="e">
        <f>T635-HLOOKUP(V635,Minimas!$C$3:$CD$12,2,FALSE)</f>
        <v>#N/A</v>
      </c>
      <c r="AC635" s="230" t="e">
        <f>T635-HLOOKUP(V635,Minimas!$C$3:$CD$12,3,FALSE)</f>
        <v>#N/A</v>
      </c>
      <c r="AD635" s="230" t="e">
        <f>T635-HLOOKUP(V635,Minimas!$C$3:$CD$12,4,FALSE)</f>
        <v>#N/A</v>
      </c>
      <c r="AE635" s="230" t="e">
        <f>T635-HLOOKUP(V635,Minimas!$C$3:$CD$12,5,FALSE)</f>
        <v>#N/A</v>
      </c>
      <c r="AF635" s="230" t="e">
        <f>T635-HLOOKUP(V635,Minimas!$C$3:$CD$12,6,FALSE)</f>
        <v>#N/A</v>
      </c>
      <c r="AG635" s="230" t="e">
        <f>T635-HLOOKUP(V635,Minimas!$C$3:$CD$12,7,FALSE)</f>
        <v>#N/A</v>
      </c>
      <c r="AH635" s="230" t="e">
        <f>T635-HLOOKUP(V635,Minimas!$C$3:$CD$12,8,FALSE)</f>
        <v>#N/A</v>
      </c>
      <c r="AI635" s="230" t="e">
        <f>T635-HLOOKUP(V635,Minimas!$C$3:$CD$12,9,FALSE)</f>
        <v>#N/A</v>
      </c>
      <c r="AJ635" s="230" t="e">
        <f>T635-HLOOKUP(V635,Minimas!$C$3:$CD$12,10,FALSE)</f>
        <v>#N/A</v>
      </c>
      <c r="AK635" s="231" t="str">
        <f t="shared" ref="AK635:AK698" si="124">IF(E635=0," ",IF(AJ635&gt;=0,$AJ$5,IF(AI635&gt;=0,$AI$5,IF(AH635&gt;=0,$AH$5,IF(AG635&gt;=0,$AG$5,IF(AF635&gt;=0,$AF$5,IF(AE635&gt;=0,$AE$5,IF(AD635&gt;=0,$AD$5,IF(AC635&gt;=0,$AC$5,$AB$5)))))))))</f>
        <v xml:space="preserve"> </v>
      </c>
      <c r="AL635" s="232"/>
      <c r="AM635" s="232" t="str">
        <f t="shared" ref="AM635:AM698" si="125">IF(AK635="","",AK635)</f>
        <v xml:space="preserve"> </v>
      </c>
      <c r="AN635" s="232" t="str">
        <f t="shared" ref="AN635:AN698" si="126">IF(E635=0," ",IF(AJ635&gt;=0,AJ635,IF(AI635&gt;=0,AI635,IF(AH635&gt;=0,AH635,IF(AG635&gt;=0,AG635,IF(AF635&gt;=0,AF635,IF(AE635&gt;=0,AE635,IF(AD635&gt;=0,AD635,IF(AC635&gt;=0,AC635,AB635)))))))))</f>
        <v xml:space="preserve"> </v>
      </c>
    </row>
    <row r="636" spans="28:40" ht="14" x14ac:dyDescent="0.25">
      <c r="AB636" s="230" t="e">
        <f>T636-HLOOKUP(V636,Minimas!$C$3:$CD$12,2,FALSE)</f>
        <v>#N/A</v>
      </c>
      <c r="AC636" s="230" t="e">
        <f>T636-HLOOKUP(V636,Minimas!$C$3:$CD$12,3,FALSE)</f>
        <v>#N/A</v>
      </c>
      <c r="AD636" s="230" t="e">
        <f>T636-HLOOKUP(V636,Minimas!$C$3:$CD$12,4,FALSE)</f>
        <v>#N/A</v>
      </c>
      <c r="AE636" s="230" t="e">
        <f>T636-HLOOKUP(V636,Minimas!$C$3:$CD$12,5,FALSE)</f>
        <v>#N/A</v>
      </c>
      <c r="AF636" s="230" t="e">
        <f>T636-HLOOKUP(V636,Minimas!$C$3:$CD$12,6,FALSE)</f>
        <v>#N/A</v>
      </c>
      <c r="AG636" s="230" t="e">
        <f>T636-HLOOKUP(V636,Minimas!$C$3:$CD$12,7,FALSE)</f>
        <v>#N/A</v>
      </c>
      <c r="AH636" s="230" t="e">
        <f>T636-HLOOKUP(V636,Minimas!$C$3:$CD$12,8,FALSE)</f>
        <v>#N/A</v>
      </c>
      <c r="AI636" s="230" t="e">
        <f>T636-HLOOKUP(V636,Minimas!$C$3:$CD$12,9,FALSE)</f>
        <v>#N/A</v>
      </c>
      <c r="AJ636" s="230" t="e">
        <f>T636-HLOOKUP(V636,Minimas!$C$3:$CD$12,10,FALSE)</f>
        <v>#N/A</v>
      </c>
      <c r="AK636" s="231" t="str">
        <f t="shared" si="124"/>
        <v xml:space="preserve"> </v>
      </c>
      <c r="AL636" s="232"/>
      <c r="AM636" s="232" t="str">
        <f t="shared" si="125"/>
        <v xml:space="preserve"> </v>
      </c>
      <c r="AN636" s="232" t="str">
        <f t="shared" si="126"/>
        <v xml:space="preserve"> </v>
      </c>
    </row>
    <row r="637" spans="28:40" ht="14" x14ac:dyDescent="0.25">
      <c r="AB637" s="230" t="e">
        <f>T637-HLOOKUP(V637,Minimas!$C$3:$CD$12,2,FALSE)</f>
        <v>#N/A</v>
      </c>
      <c r="AC637" s="230" t="e">
        <f>T637-HLOOKUP(V637,Minimas!$C$3:$CD$12,3,FALSE)</f>
        <v>#N/A</v>
      </c>
      <c r="AD637" s="230" t="e">
        <f>T637-HLOOKUP(V637,Minimas!$C$3:$CD$12,4,FALSE)</f>
        <v>#N/A</v>
      </c>
      <c r="AE637" s="230" t="e">
        <f>T637-HLOOKUP(V637,Minimas!$C$3:$CD$12,5,FALSE)</f>
        <v>#N/A</v>
      </c>
      <c r="AF637" s="230" t="e">
        <f>T637-HLOOKUP(V637,Minimas!$C$3:$CD$12,6,FALSE)</f>
        <v>#N/A</v>
      </c>
      <c r="AG637" s="230" t="e">
        <f>T637-HLOOKUP(V637,Minimas!$C$3:$CD$12,7,FALSE)</f>
        <v>#N/A</v>
      </c>
      <c r="AH637" s="230" t="e">
        <f>T637-HLOOKUP(V637,Minimas!$C$3:$CD$12,8,FALSE)</f>
        <v>#N/A</v>
      </c>
      <c r="AI637" s="230" t="e">
        <f>T637-HLOOKUP(V637,Minimas!$C$3:$CD$12,9,FALSE)</f>
        <v>#N/A</v>
      </c>
      <c r="AJ637" s="230" t="e">
        <f>T637-HLOOKUP(V637,Minimas!$C$3:$CD$12,10,FALSE)</f>
        <v>#N/A</v>
      </c>
      <c r="AK637" s="231" t="str">
        <f t="shared" si="124"/>
        <v xml:space="preserve"> </v>
      </c>
      <c r="AL637" s="232"/>
      <c r="AM637" s="232" t="str">
        <f t="shared" si="125"/>
        <v xml:space="preserve"> </v>
      </c>
      <c r="AN637" s="232" t="str">
        <f t="shared" si="126"/>
        <v xml:space="preserve"> </v>
      </c>
    </row>
    <row r="638" spans="28:40" ht="14" x14ac:dyDescent="0.25">
      <c r="AB638" s="230" t="e">
        <f>T638-HLOOKUP(V638,Minimas!$C$3:$CD$12,2,FALSE)</f>
        <v>#N/A</v>
      </c>
      <c r="AC638" s="230" t="e">
        <f>T638-HLOOKUP(V638,Minimas!$C$3:$CD$12,3,FALSE)</f>
        <v>#N/A</v>
      </c>
      <c r="AD638" s="230" t="e">
        <f>T638-HLOOKUP(V638,Minimas!$C$3:$CD$12,4,FALSE)</f>
        <v>#N/A</v>
      </c>
      <c r="AE638" s="230" t="e">
        <f>T638-HLOOKUP(V638,Minimas!$C$3:$CD$12,5,FALSE)</f>
        <v>#N/A</v>
      </c>
      <c r="AF638" s="230" t="e">
        <f>T638-HLOOKUP(V638,Minimas!$C$3:$CD$12,6,FALSE)</f>
        <v>#N/A</v>
      </c>
      <c r="AG638" s="230" t="e">
        <f>T638-HLOOKUP(V638,Minimas!$C$3:$CD$12,7,FALSE)</f>
        <v>#N/A</v>
      </c>
      <c r="AH638" s="230" t="e">
        <f>T638-HLOOKUP(V638,Minimas!$C$3:$CD$12,8,FALSE)</f>
        <v>#N/A</v>
      </c>
      <c r="AI638" s="230" t="e">
        <f>T638-HLOOKUP(V638,Minimas!$C$3:$CD$12,9,FALSE)</f>
        <v>#N/A</v>
      </c>
      <c r="AJ638" s="230" t="e">
        <f>T638-HLOOKUP(V638,Minimas!$C$3:$CD$12,10,FALSE)</f>
        <v>#N/A</v>
      </c>
      <c r="AK638" s="231" t="str">
        <f t="shared" si="124"/>
        <v xml:space="preserve"> </v>
      </c>
      <c r="AL638" s="232"/>
      <c r="AM638" s="232" t="str">
        <f t="shared" si="125"/>
        <v xml:space="preserve"> </v>
      </c>
      <c r="AN638" s="232" t="str">
        <f t="shared" si="126"/>
        <v xml:space="preserve"> </v>
      </c>
    </row>
    <row r="639" spans="28:40" ht="14" x14ac:dyDescent="0.25">
      <c r="AB639" s="230" t="e">
        <f>T639-HLOOKUP(V639,Minimas!$C$3:$CD$12,2,FALSE)</f>
        <v>#N/A</v>
      </c>
      <c r="AC639" s="230" t="e">
        <f>T639-HLOOKUP(V639,Minimas!$C$3:$CD$12,3,FALSE)</f>
        <v>#N/A</v>
      </c>
      <c r="AD639" s="230" t="e">
        <f>T639-HLOOKUP(V639,Minimas!$C$3:$CD$12,4,FALSE)</f>
        <v>#N/A</v>
      </c>
      <c r="AE639" s="230" t="e">
        <f>T639-HLOOKUP(V639,Minimas!$C$3:$CD$12,5,FALSE)</f>
        <v>#N/A</v>
      </c>
      <c r="AF639" s="230" t="e">
        <f>T639-HLOOKUP(V639,Minimas!$C$3:$CD$12,6,FALSE)</f>
        <v>#N/A</v>
      </c>
      <c r="AG639" s="230" t="e">
        <f>T639-HLOOKUP(V639,Minimas!$C$3:$CD$12,7,FALSE)</f>
        <v>#N/A</v>
      </c>
      <c r="AH639" s="230" t="e">
        <f>T639-HLOOKUP(V639,Minimas!$C$3:$CD$12,8,FALSE)</f>
        <v>#N/A</v>
      </c>
      <c r="AI639" s="230" t="e">
        <f>T639-HLOOKUP(V639,Minimas!$C$3:$CD$12,9,FALSE)</f>
        <v>#N/A</v>
      </c>
      <c r="AJ639" s="230" t="e">
        <f>T639-HLOOKUP(V639,Minimas!$C$3:$CD$12,10,FALSE)</f>
        <v>#N/A</v>
      </c>
      <c r="AK639" s="231" t="str">
        <f t="shared" si="124"/>
        <v xml:space="preserve"> </v>
      </c>
      <c r="AL639" s="232"/>
      <c r="AM639" s="232" t="str">
        <f t="shared" si="125"/>
        <v xml:space="preserve"> </v>
      </c>
      <c r="AN639" s="232" t="str">
        <f t="shared" si="126"/>
        <v xml:space="preserve"> </v>
      </c>
    </row>
    <row r="640" spans="28:40" ht="14" x14ac:dyDescent="0.25">
      <c r="AB640" s="230" t="e">
        <f>T640-HLOOKUP(V640,Minimas!$C$3:$CD$12,2,FALSE)</f>
        <v>#N/A</v>
      </c>
      <c r="AC640" s="230" t="e">
        <f>T640-HLOOKUP(V640,Minimas!$C$3:$CD$12,3,FALSE)</f>
        <v>#N/A</v>
      </c>
      <c r="AD640" s="230" t="e">
        <f>T640-HLOOKUP(V640,Minimas!$C$3:$CD$12,4,FALSE)</f>
        <v>#N/A</v>
      </c>
      <c r="AE640" s="230" t="e">
        <f>T640-HLOOKUP(V640,Minimas!$C$3:$CD$12,5,FALSE)</f>
        <v>#N/A</v>
      </c>
      <c r="AF640" s="230" t="e">
        <f>T640-HLOOKUP(V640,Minimas!$C$3:$CD$12,6,FALSE)</f>
        <v>#N/A</v>
      </c>
      <c r="AG640" s="230" t="e">
        <f>T640-HLOOKUP(V640,Minimas!$C$3:$CD$12,7,FALSE)</f>
        <v>#N/A</v>
      </c>
      <c r="AH640" s="230" t="e">
        <f>T640-HLOOKUP(V640,Minimas!$C$3:$CD$12,8,FALSE)</f>
        <v>#N/A</v>
      </c>
      <c r="AI640" s="230" t="e">
        <f>T640-HLOOKUP(V640,Minimas!$C$3:$CD$12,9,FALSE)</f>
        <v>#N/A</v>
      </c>
      <c r="AJ640" s="230" t="e">
        <f>T640-HLOOKUP(V640,Minimas!$C$3:$CD$12,10,FALSE)</f>
        <v>#N/A</v>
      </c>
      <c r="AK640" s="231" t="str">
        <f t="shared" si="124"/>
        <v xml:space="preserve"> </v>
      </c>
      <c r="AL640" s="232"/>
      <c r="AM640" s="232" t="str">
        <f t="shared" si="125"/>
        <v xml:space="preserve"> </v>
      </c>
      <c r="AN640" s="232" t="str">
        <f t="shared" si="126"/>
        <v xml:space="preserve"> </v>
      </c>
    </row>
    <row r="641" spans="28:40" ht="14" x14ac:dyDescent="0.25">
      <c r="AB641" s="230" t="e">
        <f>T641-HLOOKUP(V641,Minimas!$C$3:$CD$12,2,FALSE)</f>
        <v>#N/A</v>
      </c>
      <c r="AC641" s="230" t="e">
        <f>T641-HLOOKUP(V641,Minimas!$C$3:$CD$12,3,FALSE)</f>
        <v>#N/A</v>
      </c>
      <c r="AD641" s="230" t="e">
        <f>T641-HLOOKUP(V641,Minimas!$C$3:$CD$12,4,FALSE)</f>
        <v>#N/A</v>
      </c>
      <c r="AE641" s="230" t="e">
        <f>T641-HLOOKUP(V641,Minimas!$C$3:$CD$12,5,FALSE)</f>
        <v>#N/A</v>
      </c>
      <c r="AF641" s="230" t="e">
        <f>T641-HLOOKUP(V641,Minimas!$C$3:$CD$12,6,FALSE)</f>
        <v>#N/A</v>
      </c>
      <c r="AG641" s="230" t="e">
        <f>T641-HLOOKUP(V641,Minimas!$C$3:$CD$12,7,FALSE)</f>
        <v>#N/A</v>
      </c>
      <c r="AH641" s="230" t="e">
        <f>T641-HLOOKUP(V641,Minimas!$C$3:$CD$12,8,FALSE)</f>
        <v>#N/A</v>
      </c>
      <c r="AI641" s="230" t="e">
        <f>T641-HLOOKUP(V641,Minimas!$C$3:$CD$12,9,FALSE)</f>
        <v>#N/A</v>
      </c>
      <c r="AJ641" s="230" t="e">
        <f>T641-HLOOKUP(V641,Minimas!$C$3:$CD$12,10,FALSE)</f>
        <v>#N/A</v>
      </c>
      <c r="AK641" s="231" t="str">
        <f t="shared" si="124"/>
        <v xml:space="preserve"> </v>
      </c>
      <c r="AL641" s="232"/>
      <c r="AM641" s="232" t="str">
        <f t="shared" si="125"/>
        <v xml:space="preserve"> </v>
      </c>
      <c r="AN641" s="232" t="str">
        <f t="shared" si="126"/>
        <v xml:space="preserve"> </v>
      </c>
    </row>
    <row r="642" spans="28:40" ht="14" x14ac:dyDescent="0.25">
      <c r="AB642" s="230" t="e">
        <f>T642-HLOOKUP(V642,Minimas!$C$3:$CD$12,2,FALSE)</f>
        <v>#N/A</v>
      </c>
      <c r="AC642" s="230" t="e">
        <f>T642-HLOOKUP(V642,Minimas!$C$3:$CD$12,3,FALSE)</f>
        <v>#N/A</v>
      </c>
      <c r="AD642" s="230" t="e">
        <f>T642-HLOOKUP(V642,Minimas!$C$3:$CD$12,4,FALSE)</f>
        <v>#N/A</v>
      </c>
      <c r="AE642" s="230" t="e">
        <f>T642-HLOOKUP(V642,Minimas!$C$3:$CD$12,5,FALSE)</f>
        <v>#N/A</v>
      </c>
      <c r="AF642" s="230" t="e">
        <f>T642-HLOOKUP(V642,Minimas!$C$3:$CD$12,6,FALSE)</f>
        <v>#N/A</v>
      </c>
      <c r="AG642" s="230" t="e">
        <f>T642-HLOOKUP(V642,Minimas!$C$3:$CD$12,7,FALSE)</f>
        <v>#N/A</v>
      </c>
      <c r="AH642" s="230" t="e">
        <f>T642-HLOOKUP(V642,Minimas!$C$3:$CD$12,8,FALSE)</f>
        <v>#N/A</v>
      </c>
      <c r="AI642" s="230" t="e">
        <f>T642-HLOOKUP(V642,Minimas!$C$3:$CD$12,9,FALSE)</f>
        <v>#N/A</v>
      </c>
      <c r="AJ642" s="230" t="e">
        <f>T642-HLOOKUP(V642,Minimas!$C$3:$CD$12,10,FALSE)</f>
        <v>#N/A</v>
      </c>
      <c r="AK642" s="231" t="str">
        <f t="shared" si="124"/>
        <v xml:space="preserve"> </v>
      </c>
      <c r="AL642" s="232"/>
      <c r="AM642" s="232" t="str">
        <f t="shared" si="125"/>
        <v xml:space="preserve"> </v>
      </c>
      <c r="AN642" s="232" t="str">
        <f t="shared" si="126"/>
        <v xml:space="preserve"> </v>
      </c>
    </row>
    <row r="643" spans="28:40" ht="14" x14ac:dyDescent="0.25">
      <c r="AB643" s="230" t="e">
        <f>T643-HLOOKUP(V643,Minimas!$C$3:$CD$12,2,FALSE)</f>
        <v>#N/A</v>
      </c>
      <c r="AC643" s="230" t="e">
        <f>T643-HLOOKUP(V643,Minimas!$C$3:$CD$12,3,FALSE)</f>
        <v>#N/A</v>
      </c>
      <c r="AD643" s="230" t="e">
        <f>T643-HLOOKUP(V643,Minimas!$C$3:$CD$12,4,FALSE)</f>
        <v>#N/A</v>
      </c>
      <c r="AE643" s="230" t="e">
        <f>T643-HLOOKUP(V643,Minimas!$C$3:$CD$12,5,FALSE)</f>
        <v>#N/A</v>
      </c>
      <c r="AF643" s="230" t="e">
        <f>T643-HLOOKUP(V643,Minimas!$C$3:$CD$12,6,FALSE)</f>
        <v>#N/A</v>
      </c>
      <c r="AG643" s="230" t="e">
        <f>T643-HLOOKUP(V643,Minimas!$C$3:$CD$12,7,FALSE)</f>
        <v>#N/A</v>
      </c>
      <c r="AH643" s="230" t="e">
        <f>T643-HLOOKUP(V643,Minimas!$C$3:$CD$12,8,FALSE)</f>
        <v>#N/A</v>
      </c>
      <c r="AI643" s="230" t="e">
        <f>T643-HLOOKUP(V643,Minimas!$C$3:$CD$12,9,FALSE)</f>
        <v>#N/A</v>
      </c>
      <c r="AJ643" s="230" t="e">
        <f>T643-HLOOKUP(V643,Minimas!$C$3:$CD$12,10,FALSE)</f>
        <v>#N/A</v>
      </c>
      <c r="AK643" s="231" t="str">
        <f t="shared" si="124"/>
        <v xml:space="preserve"> </v>
      </c>
      <c r="AL643" s="232"/>
      <c r="AM643" s="232" t="str">
        <f t="shared" si="125"/>
        <v xml:space="preserve"> </v>
      </c>
      <c r="AN643" s="232" t="str">
        <f t="shared" si="126"/>
        <v xml:space="preserve"> </v>
      </c>
    </row>
    <row r="644" spans="28:40" ht="14" x14ac:dyDescent="0.25">
      <c r="AB644" s="230" t="e">
        <f>T644-HLOOKUP(V644,Minimas!$C$3:$CD$12,2,FALSE)</f>
        <v>#N/A</v>
      </c>
      <c r="AC644" s="230" t="e">
        <f>T644-HLOOKUP(V644,Minimas!$C$3:$CD$12,3,FALSE)</f>
        <v>#N/A</v>
      </c>
      <c r="AD644" s="230" t="e">
        <f>T644-HLOOKUP(V644,Minimas!$C$3:$CD$12,4,FALSE)</f>
        <v>#N/A</v>
      </c>
      <c r="AE644" s="230" t="e">
        <f>T644-HLOOKUP(V644,Minimas!$C$3:$CD$12,5,FALSE)</f>
        <v>#N/A</v>
      </c>
      <c r="AF644" s="230" t="e">
        <f>T644-HLOOKUP(V644,Minimas!$C$3:$CD$12,6,FALSE)</f>
        <v>#N/A</v>
      </c>
      <c r="AG644" s="230" t="e">
        <f>T644-HLOOKUP(V644,Minimas!$C$3:$CD$12,7,FALSE)</f>
        <v>#N/A</v>
      </c>
      <c r="AH644" s="230" t="e">
        <f>T644-HLOOKUP(V644,Minimas!$C$3:$CD$12,8,FALSE)</f>
        <v>#N/A</v>
      </c>
      <c r="AI644" s="230" t="e">
        <f>T644-HLOOKUP(V644,Minimas!$C$3:$CD$12,9,FALSE)</f>
        <v>#N/A</v>
      </c>
      <c r="AJ644" s="230" t="e">
        <f>T644-HLOOKUP(V644,Minimas!$C$3:$CD$12,10,FALSE)</f>
        <v>#N/A</v>
      </c>
      <c r="AK644" s="231" t="str">
        <f t="shared" si="124"/>
        <v xml:space="preserve"> </v>
      </c>
      <c r="AL644" s="232"/>
      <c r="AM644" s="232" t="str">
        <f t="shared" si="125"/>
        <v xml:space="preserve"> </v>
      </c>
      <c r="AN644" s="232" t="str">
        <f t="shared" si="126"/>
        <v xml:space="preserve"> </v>
      </c>
    </row>
    <row r="645" spans="28:40" ht="14" x14ac:dyDescent="0.25">
      <c r="AB645" s="230" t="e">
        <f>T645-HLOOKUP(V645,Minimas!$C$3:$CD$12,2,FALSE)</f>
        <v>#N/A</v>
      </c>
      <c r="AC645" s="230" t="e">
        <f>T645-HLOOKUP(V645,Minimas!$C$3:$CD$12,3,FALSE)</f>
        <v>#N/A</v>
      </c>
      <c r="AD645" s="230" t="e">
        <f>T645-HLOOKUP(V645,Minimas!$C$3:$CD$12,4,FALSE)</f>
        <v>#N/A</v>
      </c>
      <c r="AE645" s="230" t="e">
        <f>T645-HLOOKUP(V645,Minimas!$C$3:$CD$12,5,FALSE)</f>
        <v>#N/A</v>
      </c>
      <c r="AF645" s="230" t="e">
        <f>T645-HLOOKUP(V645,Minimas!$C$3:$CD$12,6,FALSE)</f>
        <v>#N/A</v>
      </c>
      <c r="AG645" s="230" t="e">
        <f>T645-HLOOKUP(V645,Minimas!$C$3:$CD$12,7,FALSE)</f>
        <v>#N/A</v>
      </c>
      <c r="AH645" s="230" t="e">
        <f>T645-HLOOKUP(V645,Minimas!$C$3:$CD$12,8,FALSE)</f>
        <v>#N/A</v>
      </c>
      <c r="AI645" s="230" t="e">
        <f>T645-HLOOKUP(V645,Minimas!$C$3:$CD$12,9,FALSE)</f>
        <v>#N/A</v>
      </c>
      <c r="AJ645" s="230" t="e">
        <f>T645-HLOOKUP(V645,Minimas!$C$3:$CD$12,10,FALSE)</f>
        <v>#N/A</v>
      </c>
      <c r="AK645" s="231" t="str">
        <f t="shared" si="124"/>
        <v xml:space="preserve"> </v>
      </c>
      <c r="AL645" s="232"/>
      <c r="AM645" s="232" t="str">
        <f t="shared" si="125"/>
        <v xml:space="preserve"> </v>
      </c>
      <c r="AN645" s="232" t="str">
        <f t="shared" si="126"/>
        <v xml:space="preserve"> </v>
      </c>
    </row>
    <row r="646" spans="28:40" ht="14" x14ac:dyDescent="0.25">
      <c r="AB646" s="230" t="e">
        <f>T646-HLOOKUP(V646,Minimas!$C$3:$CD$12,2,FALSE)</f>
        <v>#N/A</v>
      </c>
      <c r="AC646" s="230" t="e">
        <f>T646-HLOOKUP(V646,Minimas!$C$3:$CD$12,3,FALSE)</f>
        <v>#N/A</v>
      </c>
      <c r="AD646" s="230" t="e">
        <f>T646-HLOOKUP(V646,Minimas!$C$3:$CD$12,4,FALSE)</f>
        <v>#N/A</v>
      </c>
      <c r="AE646" s="230" t="e">
        <f>T646-HLOOKUP(V646,Minimas!$C$3:$CD$12,5,FALSE)</f>
        <v>#N/A</v>
      </c>
      <c r="AF646" s="230" t="e">
        <f>T646-HLOOKUP(V646,Minimas!$C$3:$CD$12,6,FALSE)</f>
        <v>#N/A</v>
      </c>
      <c r="AG646" s="230" t="e">
        <f>T646-HLOOKUP(V646,Minimas!$C$3:$CD$12,7,FALSE)</f>
        <v>#N/A</v>
      </c>
      <c r="AH646" s="230" t="e">
        <f>T646-HLOOKUP(V646,Minimas!$C$3:$CD$12,8,FALSE)</f>
        <v>#N/A</v>
      </c>
      <c r="AI646" s="230" t="e">
        <f>T646-HLOOKUP(V646,Minimas!$C$3:$CD$12,9,FALSE)</f>
        <v>#N/A</v>
      </c>
      <c r="AJ646" s="230" t="e">
        <f>T646-HLOOKUP(V646,Minimas!$C$3:$CD$12,10,FALSE)</f>
        <v>#N/A</v>
      </c>
      <c r="AK646" s="231" t="str">
        <f t="shared" si="124"/>
        <v xml:space="preserve"> </v>
      </c>
      <c r="AL646" s="232"/>
      <c r="AM646" s="232" t="str">
        <f t="shared" si="125"/>
        <v xml:space="preserve"> </v>
      </c>
      <c r="AN646" s="232" t="str">
        <f t="shared" si="126"/>
        <v xml:space="preserve"> </v>
      </c>
    </row>
    <row r="647" spans="28:40" ht="14" x14ac:dyDescent="0.25">
      <c r="AB647" s="230" t="e">
        <f>T647-HLOOKUP(V647,Minimas!$C$3:$CD$12,2,FALSE)</f>
        <v>#N/A</v>
      </c>
      <c r="AC647" s="230" t="e">
        <f>T647-HLOOKUP(V647,Minimas!$C$3:$CD$12,3,FALSE)</f>
        <v>#N/A</v>
      </c>
      <c r="AD647" s="230" t="e">
        <f>T647-HLOOKUP(V647,Minimas!$C$3:$CD$12,4,FALSE)</f>
        <v>#N/A</v>
      </c>
      <c r="AE647" s="230" t="e">
        <f>T647-HLOOKUP(V647,Minimas!$C$3:$CD$12,5,FALSE)</f>
        <v>#N/A</v>
      </c>
      <c r="AF647" s="230" t="e">
        <f>T647-HLOOKUP(V647,Minimas!$C$3:$CD$12,6,FALSE)</f>
        <v>#N/A</v>
      </c>
      <c r="AG647" s="230" t="e">
        <f>T647-HLOOKUP(V647,Minimas!$C$3:$CD$12,7,FALSE)</f>
        <v>#N/A</v>
      </c>
      <c r="AH647" s="230" t="e">
        <f>T647-HLOOKUP(V647,Minimas!$C$3:$CD$12,8,FALSE)</f>
        <v>#N/A</v>
      </c>
      <c r="AI647" s="230" t="e">
        <f>T647-HLOOKUP(V647,Minimas!$C$3:$CD$12,9,FALSE)</f>
        <v>#N/A</v>
      </c>
      <c r="AJ647" s="230" t="e">
        <f>T647-HLOOKUP(V647,Minimas!$C$3:$CD$12,10,FALSE)</f>
        <v>#N/A</v>
      </c>
      <c r="AK647" s="231" t="str">
        <f t="shared" si="124"/>
        <v xml:space="preserve"> </v>
      </c>
      <c r="AL647" s="232"/>
      <c r="AM647" s="232" t="str">
        <f t="shared" si="125"/>
        <v xml:space="preserve"> </v>
      </c>
      <c r="AN647" s="232" t="str">
        <f t="shared" si="126"/>
        <v xml:space="preserve"> </v>
      </c>
    </row>
    <row r="648" spans="28:40" ht="14" x14ac:dyDescent="0.25">
      <c r="AB648" s="230" t="e">
        <f>T648-HLOOKUP(V648,Minimas!$C$3:$CD$12,2,FALSE)</f>
        <v>#N/A</v>
      </c>
      <c r="AC648" s="230" t="e">
        <f>T648-HLOOKUP(V648,Minimas!$C$3:$CD$12,3,FALSE)</f>
        <v>#N/A</v>
      </c>
      <c r="AD648" s="230" t="e">
        <f>T648-HLOOKUP(V648,Minimas!$C$3:$CD$12,4,FALSE)</f>
        <v>#N/A</v>
      </c>
      <c r="AE648" s="230" t="e">
        <f>T648-HLOOKUP(V648,Minimas!$C$3:$CD$12,5,FALSE)</f>
        <v>#N/A</v>
      </c>
      <c r="AF648" s="230" t="e">
        <f>T648-HLOOKUP(V648,Minimas!$C$3:$CD$12,6,FALSE)</f>
        <v>#N/A</v>
      </c>
      <c r="AG648" s="230" t="e">
        <f>T648-HLOOKUP(V648,Minimas!$C$3:$CD$12,7,FALSE)</f>
        <v>#N/A</v>
      </c>
      <c r="AH648" s="230" t="e">
        <f>T648-HLOOKUP(V648,Minimas!$C$3:$CD$12,8,FALSE)</f>
        <v>#N/A</v>
      </c>
      <c r="AI648" s="230" t="e">
        <f>T648-HLOOKUP(V648,Minimas!$C$3:$CD$12,9,FALSE)</f>
        <v>#N/A</v>
      </c>
      <c r="AJ648" s="230" t="e">
        <f>T648-HLOOKUP(V648,Minimas!$C$3:$CD$12,10,FALSE)</f>
        <v>#N/A</v>
      </c>
      <c r="AK648" s="231" t="str">
        <f t="shared" si="124"/>
        <v xml:space="preserve"> </v>
      </c>
      <c r="AL648" s="232"/>
      <c r="AM648" s="232" t="str">
        <f t="shared" si="125"/>
        <v xml:space="preserve"> </v>
      </c>
      <c r="AN648" s="232" t="str">
        <f t="shared" si="126"/>
        <v xml:space="preserve"> </v>
      </c>
    </row>
    <row r="649" spans="28:40" ht="14" x14ac:dyDescent="0.25">
      <c r="AB649" s="230" t="e">
        <f>T649-HLOOKUP(V649,Minimas!$C$3:$CD$12,2,FALSE)</f>
        <v>#N/A</v>
      </c>
      <c r="AC649" s="230" t="e">
        <f>T649-HLOOKUP(V649,Minimas!$C$3:$CD$12,3,FALSE)</f>
        <v>#N/A</v>
      </c>
      <c r="AD649" s="230" t="e">
        <f>T649-HLOOKUP(V649,Minimas!$C$3:$CD$12,4,FALSE)</f>
        <v>#N/A</v>
      </c>
      <c r="AE649" s="230" t="e">
        <f>T649-HLOOKUP(V649,Minimas!$C$3:$CD$12,5,FALSE)</f>
        <v>#N/A</v>
      </c>
      <c r="AF649" s="230" t="e">
        <f>T649-HLOOKUP(V649,Minimas!$C$3:$CD$12,6,FALSE)</f>
        <v>#N/A</v>
      </c>
      <c r="AG649" s="230" t="e">
        <f>T649-HLOOKUP(V649,Minimas!$C$3:$CD$12,7,FALSE)</f>
        <v>#N/A</v>
      </c>
      <c r="AH649" s="230" t="e">
        <f>T649-HLOOKUP(V649,Minimas!$C$3:$CD$12,8,FALSE)</f>
        <v>#N/A</v>
      </c>
      <c r="AI649" s="230" t="e">
        <f>T649-HLOOKUP(V649,Minimas!$C$3:$CD$12,9,FALSE)</f>
        <v>#N/A</v>
      </c>
      <c r="AJ649" s="230" t="e">
        <f>T649-HLOOKUP(V649,Minimas!$C$3:$CD$12,10,FALSE)</f>
        <v>#N/A</v>
      </c>
      <c r="AK649" s="231" t="str">
        <f t="shared" si="124"/>
        <v xml:space="preserve"> </v>
      </c>
      <c r="AL649" s="232"/>
      <c r="AM649" s="232" t="str">
        <f t="shared" si="125"/>
        <v xml:space="preserve"> </v>
      </c>
      <c r="AN649" s="232" t="str">
        <f t="shared" si="126"/>
        <v xml:space="preserve"> </v>
      </c>
    </row>
    <row r="650" spans="28:40" ht="14" x14ac:dyDescent="0.25">
      <c r="AB650" s="230" t="e">
        <f>T650-HLOOKUP(V650,Minimas!$C$3:$CD$12,2,FALSE)</f>
        <v>#N/A</v>
      </c>
      <c r="AC650" s="230" t="e">
        <f>T650-HLOOKUP(V650,Minimas!$C$3:$CD$12,3,FALSE)</f>
        <v>#N/A</v>
      </c>
      <c r="AD650" s="230" t="e">
        <f>T650-HLOOKUP(V650,Minimas!$C$3:$CD$12,4,FALSE)</f>
        <v>#N/A</v>
      </c>
      <c r="AE650" s="230" t="e">
        <f>T650-HLOOKUP(V650,Minimas!$C$3:$CD$12,5,FALSE)</f>
        <v>#N/A</v>
      </c>
      <c r="AF650" s="230" t="e">
        <f>T650-HLOOKUP(V650,Minimas!$C$3:$CD$12,6,FALSE)</f>
        <v>#N/A</v>
      </c>
      <c r="AG650" s="230" t="e">
        <f>T650-HLOOKUP(V650,Minimas!$C$3:$CD$12,7,FALSE)</f>
        <v>#N/A</v>
      </c>
      <c r="AH650" s="230" t="e">
        <f>T650-HLOOKUP(V650,Minimas!$C$3:$CD$12,8,FALSE)</f>
        <v>#N/A</v>
      </c>
      <c r="AI650" s="230" t="e">
        <f>T650-HLOOKUP(V650,Minimas!$C$3:$CD$12,9,FALSE)</f>
        <v>#N/A</v>
      </c>
      <c r="AJ650" s="230" t="e">
        <f>T650-HLOOKUP(V650,Minimas!$C$3:$CD$12,10,FALSE)</f>
        <v>#N/A</v>
      </c>
      <c r="AK650" s="231" t="str">
        <f t="shared" si="124"/>
        <v xml:space="preserve"> </v>
      </c>
      <c r="AL650" s="232"/>
      <c r="AM650" s="232" t="str">
        <f t="shared" si="125"/>
        <v xml:space="preserve"> </v>
      </c>
      <c r="AN650" s="232" t="str">
        <f t="shared" si="126"/>
        <v xml:space="preserve"> </v>
      </c>
    </row>
    <row r="651" spans="28:40" ht="14" x14ac:dyDescent="0.25">
      <c r="AB651" s="230" t="e">
        <f>T651-HLOOKUP(V651,Minimas!$C$3:$CD$12,2,FALSE)</f>
        <v>#N/A</v>
      </c>
      <c r="AC651" s="230" t="e">
        <f>T651-HLOOKUP(V651,Minimas!$C$3:$CD$12,3,FALSE)</f>
        <v>#N/A</v>
      </c>
      <c r="AD651" s="230" t="e">
        <f>T651-HLOOKUP(V651,Minimas!$C$3:$CD$12,4,FALSE)</f>
        <v>#N/A</v>
      </c>
      <c r="AE651" s="230" t="e">
        <f>T651-HLOOKUP(V651,Minimas!$C$3:$CD$12,5,FALSE)</f>
        <v>#N/A</v>
      </c>
      <c r="AF651" s="230" t="e">
        <f>T651-HLOOKUP(V651,Minimas!$C$3:$CD$12,6,FALSE)</f>
        <v>#N/A</v>
      </c>
      <c r="AG651" s="230" t="e">
        <f>T651-HLOOKUP(V651,Minimas!$C$3:$CD$12,7,FALSE)</f>
        <v>#N/A</v>
      </c>
      <c r="AH651" s="230" t="e">
        <f>T651-HLOOKUP(V651,Minimas!$C$3:$CD$12,8,FALSE)</f>
        <v>#N/A</v>
      </c>
      <c r="AI651" s="230" t="e">
        <f>T651-HLOOKUP(V651,Minimas!$C$3:$CD$12,9,FALSE)</f>
        <v>#N/A</v>
      </c>
      <c r="AJ651" s="230" t="e">
        <f>T651-HLOOKUP(V651,Minimas!$C$3:$CD$12,10,FALSE)</f>
        <v>#N/A</v>
      </c>
      <c r="AK651" s="231" t="str">
        <f t="shared" si="124"/>
        <v xml:space="preserve"> </v>
      </c>
      <c r="AL651" s="232"/>
      <c r="AM651" s="232" t="str">
        <f t="shared" si="125"/>
        <v xml:space="preserve"> </v>
      </c>
      <c r="AN651" s="232" t="str">
        <f t="shared" si="126"/>
        <v xml:space="preserve"> </v>
      </c>
    </row>
    <row r="652" spans="28:40" ht="14" x14ac:dyDescent="0.25">
      <c r="AB652" s="230" t="e">
        <f>T652-HLOOKUP(V652,Minimas!$C$3:$CD$12,2,FALSE)</f>
        <v>#N/A</v>
      </c>
      <c r="AC652" s="230" t="e">
        <f>T652-HLOOKUP(V652,Minimas!$C$3:$CD$12,3,FALSE)</f>
        <v>#N/A</v>
      </c>
      <c r="AD652" s="230" t="e">
        <f>T652-HLOOKUP(V652,Minimas!$C$3:$CD$12,4,FALSE)</f>
        <v>#N/A</v>
      </c>
      <c r="AE652" s="230" t="e">
        <f>T652-HLOOKUP(V652,Minimas!$C$3:$CD$12,5,FALSE)</f>
        <v>#N/A</v>
      </c>
      <c r="AF652" s="230" t="e">
        <f>T652-HLOOKUP(V652,Minimas!$C$3:$CD$12,6,FALSE)</f>
        <v>#N/A</v>
      </c>
      <c r="AG652" s="230" t="e">
        <f>T652-HLOOKUP(V652,Minimas!$C$3:$CD$12,7,FALSE)</f>
        <v>#N/A</v>
      </c>
      <c r="AH652" s="230" t="e">
        <f>T652-HLOOKUP(V652,Minimas!$C$3:$CD$12,8,FALSE)</f>
        <v>#N/A</v>
      </c>
      <c r="AI652" s="230" t="e">
        <f>T652-HLOOKUP(V652,Minimas!$C$3:$CD$12,9,FALSE)</f>
        <v>#N/A</v>
      </c>
      <c r="AJ652" s="230" t="e">
        <f>T652-HLOOKUP(V652,Minimas!$C$3:$CD$12,10,FALSE)</f>
        <v>#N/A</v>
      </c>
      <c r="AK652" s="231" t="str">
        <f t="shared" si="124"/>
        <v xml:space="preserve"> </v>
      </c>
      <c r="AL652" s="232"/>
      <c r="AM652" s="232" t="str">
        <f t="shared" si="125"/>
        <v xml:space="preserve"> </v>
      </c>
      <c r="AN652" s="232" t="str">
        <f t="shared" si="126"/>
        <v xml:space="preserve"> </v>
      </c>
    </row>
    <row r="653" spans="28:40" ht="14" x14ac:dyDescent="0.25">
      <c r="AB653" s="230" t="e">
        <f>T653-HLOOKUP(V653,Minimas!$C$3:$CD$12,2,FALSE)</f>
        <v>#N/A</v>
      </c>
      <c r="AC653" s="230" t="e">
        <f>T653-HLOOKUP(V653,Minimas!$C$3:$CD$12,3,FALSE)</f>
        <v>#N/A</v>
      </c>
      <c r="AD653" s="230" t="e">
        <f>T653-HLOOKUP(V653,Minimas!$C$3:$CD$12,4,FALSE)</f>
        <v>#N/A</v>
      </c>
      <c r="AE653" s="230" t="e">
        <f>T653-HLOOKUP(V653,Minimas!$C$3:$CD$12,5,FALSE)</f>
        <v>#N/A</v>
      </c>
      <c r="AF653" s="230" t="e">
        <f>T653-HLOOKUP(V653,Minimas!$C$3:$CD$12,6,FALSE)</f>
        <v>#N/A</v>
      </c>
      <c r="AG653" s="230" t="e">
        <f>T653-HLOOKUP(V653,Minimas!$C$3:$CD$12,7,FALSE)</f>
        <v>#N/A</v>
      </c>
      <c r="AH653" s="230" t="e">
        <f>T653-HLOOKUP(V653,Minimas!$C$3:$CD$12,8,FALSE)</f>
        <v>#N/A</v>
      </c>
      <c r="AI653" s="230" t="e">
        <f>T653-HLOOKUP(V653,Minimas!$C$3:$CD$12,9,FALSE)</f>
        <v>#N/A</v>
      </c>
      <c r="AJ653" s="230" t="e">
        <f>T653-HLOOKUP(V653,Minimas!$C$3:$CD$12,10,FALSE)</f>
        <v>#N/A</v>
      </c>
      <c r="AK653" s="231" t="str">
        <f t="shared" si="124"/>
        <v xml:space="preserve"> </v>
      </c>
      <c r="AL653" s="232"/>
      <c r="AM653" s="232" t="str">
        <f t="shared" si="125"/>
        <v xml:space="preserve"> </v>
      </c>
      <c r="AN653" s="232" t="str">
        <f t="shared" si="126"/>
        <v xml:space="preserve"> </v>
      </c>
    </row>
    <row r="654" spans="28:40" ht="14" x14ac:dyDescent="0.25">
      <c r="AB654" s="230" t="e">
        <f>T654-HLOOKUP(V654,Minimas!$C$3:$CD$12,2,FALSE)</f>
        <v>#N/A</v>
      </c>
      <c r="AC654" s="230" t="e">
        <f>T654-HLOOKUP(V654,Minimas!$C$3:$CD$12,3,FALSE)</f>
        <v>#N/A</v>
      </c>
      <c r="AD654" s="230" t="e">
        <f>T654-HLOOKUP(V654,Minimas!$C$3:$CD$12,4,FALSE)</f>
        <v>#N/A</v>
      </c>
      <c r="AE654" s="230" t="e">
        <f>T654-HLOOKUP(V654,Minimas!$C$3:$CD$12,5,FALSE)</f>
        <v>#N/A</v>
      </c>
      <c r="AF654" s="230" t="e">
        <f>T654-HLOOKUP(V654,Minimas!$C$3:$CD$12,6,FALSE)</f>
        <v>#N/A</v>
      </c>
      <c r="AG654" s="230" t="e">
        <f>T654-HLOOKUP(V654,Minimas!$C$3:$CD$12,7,FALSE)</f>
        <v>#N/A</v>
      </c>
      <c r="AH654" s="230" t="e">
        <f>T654-HLOOKUP(V654,Minimas!$C$3:$CD$12,8,FALSE)</f>
        <v>#N/A</v>
      </c>
      <c r="AI654" s="230" t="e">
        <f>T654-HLOOKUP(V654,Minimas!$C$3:$CD$12,9,FALSE)</f>
        <v>#N/A</v>
      </c>
      <c r="AJ654" s="230" t="e">
        <f>T654-HLOOKUP(V654,Minimas!$C$3:$CD$12,10,FALSE)</f>
        <v>#N/A</v>
      </c>
      <c r="AK654" s="231" t="str">
        <f t="shared" si="124"/>
        <v xml:space="preserve"> </v>
      </c>
      <c r="AL654" s="232"/>
      <c r="AM654" s="232" t="str">
        <f t="shared" si="125"/>
        <v xml:space="preserve"> </v>
      </c>
      <c r="AN654" s="232" t="str">
        <f t="shared" si="126"/>
        <v xml:space="preserve"> </v>
      </c>
    </row>
    <row r="655" spans="28:40" ht="14" x14ac:dyDescent="0.25">
      <c r="AB655" s="230" t="e">
        <f>T655-HLOOKUP(V655,Minimas!$C$3:$CD$12,2,FALSE)</f>
        <v>#N/A</v>
      </c>
      <c r="AC655" s="230" t="e">
        <f>T655-HLOOKUP(V655,Minimas!$C$3:$CD$12,3,FALSE)</f>
        <v>#N/A</v>
      </c>
      <c r="AD655" s="230" t="e">
        <f>T655-HLOOKUP(V655,Minimas!$C$3:$CD$12,4,FALSE)</f>
        <v>#N/A</v>
      </c>
      <c r="AE655" s="230" t="e">
        <f>T655-HLOOKUP(V655,Minimas!$C$3:$CD$12,5,FALSE)</f>
        <v>#N/A</v>
      </c>
      <c r="AF655" s="230" t="e">
        <f>T655-HLOOKUP(V655,Minimas!$C$3:$CD$12,6,FALSE)</f>
        <v>#N/A</v>
      </c>
      <c r="AG655" s="230" t="e">
        <f>T655-HLOOKUP(V655,Minimas!$C$3:$CD$12,7,FALSE)</f>
        <v>#N/A</v>
      </c>
      <c r="AH655" s="230" t="e">
        <f>T655-HLOOKUP(V655,Minimas!$C$3:$CD$12,8,FALSE)</f>
        <v>#N/A</v>
      </c>
      <c r="AI655" s="230" t="e">
        <f>T655-HLOOKUP(V655,Minimas!$C$3:$CD$12,9,FALSE)</f>
        <v>#N/A</v>
      </c>
      <c r="AJ655" s="230" t="e">
        <f>T655-HLOOKUP(V655,Minimas!$C$3:$CD$12,10,FALSE)</f>
        <v>#N/A</v>
      </c>
      <c r="AK655" s="231" t="str">
        <f t="shared" si="124"/>
        <v xml:space="preserve"> </v>
      </c>
      <c r="AL655" s="232"/>
      <c r="AM655" s="232" t="str">
        <f t="shared" si="125"/>
        <v xml:space="preserve"> </v>
      </c>
      <c r="AN655" s="232" t="str">
        <f t="shared" si="126"/>
        <v xml:space="preserve"> </v>
      </c>
    </row>
    <row r="656" spans="28:40" ht="14" x14ac:dyDescent="0.25">
      <c r="AB656" s="230" t="e">
        <f>T656-HLOOKUP(V656,Minimas!$C$3:$CD$12,2,FALSE)</f>
        <v>#N/A</v>
      </c>
      <c r="AC656" s="230" t="e">
        <f>T656-HLOOKUP(V656,Minimas!$C$3:$CD$12,3,FALSE)</f>
        <v>#N/A</v>
      </c>
      <c r="AD656" s="230" t="e">
        <f>T656-HLOOKUP(V656,Minimas!$C$3:$CD$12,4,FALSE)</f>
        <v>#N/A</v>
      </c>
      <c r="AE656" s="230" t="e">
        <f>T656-HLOOKUP(V656,Minimas!$C$3:$CD$12,5,FALSE)</f>
        <v>#N/A</v>
      </c>
      <c r="AF656" s="230" t="e">
        <f>T656-HLOOKUP(V656,Minimas!$C$3:$CD$12,6,FALSE)</f>
        <v>#N/A</v>
      </c>
      <c r="AG656" s="230" t="e">
        <f>T656-HLOOKUP(V656,Minimas!$C$3:$CD$12,7,FALSE)</f>
        <v>#N/A</v>
      </c>
      <c r="AH656" s="230" t="e">
        <f>T656-HLOOKUP(V656,Minimas!$C$3:$CD$12,8,FALSE)</f>
        <v>#N/A</v>
      </c>
      <c r="AI656" s="230" t="e">
        <f>T656-HLOOKUP(V656,Minimas!$C$3:$CD$12,9,FALSE)</f>
        <v>#N/A</v>
      </c>
      <c r="AJ656" s="230" t="e">
        <f>T656-HLOOKUP(V656,Minimas!$C$3:$CD$12,10,FALSE)</f>
        <v>#N/A</v>
      </c>
      <c r="AK656" s="231" t="str">
        <f t="shared" si="124"/>
        <v xml:space="preserve"> </v>
      </c>
      <c r="AL656" s="232"/>
      <c r="AM656" s="232" t="str">
        <f t="shared" si="125"/>
        <v xml:space="preserve"> </v>
      </c>
      <c r="AN656" s="232" t="str">
        <f t="shared" si="126"/>
        <v xml:space="preserve"> </v>
      </c>
    </row>
    <row r="657" spans="28:40" ht="14" x14ac:dyDescent="0.25">
      <c r="AB657" s="230" t="e">
        <f>T657-HLOOKUP(V657,Minimas!$C$3:$CD$12,2,FALSE)</f>
        <v>#N/A</v>
      </c>
      <c r="AC657" s="230" t="e">
        <f>T657-HLOOKUP(V657,Minimas!$C$3:$CD$12,3,FALSE)</f>
        <v>#N/A</v>
      </c>
      <c r="AD657" s="230" t="e">
        <f>T657-HLOOKUP(V657,Minimas!$C$3:$CD$12,4,FALSE)</f>
        <v>#N/A</v>
      </c>
      <c r="AE657" s="230" t="e">
        <f>T657-HLOOKUP(V657,Minimas!$C$3:$CD$12,5,FALSE)</f>
        <v>#N/A</v>
      </c>
      <c r="AF657" s="230" t="e">
        <f>T657-HLOOKUP(V657,Minimas!$C$3:$CD$12,6,FALSE)</f>
        <v>#N/A</v>
      </c>
      <c r="AG657" s="230" t="e">
        <f>T657-HLOOKUP(V657,Minimas!$C$3:$CD$12,7,FALSE)</f>
        <v>#N/A</v>
      </c>
      <c r="AH657" s="230" t="e">
        <f>T657-HLOOKUP(V657,Minimas!$C$3:$CD$12,8,FALSE)</f>
        <v>#N/A</v>
      </c>
      <c r="AI657" s="230" t="e">
        <f>T657-HLOOKUP(V657,Minimas!$C$3:$CD$12,9,FALSE)</f>
        <v>#N/A</v>
      </c>
      <c r="AJ657" s="230" t="e">
        <f>T657-HLOOKUP(V657,Minimas!$C$3:$CD$12,10,FALSE)</f>
        <v>#N/A</v>
      </c>
      <c r="AK657" s="231" t="str">
        <f t="shared" si="124"/>
        <v xml:space="preserve"> </v>
      </c>
      <c r="AL657" s="232"/>
      <c r="AM657" s="232" t="str">
        <f t="shared" si="125"/>
        <v xml:space="preserve"> </v>
      </c>
      <c r="AN657" s="232" t="str">
        <f t="shared" si="126"/>
        <v xml:space="preserve"> </v>
      </c>
    </row>
    <row r="658" spans="28:40" ht="14" x14ac:dyDescent="0.25">
      <c r="AB658" s="230" t="e">
        <f>T658-HLOOKUP(V658,Minimas!$C$3:$CD$12,2,FALSE)</f>
        <v>#N/A</v>
      </c>
      <c r="AC658" s="230" t="e">
        <f>T658-HLOOKUP(V658,Minimas!$C$3:$CD$12,3,FALSE)</f>
        <v>#N/A</v>
      </c>
      <c r="AD658" s="230" t="e">
        <f>T658-HLOOKUP(V658,Minimas!$C$3:$CD$12,4,FALSE)</f>
        <v>#N/A</v>
      </c>
      <c r="AE658" s="230" t="e">
        <f>T658-HLOOKUP(V658,Minimas!$C$3:$CD$12,5,FALSE)</f>
        <v>#N/A</v>
      </c>
      <c r="AF658" s="230" t="e">
        <f>T658-HLOOKUP(V658,Minimas!$C$3:$CD$12,6,FALSE)</f>
        <v>#N/A</v>
      </c>
      <c r="AG658" s="230" t="e">
        <f>T658-HLOOKUP(V658,Minimas!$C$3:$CD$12,7,FALSE)</f>
        <v>#N/A</v>
      </c>
      <c r="AH658" s="230" t="e">
        <f>T658-HLOOKUP(V658,Minimas!$C$3:$CD$12,8,FALSE)</f>
        <v>#N/A</v>
      </c>
      <c r="AI658" s="230" t="e">
        <f>T658-HLOOKUP(V658,Minimas!$C$3:$CD$12,9,FALSE)</f>
        <v>#N/A</v>
      </c>
      <c r="AJ658" s="230" t="e">
        <f>T658-HLOOKUP(V658,Minimas!$C$3:$CD$12,10,FALSE)</f>
        <v>#N/A</v>
      </c>
      <c r="AK658" s="231" t="str">
        <f t="shared" si="124"/>
        <v xml:space="preserve"> </v>
      </c>
      <c r="AL658" s="232"/>
      <c r="AM658" s="232" t="str">
        <f t="shared" si="125"/>
        <v xml:space="preserve"> </v>
      </c>
      <c r="AN658" s="232" t="str">
        <f t="shared" si="126"/>
        <v xml:space="preserve"> </v>
      </c>
    </row>
    <row r="659" spans="28:40" ht="14" x14ac:dyDescent="0.25">
      <c r="AB659" s="230" t="e">
        <f>T659-HLOOKUP(V659,Minimas!$C$3:$CD$12,2,FALSE)</f>
        <v>#N/A</v>
      </c>
      <c r="AC659" s="230" t="e">
        <f>T659-HLOOKUP(V659,Minimas!$C$3:$CD$12,3,FALSE)</f>
        <v>#N/A</v>
      </c>
      <c r="AD659" s="230" t="e">
        <f>T659-HLOOKUP(V659,Minimas!$C$3:$CD$12,4,FALSE)</f>
        <v>#N/A</v>
      </c>
      <c r="AE659" s="230" t="e">
        <f>T659-HLOOKUP(V659,Minimas!$C$3:$CD$12,5,FALSE)</f>
        <v>#N/A</v>
      </c>
      <c r="AF659" s="230" t="e">
        <f>T659-HLOOKUP(V659,Minimas!$C$3:$CD$12,6,FALSE)</f>
        <v>#N/A</v>
      </c>
      <c r="AG659" s="230" t="e">
        <f>T659-HLOOKUP(V659,Minimas!$C$3:$CD$12,7,FALSE)</f>
        <v>#N/A</v>
      </c>
      <c r="AH659" s="230" t="e">
        <f>T659-HLOOKUP(V659,Minimas!$C$3:$CD$12,8,FALSE)</f>
        <v>#N/A</v>
      </c>
      <c r="AI659" s="230" t="e">
        <f>T659-HLOOKUP(V659,Minimas!$C$3:$CD$12,9,FALSE)</f>
        <v>#N/A</v>
      </c>
      <c r="AJ659" s="230" t="e">
        <f>T659-HLOOKUP(V659,Minimas!$C$3:$CD$12,10,FALSE)</f>
        <v>#N/A</v>
      </c>
      <c r="AK659" s="231" t="str">
        <f t="shared" si="124"/>
        <v xml:space="preserve"> </v>
      </c>
      <c r="AL659" s="232"/>
      <c r="AM659" s="232" t="str">
        <f t="shared" si="125"/>
        <v xml:space="preserve"> </v>
      </c>
      <c r="AN659" s="232" t="str">
        <f t="shared" si="126"/>
        <v xml:space="preserve"> </v>
      </c>
    </row>
    <row r="660" spans="28:40" ht="14" x14ac:dyDescent="0.25">
      <c r="AB660" s="230" t="e">
        <f>T660-HLOOKUP(V660,Minimas!$C$3:$CD$12,2,FALSE)</f>
        <v>#N/A</v>
      </c>
      <c r="AC660" s="230" t="e">
        <f>T660-HLOOKUP(V660,Minimas!$C$3:$CD$12,3,FALSE)</f>
        <v>#N/A</v>
      </c>
      <c r="AD660" s="230" t="e">
        <f>T660-HLOOKUP(V660,Minimas!$C$3:$CD$12,4,FALSE)</f>
        <v>#N/A</v>
      </c>
      <c r="AE660" s="230" t="e">
        <f>T660-HLOOKUP(V660,Minimas!$C$3:$CD$12,5,FALSE)</f>
        <v>#N/A</v>
      </c>
      <c r="AF660" s="230" t="e">
        <f>T660-HLOOKUP(V660,Minimas!$C$3:$CD$12,6,FALSE)</f>
        <v>#N/A</v>
      </c>
      <c r="AG660" s="230" t="e">
        <f>T660-HLOOKUP(V660,Minimas!$C$3:$CD$12,7,FALSE)</f>
        <v>#N/A</v>
      </c>
      <c r="AH660" s="230" t="e">
        <f>T660-HLOOKUP(V660,Minimas!$C$3:$CD$12,8,FALSE)</f>
        <v>#N/A</v>
      </c>
      <c r="AI660" s="230" t="e">
        <f>T660-HLOOKUP(V660,Minimas!$C$3:$CD$12,9,FALSE)</f>
        <v>#N/A</v>
      </c>
      <c r="AJ660" s="230" t="e">
        <f>T660-HLOOKUP(V660,Minimas!$C$3:$CD$12,10,FALSE)</f>
        <v>#N/A</v>
      </c>
      <c r="AK660" s="231" t="str">
        <f t="shared" si="124"/>
        <v xml:space="preserve"> </v>
      </c>
      <c r="AL660" s="232"/>
      <c r="AM660" s="232" t="str">
        <f t="shared" si="125"/>
        <v xml:space="preserve"> </v>
      </c>
      <c r="AN660" s="232" t="str">
        <f t="shared" si="126"/>
        <v xml:space="preserve"> </v>
      </c>
    </row>
    <row r="661" spans="28:40" ht="14" x14ac:dyDescent="0.25">
      <c r="AB661" s="230" t="e">
        <f>T661-HLOOKUP(V661,Minimas!$C$3:$CD$12,2,FALSE)</f>
        <v>#N/A</v>
      </c>
      <c r="AC661" s="230" t="e">
        <f>T661-HLOOKUP(V661,Minimas!$C$3:$CD$12,3,FALSE)</f>
        <v>#N/A</v>
      </c>
      <c r="AD661" s="230" t="e">
        <f>T661-HLOOKUP(V661,Minimas!$C$3:$CD$12,4,FALSE)</f>
        <v>#N/A</v>
      </c>
      <c r="AE661" s="230" t="e">
        <f>T661-HLOOKUP(V661,Minimas!$C$3:$CD$12,5,FALSE)</f>
        <v>#N/A</v>
      </c>
      <c r="AF661" s="230" t="e">
        <f>T661-HLOOKUP(V661,Minimas!$C$3:$CD$12,6,FALSE)</f>
        <v>#N/A</v>
      </c>
      <c r="AG661" s="230" t="e">
        <f>T661-HLOOKUP(V661,Minimas!$C$3:$CD$12,7,FALSE)</f>
        <v>#N/A</v>
      </c>
      <c r="AH661" s="230" t="e">
        <f>T661-HLOOKUP(V661,Minimas!$C$3:$CD$12,8,FALSE)</f>
        <v>#N/A</v>
      </c>
      <c r="AI661" s="230" t="e">
        <f>T661-HLOOKUP(V661,Minimas!$C$3:$CD$12,9,FALSE)</f>
        <v>#N/A</v>
      </c>
      <c r="AJ661" s="230" t="e">
        <f>T661-HLOOKUP(V661,Minimas!$C$3:$CD$12,10,FALSE)</f>
        <v>#N/A</v>
      </c>
      <c r="AK661" s="231" t="str">
        <f t="shared" si="124"/>
        <v xml:space="preserve"> </v>
      </c>
      <c r="AL661" s="232"/>
      <c r="AM661" s="232" t="str">
        <f t="shared" si="125"/>
        <v xml:space="preserve"> </v>
      </c>
      <c r="AN661" s="232" t="str">
        <f t="shared" si="126"/>
        <v xml:space="preserve"> </v>
      </c>
    </row>
    <row r="662" spans="28:40" ht="14" x14ac:dyDescent="0.25">
      <c r="AB662" s="230" t="e">
        <f>T662-HLOOKUP(V662,Minimas!$C$3:$CD$12,2,FALSE)</f>
        <v>#N/A</v>
      </c>
      <c r="AC662" s="230" t="e">
        <f>T662-HLOOKUP(V662,Minimas!$C$3:$CD$12,3,FALSE)</f>
        <v>#N/A</v>
      </c>
      <c r="AD662" s="230" t="e">
        <f>T662-HLOOKUP(V662,Minimas!$C$3:$CD$12,4,FALSE)</f>
        <v>#N/A</v>
      </c>
      <c r="AE662" s="230" t="e">
        <f>T662-HLOOKUP(V662,Minimas!$C$3:$CD$12,5,FALSE)</f>
        <v>#N/A</v>
      </c>
      <c r="AF662" s="230" t="e">
        <f>T662-HLOOKUP(V662,Minimas!$C$3:$CD$12,6,FALSE)</f>
        <v>#N/A</v>
      </c>
      <c r="AG662" s="230" t="e">
        <f>T662-HLOOKUP(V662,Minimas!$C$3:$CD$12,7,FALSE)</f>
        <v>#N/A</v>
      </c>
      <c r="AH662" s="230" t="e">
        <f>T662-HLOOKUP(V662,Minimas!$C$3:$CD$12,8,FALSE)</f>
        <v>#N/A</v>
      </c>
      <c r="AI662" s="230" t="e">
        <f>T662-HLOOKUP(V662,Minimas!$C$3:$CD$12,9,FALSE)</f>
        <v>#N/A</v>
      </c>
      <c r="AJ662" s="230" t="e">
        <f>T662-HLOOKUP(V662,Minimas!$C$3:$CD$12,10,FALSE)</f>
        <v>#N/A</v>
      </c>
      <c r="AK662" s="231" t="str">
        <f t="shared" si="124"/>
        <v xml:space="preserve"> </v>
      </c>
      <c r="AL662" s="232"/>
      <c r="AM662" s="232" t="str">
        <f t="shared" si="125"/>
        <v xml:space="preserve"> </v>
      </c>
      <c r="AN662" s="232" t="str">
        <f t="shared" si="126"/>
        <v xml:space="preserve"> </v>
      </c>
    </row>
    <row r="663" spans="28:40" ht="14" x14ac:dyDescent="0.25">
      <c r="AB663" s="230" t="e">
        <f>T663-HLOOKUP(V663,Minimas!$C$3:$CD$12,2,FALSE)</f>
        <v>#N/A</v>
      </c>
      <c r="AC663" s="230" t="e">
        <f>T663-HLOOKUP(V663,Minimas!$C$3:$CD$12,3,FALSE)</f>
        <v>#N/A</v>
      </c>
      <c r="AD663" s="230" t="e">
        <f>T663-HLOOKUP(V663,Minimas!$C$3:$CD$12,4,FALSE)</f>
        <v>#N/A</v>
      </c>
      <c r="AE663" s="230" t="e">
        <f>T663-HLOOKUP(V663,Minimas!$C$3:$CD$12,5,FALSE)</f>
        <v>#N/A</v>
      </c>
      <c r="AF663" s="230" t="e">
        <f>T663-HLOOKUP(V663,Minimas!$C$3:$CD$12,6,FALSE)</f>
        <v>#N/A</v>
      </c>
      <c r="AG663" s="230" t="e">
        <f>T663-HLOOKUP(V663,Minimas!$C$3:$CD$12,7,FALSE)</f>
        <v>#N/A</v>
      </c>
      <c r="AH663" s="230" t="e">
        <f>T663-HLOOKUP(V663,Minimas!$C$3:$CD$12,8,FALSE)</f>
        <v>#N/A</v>
      </c>
      <c r="AI663" s="230" t="e">
        <f>T663-HLOOKUP(V663,Minimas!$C$3:$CD$12,9,FALSE)</f>
        <v>#N/A</v>
      </c>
      <c r="AJ663" s="230" t="e">
        <f>T663-HLOOKUP(V663,Minimas!$C$3:$CD$12,10,FALSE)</f>
        <v>#N/A</v>
      </c>
      <c r="AK663" s="231" t="str">
        <f t="shared" si="124"/>
        <v xml:space="preserve"> </v>
      </c>
      <c r="AL663" s="232"/>
      <c r="AM663" s="232" t="str">
        <f t="shared" si="125"/>
        <v xml:space="preserve"> </v>
      </c>
      <c r="AN663" s="232" t="str">
        <f t="shared" si="126"/>
        <v xml:space="preserve"> </v>
      </c>
    </row>
    <row r="664" spans="28:40" ht="14" x14ac:dyDescent="0.25">
      <c r="AB664" s="230" t="e">
        <f>T664-HLOOKUP(V664,Minimas!$C$3:$CD$12,2,FALSE)</f>
        <v>#N/A</v>
      </c>
      <c r="AC664" s="230" t="e">
        <f>T664-HLOOKUP(V664,Minimas!$C$3:$CD$12,3,FALSE)</f>
        <v>#N/A</v>
      </c>
      <c r="AD664" s="230" t="e">
        <f>T664-HLOOKUP(V664,Minimas!$C$3:$CD$12,4,FALSE)</f>
        <v>#N/A</v>
      </c>
      <c r="AE664" s="230" t="e">
        <f>T664-HLOOKUP(V664,Minimas!$C$3:$CD$12,5,FALSE)</f>
        <v>#N/A</v>
      </c>
      <c r="AF664" s="230" t="e">
        <f>T664-HLOOKUP(V664,Minimas!$C$3:$CD$12,6,FALSE)</f>
        <v>#N/A</v>
      </c>
      <c r="AG664" s="230" t="e">
        <f>T664-HLOOKUP(V664,Minimas!$C$3:$CD$12,7,FALSE)</f>
        <v>#N/A</v>
      </c>
      <c r="AH664" s="230" t="e">
        <f>T664-HLOOKUP(V664,Minimas!$C$3:$CD$12,8,FALSE)</f>
        <v>#N/A</v>
      </c>
      <c r="AI664" s="230" t="e">
        <f>T664-HLOOKUP(V664,Minimas!$C$3:$CD$12,9,FALSE)</f>
        <v>#N/A</v>
      </c>
      <c r="AJ664" s="230" t="e">
        <f>T664-HLOOKUP(V664,Minimas!$C$3:$CD$12,10,FALSE)</f>
        <v>#N/A</v>
      </c>
      <c r="AK664" s="231" t="str">
        <f t="shared" si="124"/>
        <v xml:space="preserve"> </v>
      </c>
      <c r="AL664" s="232"/>
      <c r="AM664" s="232" t="str">
        <f t="shared" si="125"/>
        <v xml:space="preserve"> </v>
      </c>
      <c r="AN664" s="232" t="str">
        <f t="shared" si="126"/>
        <v xml:space="preserve"> </v>
      </c>
    </row>
    <row r="665" spans="28:40" ht="14" x14ac:dyDescent="0.25">
      <c r="AB665" s="230" t="e">
        <f>T665-HLOOKUP(V665,Minimas!$C$3:$CD$12,2,FALSE)</f>
        <v>#N/A</v>
      </c>
      <c r="AC665" s="230" t="e">
        <f>T665-HLOOKUP(V665,Minimas!$C$3:$CD$12,3,FALSE)</f>
        <v>#N/A</v>
      </c>
      <c r="AD665" s="230" t="e">
        <f>T665-HLOOKUP(V665,Minimas!$C$3:$CD$12,4,FALSE)</f>
        <v>#N/A</v>
      </c>
      <c r="AE665" s="230" t="e">
        <f>T665-HLOOKUP(V665,Minimas!$C$3:$CD$12,5,FALSE)</f>
        <v>#N/A</v>
      </c>
      <c r="AF665" s="230" t="e">
        <f>T665-HLOOKUP(V665,Minimas!$C$3:$CD$12,6,FALSE)</f>
        <v>#N/A</v>
      </c>
      <c r="AG665" s="230" t="e">
        <f>T665-HLOOKUP(V665,Minimas!$C$3:$CD$12,7,FALSE)</f>
        <v>#N/A</v>
      </c>
      <c r="AH665" s="230" t="e">
        <f>T665-HLOOKUP(V665,Minimas!$C$3:$CD$12,8,FALSE)</f>
        <v>#N/A</v>
      </c>
      <c r="AI665" s="230" t="e">
        <f>T665-HLOOKUP(V665,Minimas!$C$3:$CD$12,9,FALSE)</f>
        <v>#N/A</v>
      </c>
      <c r="AJ665" s="230" t="e">
        <f>T665-HLOOKUP(V665,Minimas!$C$3:$CD$12,10,FALSE)</f>
        <v>#N/A</v>
      </c>
      <c r="AK665" s="231" t="str">
        <f t="shared" si="124"/>
        <v xml:space="preserve"> </v>
      </c>
      <c r="AL665" s="232"/>
      <c r="AM665" s="232" t="str">
        <f t="shared" si="125"/>
        <v xml:space="preserve"> </v>
      </c>
      <c r="AN665" s="232" t="str">
        <f t="shared" si="126"/>
        <v xml:space="preserve"> </v>
      </c>
    </row>
    <row r="666" spans="28:40" ht="14" x14ac:dyDescent="0.25">
      <c r="AB666" s="230" t="e">
        <f>T666-HLOOKUP(V666,Minimas!$C$3:$CD$12,2,FALSE)</f>
        <v>#N/A</v>
      </c>
      <c r="AC666" s="230" t="e">
        <f>T666-HLOOKUP(V666,Minimas!$C$3:$CD$12,3,FALSE)</f>
        <v>#N/A</v>
      </c>
      <c r="AD666" s="230" t="e">
        <f>T666-HLOOKUP(V666,Minimas!$C$3:$CD$12,4,FALSE)</f>
        <v>#N/A</v>
      </c>
      <c r="AE666" s="230" t="e">
        <f>T666-HLOOKUP(V666,Minimas!$C$3:$CD$12,5,FALSE)</f>
        <v>#N/A</v>
      </c>
      <c r="AF666" s="230" t="e">
        <f>T666-HLOOKUP(V666,Minimas!$C$3:$CD$12,6,FALSE)</f>
        <v>#N/A</v>
      </c>
      <c r="AG666" s="230" t="e">
        <f>T666-HLOOKUP(V666,Minimas!$C$3:$CD$12,7,FALSE)</f>
        <v>#N/A</v>
      </c>
      <c r="AH666" s="230" t="e">
        <f>T666-HLOOKUP(V666,Minimas!$C$3:$CD$12,8,FALSE)</f>
        <v>#N/A</v>
      </c>
      <c r="AI666" s="230" t="e">
        <f>T666-HLOOKUP(V666,Minimas!$C$3:$CD$12,9,FALSE)</f>
        <v>#N/A</v>
      </c>
      <c r="AJ666" s="230" t="e">
        <f>T666-HLOOKUP(V666,Minimas!$C$3:$CD$12,10,FALSE)</f>
        <v>#N/A</v>
      </c>
      <c r="AK666" s="231" t="str">
        <f t="shared" si="124"/>
        <v xml:space="preserve"> </v>
      </c>
      <c r="AL666" s="232"/>
      <c r="AM666" s="232" t="str">
        <f t="shared" si="125"/>
        <v xml:space="preserve"> </v>
      </c>
      <c r="AN666" s="232" t="str">
        <f t="shared" si="126"/>
        <v xml:space="preserve"> </v>
      </c>
    </row>
    <row r="667" spans="28:40" ht="14" x14ac:dyDescent="0.25">
      <c r="AB667" s="230" t="e">
        <f>T667-HLOOKUP(V667,Minimas!$C$3:$CD$12,2,FALSE)</f>
        <v>#N/A</v>
      </c>
      <c r="AC667" s="230" t="e">
        <f>T667-HLOOKUP(V667,Minimas!$C$3:$CD$12,3,FALSE)</f>
        <v>#N/A</v>
      </c>
      <c r="AD667" s="230" t="e">
        <f>T667-HLOOKUP(V667,Minimas!$C$3:$CD$12,4,FALSE)</f>
        <v>#N/A</v>
      </c>
      <c r="AE667" s="230" t="e">
        <f>T667-HLOOKUP(V667,Minimas!$C$3:$CD$12,5,FALSE)</f>
        <v>#N/A</v>
      </c>
      <c r="AF667" s="230" t="e">
        <f>T667-HLOOKUP(V667,Minimas!$C$3:$CD$12,6,FALSE)</f>
        <v>#N/A</v>
      </c>
      <c r="AG667" s="230" t="e">
        <f>T667-HLOOKUP(V667,Minimas!$C$3:$CD$12,7,FALSE)</f>
        <v>#N/A</v>
      </c>
      <c r="AH667" s="230" t="e">
        <f>T667-HLOOKUP(V667,Minimas!$C$3:$CD$12,8,FALSE)</f>
        <v>#N/A</v>
      </c>
      <c r="AI667" s="230" t="e">
        <f>T667-HLOOKUP(V667,Minimas!$C$3:$CD$12,9,FALSE)</f>
        <v>#N/A</v>
      </c>
      <c r="AJ667" s="230" t="e">
        <f>T667-HLOOKUP(V667,Minimas!$C$3:$CD$12,10,FALSE)</f>
        <v>#N/A</v>
      </c>
      <c r="AK667" s="231" t="str">
        <f t="shared" si="124"/>
        <v xml:space="preserve"> </v>
      </c>
      <c r="AL667" s="232"/>
      <c r="AM667" s="232" t="str">
        <f t="shared" si="125"/>
        <v xml:space="preserve"> </v>
      </c>
      <c r="AN667" s="232" t="str">
        <f t="shared" si="126"/>
        <v xml:space="preserve"> </v>
      </c>
    </row>
    <row r="668" spans="28:40" ht="14" x14ac:dyDescent="0.25">
      <c r="AB668" s="230" t="e">
        <f>T668-HLOOKUP(V668,Minimas!$C$3:$CD$12,2,FALSE)</f>
        <v>#N/A</v>
      </c>
      <c r="AC668" s="230" t="e">
        <f>T668-HLOOKUP(V668,Minimas!$C$3:$CD$12,3,FALSE)</f>
        <v>#N/A</v>
      </c>
      <c r="AD668" s="230" t="e">
        <f>T668-HLOOKUP(V668,Minimas!$C$3:$CD$12,4,FALSE)</f>
        <v>#N/A</v>
      </c>
      <c r="AE668" s="230" t="e">
        <f>T668-HLOOKUP(V668,Minimas!$C$3:$CD$12,5,FALSE)</f>
        <v>#N/A</v>
      </c>
      <c r="AF668" s="230" t="e">
        <f>T668-HLOOKUP(V668,Minimas!$C$3:$CD$12,6,FALSE)</f>
        <v>#N/A</v>
      </c>
      <c r="AG668" s="230" t="e">
        <f>T668-HLOOKUP(V668,Minimas!$C$3:$CD$12,7,FALSE)</f>
        <v>#N/A</v>
      </c>
      <c r="AH668" s="230" t="e">
        <f>T668-HLOOKUP(V668,Minimas!$C$3:$CD$12,8,FALSE)</f>
        <v>#N/A</v>
      </c>
      <c r="AI668" s="230" t="e">
        <f>T668-HLOOKUP(V668,Minimas!$C$3:$CD$12,9,FALSE)</f>
        <v>#N/A</v>
      </c>
      <c r="AJ668" s="230" t="e">
        <f>T668-HLOOKUP(V668,Minimas!$C$3:$CD$12,10,FALSE)</f>
        <v>#N/A</v>
      </c>
      <c r="AK668" s="231" t="str">
        <f t="shared" si="124"/>
        <v xml:space="preserve"> </v>
      </c>
      <c r="AL668" s="232"/>
      <c r="AM668" s="232" t="str">
        <f t="shared" si="125"/>
        <v xml:space="preserve"> </v>
      </c>
      <c r="AN668" s="232" t="str">
        <f t="shared" si="126"/>
        <v xml:space="preserve"> </v>
      </c>
    </row>
    <row r="669" spans="28:40" ht="14" x14ac:dyDescent="0.25">
      <c r="AB669" s="230" t="e">
        <f>T669-HLOOKUP(V669,Minimas!$C$3:$CD$12,2,FALSE)</f>
        <v>#N/A</v>
      </c>
      <c r="AC669" s="230" t="e">
        <f>T669-HLOOKUP(V669,Minimas!$C$3:$CD$12,3,FALSE)</f>
        <v>#N/A</v>
      </c>
      <c r="AD669" s="230" t="e">
        <f>T669-HLOOKUP(V669,Minimas!$C$3:$CD$12,4,FALSE)</f>
        <v>#N/A</v>
      </c>
      <c r="AE669" s="230" t="e">
        <f>T669-HLOOKUP(V669,Minimas!$C$3:$CD$12,5,FALSE)</f>
        <v>#N/A</v>
      </c>
      <c r="AF669" s="230" t="e">
        <f>T669-HLOOKUP(V669,Minimas!$C$3:$CD$12,6,FALSE)</f>
        <v>#N/A</v>
      </c>
      <c r="AG669" s="230" t="e">
        <f>T669-HLOOKUP(V669,Minimas!$C$3:$CD$12,7,FALSE)</f>
        <v>#N/A</v>
      </c>
      <c r="AH669" s="230" t="e">
        <f>T669-HLOOKUP(V669,Minimas!$C$3:$CD$12,8,FALSE)</f>
        <v>#N/A</v>
      </c>
      <c r="AI669" s="230" t="e">
        <f>T669-HLOOKUP(V669,Minimas!$C$3:$CD$12,9,FALSE)</f>
        <v>#N/A</v>
      </c>
      <c r="AJ669" s="230" t="e">
        <f>T669-HLOOKUP(V669,Minimas!$C$3:$CD$12,10,FALSE)</f>
        <v>#N/A</v>
      </c>
      <c r="AK669" s="231" t="str">
        <f t="shared" si="124"/>
        <v xml:space="preserve"> </v>
      </c>
      <c r="AL669" s="232"/>
      <c r="AM669" s="232" t="str">
        <f t="shared" si="125"/>
        <v xml:space="preserve"> </v>
      </c>
      <c r="AN669" s="232" t="str">
        <f t="shared" si="126"/>
        <v xml:space="preserve"> </v>
      </c>
    </row>
    <row r="670" spans="28:40" ht="14" x14ac:dyDescent="0.25">
      <c r="AB670" s="230" t="e">
        <f>T670-HLOOKUP(V670,Minimas!$C$3:$CD$12,2,FALSE)</f>
        <v>#N/A</v>
      </c>
      <c r="AC670" s="230" t="e">
        <f>T670-HLOOKUP(V670,Minimas!$C$3:$CD$12,3,FALSE)</f>
        <v>#N/A</v>
      </c>
      <c r="AD670" s="230" t="e">
        <f>T670-HLOOKUP(V670,Minimas!$C$3:$CD$12,4,FALSE)</f>
        <v>#N/A</v>
      </c>
      <c r="AE670" s="230" t="e">
        <f>T670-HLOOKUP(V670,Minimas!$C$3:$CD$12,5,FALSE)</f>
        <v>#N/A</v>
      </c>
      <c r="AF670" s="230" t="e">
        <f>T670-HLOOKUP(V670,Minimas!$C$3:$CD$12,6,FALSE)</f>
        <v>#N/A</v>
      </c>
      <c r="AG670" s="230" t="e">
        <f>T670-HLOOKUP(V670,Minimas!$C$3:$CD$12,7,FALSE)</f>
        <v>#N/A</v>
      </c>
      <c r="AH670" s="230" t="e">
        <f>T670-HLOOKUP(V670,Minimas!$C$3:$CD$12,8,FALSE)</f>
        <v>#N/A</v>
      </c>
      <c r="AI670" s="230" t="e">
        <f>T670-HLOOKUP(V670,Minimas!$C$3:$CD$12,9,FALSE)</f>
        <v>#N/A</v>
      </c>
      <c r="AJ670" s="230" t="e">
        <f>T670-HLOOKUP(V670,Minimas!$C$3:$CD$12,10,FALSE)</f>
        <v>#N/A</v>
      </c>
      <c r="AK670" s="231" t="str">
        <f t="shared" si="124"/>
        <v xml:space="preserve"> </v>
      </c>
      <c r="AL670" s="232"/>
      <c r="AM670" s="232" t="str">
        <f t="shared" si="125"/>
        <v xml:space="preserve"> </v>
      </c>
      <c r="AN670" s="232" t="str">
        <f t="shared" si="126"/>
        <v xml:space="preserve"> </v>
      </c>
    </row>
    <row r="671" spans="28:40" ht="14" x14ac:dyDescent="0.25">
      <c r="AB671" s="230" t="e">
        <f>T671-HLOOKUP(V671,Minimas!$C$3:$CD$12,2,FALSE)</f>
        <v>#N/A</v>
      </c>
      <c r="AC671" s="230" t="e">
        <f>T671-HLOOKUP(V671,Minimas!$C$3:$CD$12,3,FALSE)</f>
        <v>#N/A</v>
      </c>
      <c r="AD671" s="230" t="e">
        <f>T671-HLOOKUP(V671,Minimas!$C$3:$CD$12,4,FALSE)</f>
        <v>#N/A</v>
      </c>
      <c r="AE671" s="230" t="e">
        <f>T671-HLOOKUP(V671,Minimas!$C$3:$CD$12,5,FALSE)</f>
        <v>#N/A</v>
      </c>
      <c r="AF671" s="230" t="e">
        <f>T671-HLOOKUP(V671,Minimas!$C$3:$CD$12,6,FALSE)</f>
        <v>#N/A</v>
      </c>
      <c r="AG671" s="230" t="e">
        <f>T671-HLOOKUP(V671,Minimas!$C$3:$CD$12,7,FALSE)</f>
        <v>#N/A</v>
      </c>
      <c r="AH671" s="230" t="e">
        <f>T671-HLOOKUP(V671,Minimas!$C$3:$CD$12,8,FALSE)</f>
        <v>#N/A</v>
      </c>
      <c r="AI671" s="230" t="e">
        <f>T671-HLOOKUP(V671,Minimas!$C$3:$CD$12,9,FALSE)</f>
        <v>#N/A</v>
      </c>
      <c r="AJ671" s="230" t="e">
        <f>T671-HLOOKUP(V671,Minimas!$C$3:$CD$12,10,FALSE)</f>
        <v>#N/A</v>
      </c>
      <c r="AK671" s="231" t="str">
        <f t="shared" si="124"/>
        <v xml:space="preserve"> </v>
      </c>
      <c r="AL671" s="232"/>
      <c r="AM671" s="232" t="str">
        <f t="shared" si="125"/>
        <v xml:space="preserve"> </v>
      </c>
      <c r="AN671" s="232" t="str">
        <f t="shared" si="126"/>
        <v xml:space="preserve"> </v>
      </c>
    </row>
    <row r="672" spans="28:40" ht="14" x14ac:dyDescent="0.25">
      <c r="AB672" s="230" t="e">
        <f>T672-HLOOKUP(V672,Minimas!$C$3:$CD$12,2,FALSE)</f>
        <v>#N/A</v>
      </c>
      <c r="AC672" s="230" t="e">
        <f>T672-HLOOKUP(V672,Minimas!$C$3:$CD$12,3,FALSE)</f>
        <v>#N/A</v>
      </c>
      <c r="AD672" s="230" t="e">
        <f>T672-HLOOKUP(V672,Minimas!$C$3:$CD$12,4,FALSE)</f>
        <v>#N/A</v>
      </c>
      <c r="AE672" s="230" t="e">
        <f>T672-HLOOKUP(V672,Minimas!$C$3:$CD$12,5,FALSE)</f>
        <v>#N/A</v>
      </c>
      <c r="AF672" s="230" t="e">
        <f>T672-HLOOKUP(V672,Minimas!$C$3:$CD$12,6,FALSE)</f>
        <v>#N/A</v>
      </c>
      <c r="AG672" s="230" t="e">
        <f>T672-HLOOKUP(V672,Minimas!$C$3:$CD$12,7,FALSE)</f>
        <v>#N/A</v>
      </c>
      <c r="AH672" s="230" t="e">
        <f>T672-HLOOKUP(V672,Minimas!$C$3:$CD$12,8,FALSE)</f>
        <v>#N/A</v>
      </c>
      <c r="AI672" s="230" t="e">
        <f>T672-HLOOKUP(V672,Minimas!$C$3:$CD$12,9,FALSE)</f>
        <v>#N/A</v>
      </c>
      <c r="AJ672" s="230" t="e">
        <f>T672-HLOOKUP(V672,Minimas!$C$3:$CD$12,10,FALSE)</f>
        <v>#N/A</v>
      </c>
      <c r="AK672" s="231" t="str">
        <f t="shared" si="124"/>
        <v xml:space="preserve"> </v>
      </c>
      <c r="AL672" s="232"/>
      <c r="AM672" s="232" t="str">
        <f t="shared" si="125"/>
        <v xml:space="preserve"> </v>
      </c>
      <c r="AN672" s="232" t="str">
        <f t="shared" si="126"/>
        <v xml:space="preserve"> </v>
      </c>
    </row>
    <row r="673" spans="28:40" ht="14" x14ac:dyDescent="0.25">
      <c r="AB673" s="230" t="e">
        <f>T673-HLOOKUP(V673,Minimas!$C$3:$CD$12,2,FALSE)</f>
        <v>#N/A</v>
      </c>
      <c r="AC673" s="230" t="e">
        <f>T673-HLOOKUP(V673,Minimas!$C$3:$CD$12,3,FALSE)</f>
        <v>#N/A</v>
      </c>
      <c r="AD673" s="230" t="e">
        <f>T673-HLOOKUP(V673,Minimas!$C$3:$CD$12,4,FALSE)</f>
        <v>#N/A</v>
      </c>
      <c r="AE673" s="230" t="e">
        <f>T673-HLOOKUP(V673,Minimas!$C$3:$CD$12,5,FALSE)</f>
        <v>#N/A</v>
      </c>
      <c r="AF673" s="230" t="e">
        <f>T673-HLOOKUP(V673,Minimas!$C$3:$CD$12,6,FALSE)</f>
        <v>#N/A</v>
      </c>
      <c r="AG673" s="230" t="e">
        <f>T673-HLOOKUP(V673,Minimas!$C$3:$CD$12,7,FALSE)</f>
        <v>#N/A</v>
      </c>
      <c r="AH673" s="230" t="e">
        <f>T673-HLOOKUP(V673,Minimas!$C$3:$CD$12,8,FALSE)</f>
        <v>#N/A</v>
      </c>
      <c r="AI673" s="230" t="e">
        <f>T673-HLOOKUP(V673,Minimas!$C$3:$CD$12,9,FALSE)</f>
        <v>#N/A</v>
      </c>
      <c r="AJ673" s="230" t="e">
        <f>T673-HLOOKUP(V673,Minimas!$C$3:$CD$12,10,FALSE)</f>
        <v>#N/A</v>
      </c>
      <c r="AK673" s="231" t="str">
        <f t="shared" si="124"/>
        <v xml:space="preserve"> </v>
      </c>
      <c r="AL673" s="232"/>
      <c r="AM673" s="232" t="str">
        <f t="shared" si="125"/>
        <v xml:space="preserve"> </v>
      </c>
      <c r="AN673" s="232" t="str">
        <f t="shared" si="126"/>
        <v xml:space="preserve"> </v>
      </c>
    </row>
    <row r="674" spans="28:40" ht="14" x14ac:dyDescent="0.25">
      <c r="AB674" s="230" t="e">
        <f>T674-HLOOKUP(V674,Minimas!$C$3:$CD$12,2,FALSE)</f>
        <v>#N/A</v>
      </c>
      <c r="AC674" s="230" t="e">
        <f>T674-HLOOKUP(V674,Minimas!$C$3:$CD$12,3,FALSE)</f>
        <v>#N/A</v>
      </c>
      <c r="AD674" s="230" t="e">
        <f>T674-HLOOKUP(V674,Minimas!$C$3:$CD$12,4,FALSE)</f>
        <v>#N/A</v>
      </c>
      <c r="AE674" s="230" t="e">
        <f>T674-HLOOKUP(V674,Minimas!$C$3:$CD$12,5,FALSE)</f>
        <v>#N/A</v>
      </c>
      <c r="AF674" s="230" t="e">
        <f>T674-HLOOKUP(V674,Minimas!$C$3:$CD$12,6,FALSE)</f>
        <v>#N/A</v>
      </c>
      <c r="AG674" s="230" t="e">
        <f>T674-HLOOKUP(V674,Minimas!$C$3:$CD$12,7,FALSE)</f>
        <v>#N/A</v>
      </c>
      <c r="AH674" s="230" t="e">
        <f>T674-HLOOKUP(V674,Minimas!$C$3:$CD$12,8,FALSE)</f>
        <v>#N/A</v>
      </c>
      <c r="AI674" s="230" t="e">
        <f>T674-HLOOKUP(V674,Minimas!$C$3:$CD$12,9,FALSE)</f>
        <v>#N/A</v>
      </c>
      <c r="AJ674" s="230" t="e">
        <f>T674-HLOOKUP(V674,Minimas!$C$3:$CD$12,10,FALSE)</f>
        <v>#N/A</v>
      </c>
      <c r="AK674" s="231" t="str">
        <f t="shared" si="124"/>
        <v xml:space="preserve"> </v>
      </c>
      <c r="AL674" s="232"/>
      <c r="AM674" s="232" t="str">
        <f t="shared" si="125"/>
        <v xml:space="preserve"> </v>
      </c>
      <c r="AN674" s="232" t="str">
        <f t="shared" si="126"/>
        <v xml:space="preserve"> </v>
      </c>
    </row>
    <row r="675" spans="28:40" ht="14" x14ac:dyDescent="0.25">
      <c r="AB675" s="230" t="e">
        <f>T675-HLOOKUP(V675,Minimas!$C$3:$CD$12,2,FALSE)</f>
        <v>#N/A</v>
      </c>
      <c r="AC675" s="230" t="e">
        <f>T675-HLOOKUP(V675,Minimas!$C$3:$CD$12,3,FALSE)</f>
        <v>#N/A</v>
      </c>
      <c r="AD675" s="230" t="e">
        <f>T675-HLOOKUP(V675,Minimas!$C$3:$CD$12,4,FALSE)</f>
        <v>#N/A</v>
      </c>
      <c r="AE675" s="230" t="e">
        <f>T675-HLOOKUP(V675,Minimas!$C$3:$CD$12,5,FALSE)</f>
        <v>#N/A</v>
      </c>
      <c r="AF675" s="230" t="e">
        <f>T675-HLOOKUP(V675,Minimas!$C$3:$CD$12,6,FALSE)</f>
        <v>#N/A</v>
      </c>
      <c r="AG675" s="230" t="e">
        <f>T675-HLOOKUP(V675,Minimas!$C$3:$CD$12,7,FALSE)</f>
        <v>#N/A</v>
      </c>
      <c r="AH675" s="230" t="e">
        <f>T675-HLOOKUP(V675,Minimas!$C$3:$CD$12,8,FALSE)</f>
        <v>#N/A</v>
      </c>
      <c r="AI675" s="230" t="e">
        <f>T675-HLOOKUP(V675,Minimas!$C$3:$CD$12,9,FALSE)</f>
        <v>#N/A</v>
      </c>
      <c r="AJ675" s="230" t="e">
        <f>T675-HLOOKUP(V675,Minimas!$C$3:$CD$12,10,FALSE)</f>
        <v>#N/A</v>
      </c>
      <c r="AK675" s="231" t="str">
        <f t="shared" si="124"/>
        <v xml:space="preserve"> </v>
      </c>
      <c r="AL675" s="232"/>
      <c r="AM675" s="232" t="str">
        <f t="shared" si="125"/>
        <v xml:space="preserve"> </v>
      </c>
      <c r="AN675" s="232" t="str">
        <f t="shared" si="126"/>
        <v xml:space="preserve"> </v>
      </c>
    </row>
    <row r="676" spans="28:40" ht="14" x14ac:dyDescent="0.25">
      <c r="AB676" s="230" t="e">
        <f>T676-HLOOKUP(V676,Minimas!$C$3:$CD$12,2,FALSE)</f>
        <v>#N/A</v>
      </c>
      <c r="AC676" s="230" t="e">
        <f>T676-HLOOKUP(V676,Minimas!$C$3:$CD$12,3,FALSE)</f>
        <v>#N/A</v>
      </c>
      <c r="AD676" s="230" t="e">
        <f>T676-HLOOKUP(V676,Minimas!$C$3:$CD$12,4,FALSE)</f>
        <v>#N/A</v>
      </c>
      <c r="AE676" s="230" t="e">
        <f>T676-HLOOKUP(V676,Minimas!$C$3:$CD$12,5,FALSE)</f>
        <v>#N/A</v>
      </c>
      <c r="AF676" s="230" t="e">
        <f>T676-HLOOKUP(V676,Minimas!$C$3:$CD$12,6,FALSE)</f>
        <v>#N/A</v>
      </c>
      <c r="AG676" s="230" t="e">
        <f>T676-HLOOKUP(V676,Minimas!$C$3:$CD$12,7,FALSE)</f>
        <v>#N/A</v>
      </c>
      <c r="AH676" s="230" t="e">
        <f>T676-HLOOKUP(V676,Minimas!$C$3:$CD$12,8,FALSE)</f>
        <v>#N/A</v>
      </c>
      <c r="AI676" s="230" t="e">
        <f>T676-HLOOKUP(V676,Minimas!$C$3:$CD$12,9,FALSE)</f>
        <v>#N/A</v>
      </c>
      <c r="AJ676" s="230" t="e">
        <f>T676-HLOOKUP(V676,Minimas!$C$3:$CD$12,10,FALSE)</f>
        <v>#N/A</v>
      </c>
      <c r="AK676" s="231" t="str">
        <f t="shared" si="124"/>
        <v xml:space="preserve"> </v>
      </c>
      <c r="AL676" s="232"/>
      <c r="AM676" s="232" t="str">
        <f t="shared" si="125"/>
        <v xml:space="preserve"> </v>
      </c>
      <c r="AN676" s="232" t="str">
        <f t="shared" si="126"/>
        <v xml:space="preserve"> </v>
      </c>
    </row>
    <row r="677" spans="28:40" ht="14" x14ac:dyDescent="0.25">
      <c r="AB677" s="230" t="e">
        <f>T677-HLOOKUP(V677,Minimas!$C$3:$CD$12,2,FALSE)</f>
        <v>#N/A</v>
      </c>
      <c r="AC677" s="230" t="e">
        <f>T677-HLOOKUP(V677,Minimas!$C$3:$CD$12,3,FALSE)</f>
        <v>#N/A</v>
      </c>
      <c r="AD677" s="230" t="e">
        <f>T677-HLOOKUP(V677,Minimas!$C$3:$CD$12,4,FALSE)</f>
        <v>#N/A</v>
      </c>
      <c r="AE677" s="230" t="e">
        <f>T677-HLOOKUP(V677,Minimas!$C$3:$CD$12,5,FALSE)</f>
        <v>#N/A</v>
      </c>
      <c r="AF677" s="230" t="e">
        <f>T677-HLOOKUP(V677,Minimas!$C$3:$CD$12,6,FALSE)</f>
        <v>#N/A</v>
      </c>
      <c r="AG677" s="230" t="e">
        <f>T677-HLOOKUP(V677,Minimas!$C$3:$CD$12,7,FALSE)</f>
        <v>#N/A</v>
      </c>
      <c r="AH677" s="230" t="e">
        <f>T677-HLOOKUP(V677,Minimas!$C$3:$CD$12,8,FALSE)</f>
        <v>#N/A</v>
      </c>
      <c r="AI677" s="230" t="e">
        <f>T677-HLOOKUP(V677,Minimas!$C$3:$CD$12,9,FALSE)</f>
        <v>#N/A</v>
      </c>
      <c r="AJ677" s="230" t="e">
        <f>T677-HLOOKUP(V677,Minimas!$C$3:$CD$12,10,FALSE)</f>
        <v>#N/A</v>
      </c>
      <c r="AK677" s="231" t="str">
        <f t="shared" si="124"/>
        <v xml:space="preserve"> </v>
      </c>
      <c r="AL677" s="232"/>
      <c r="AM677" s="232" t="str">
        <f t="shared" si="125"/>
        <v xml:space="preserve"> </v>
      </c>
      <c r="AN677" s="232" t="str">
        <f t="shared" si="126"/>
        <v xml:space="preserve"> </v>
      </c>
    </row>
    <row r="678" spans="28:40" ht="14" x14ac:dyDescent="0.25">
      <c r="AB678" s="230" t="e">
        <f>T678-HLOOKUP(V678,Minimas!$C$3:$CD$12,2,FALSE)</f>
        <v>#N/A</v>
      </c>
      <c r="AC678" s="230" t="e">
        <f>T678-HLOOKUP(V678,Minimas!$C$3:$CD$12,3,FALSE)</f>
        <v>#N/A</v>
      </c>
      <c r="AD678" s="230" t="e">
        <f>T678-HLOOKUP(V678,Minimas!$C$3:$CD$12,4,FALSE)</f>
        <v>#N/A</v>
      </c>
      <c r="AE678" s="230" t="e">
        <f>T678-HLOOKUP(V678,Minimas!$C$3:$CD$12,5,FALSE)</f>
        <v>#N/A</v>
      </c>
      <c r="AF678" s="230" t="e">
        <f>T678-HLOOKUP(V678,Minimas!$C$3:$CD$12,6,FALSE)</f>
        <v>#N/A</v>
      </c>
      <c r="AG678" s="230" t="e">
        <f>T678-HLOOKUP(V678,Minimas!$C$3:$CD$12,7,FALSE)</f>
        <v>#N/A</v>
      </c>
      <c r="AH678" s="230" t="e">
        <f>T678-HLOOKUP(V678,Minimas!$C$3:$CD$12,8,FALSE)</f>
        <v>#N/A</v>
      </c>
      <c r="AI678" s="230" t="e">
        <f>T678-HLOOKUP(V678,Minimas!$C$3:$CD$12,9,FALSE)</f>
        <v>#N/A</v>
      </c>
      <c r="AJ678" s="230" t="e">
        <f>T678-HLOOKUP(V678,Minimas!$C$3:$CD$12,10,FALSE)</f>
        <v>#N/A</v>
      </c>
      <c r="AK678" s="231" t="str">
        <f t="shared" si="124"/>
        <v xml:space="preserve"> </v>
      </c>
      <c r="AL678" s="232"/>
      <c r="AM678" s="232" t="str">
        <f t="shared" si="125"/>
        <v xml:space="preserve"> </v>
      </c>
      <c r="AN678" s="232" t="str">
        <f t="shared" si="126"/>
        <v xml:space="preserve"> </v>
      </c>
    </row>
    <row r="679" spans="28:40" ht="14" x14ac:dyDescent="0.25">
      <c r="AB679" s="230" t="e">
        <f>T679-HLOOKUP(V679,Minimas!$C$3:$CD$12,2,FALSE)</f>
        <v>#N/A</v>
      </c>
      <c r="AC679" s="230" t="e">
        <f>T679-HLOOKUP(V679,Minimas!$C$3:$CD$12,3,FALSE)</f>
        <v>#N/A</v>
      </c>
      <c r="AD679" s="230" t="e">
        <f>T679-HLOOKUP(V679,Minimas!$C$3:$CD$12,4,FALSE)</f>
        <v>#N/A</v>
      </c>
      <c r="AE679" s="230" t="e">
        <f>T679-HLOOKUP(V679,Minimas!$C$3:$CD$12,5,FALSE)</f>
        <v>#N/A</v>
      </c>
      <c r="AF679" s="230" t="e">
        <f>T679-HLOOKUP(V679,Minimas!$C$3:$CD$12,6,FALSE)</f>
        <v>#N/A</v>
      </c>
      <c r="AG679" s="230" t="e">
        <f>T679-HLOOKUP(V679,Minimas!$C$3:$CD$12,7,FALSE)</f>
        <v>#N/A</v>
      </c>
      <c r="AH679" s="230" t="e">
        <f>T679-HLOOKUP(V679,Minimas!$C$3:$CD$12,8,FALSE)</f>
        <v>#N/A</v>
      </c>
      <c r="AI679" s="230" t="e">
        <f>T679-HLOOKUP(V679,Minimas!$C$3:$CD$12,9,FALSE)</f>
        <v>#N/A</v>
      </c>
      <c r="AJ679" s="230" t="e">
        <f>T679-HLOOKUP(V679,Minimas!$C$3:$CD$12,10,FALSE)</f>
        <v>#N/A</v>
      </c>
      <c r="AK679" s="231" t="str">
        <f t="shared" si="124"/>
        <v xml:space="preserve"> </v>
      </c>
      <c r="AL679" s="232"/>
      <c r="AM679" s="232" t="str">
        <f t="shared" si="125"/>
        <v xml:space="preserve"> </v>
      </c>
      <c r="AN679" s="232" t="str">
        <f t="shared" si="126"/>
        <v xml:space="preserve"> </v>
      </c>
    </row>
    <row r="680" spans="28:40" ht="14" x14ac:dyDescent="0.25">
      <c r="AB680" s="230" t="e">
        <f>T680-HLOOKUP(V680,Minimas!$C$3:$CD$12,2,FALSE)</f>
        <v>#N/A</v>
      </c>
      <c r="AC680" s="230" t="e">
        <f>T680-HLOOKUP(V680,Minimas!$C$3:$CD$12,3,FALSE)</f>
        <v>#N/A</v>
      </c>
      <c r="AD680" s="230" t="e">
        <f>T680-HLOOKUP(V680,Minimas!$C$3:$CD$12,4,FALSE)</f>
        <v>#N/A</v>
      </c>
      <c r="AE680" s="230" t="e">
        <f>T680-HLOOKUP(V680,Minimas!$C$3:$CD$12,5,FALSE)</f>
        <v>#N/A</v>
      </c>
      <c r="AF680" s="230" t="e">
        <f>T680-HLOOKUP(V680,Minimas!$C$3:$CD$12,6,FALSE)</f>
        <v>#N/A</v>
      </c>
      <c r="AG680" s="230" t="e">
        <f>T680-HLOOKUP(V680,Minimas!$C$3:$CD$12,7,FALSE)</f>
        <v>#N/A</v>
      </c>
      <c r="AH680" s="230" t="e">
        <f>T680-HLOOKUP(V680,Minimas!$C$3:$CD$12,8,FALSE)</f>
        <v>#N/A</v>
      </c>
      <c r="AI680" s="230" t="e">
        <f>T680-HLOOKUP(V680,Minimas!$C$3:$CD$12,9,FALSE)</f>
        <v>#N/A</v>
      </c>
      <c r="AJ680" s="230" t="e">
        <f>T680-HLOOKUP(V680,Minimas!$C$3:$CD$12,10,FALSE)</f>
        <v>#N/A</v>
      </c>
      <c r="AK680" s="231" t="str">
        <f t="shared" si="124"/>
        <v xml:space="preserve"> </v>
      </c>
      <c r="AL680" s="232"/>
      <c r="AM680" s="232" t="str">
        <f t="shared" si="125"/>
        <v xml:space="preserve"> </v>
      </c>
      <c r="AN680" s="232" t="str">
        <f t="shared" si="126"/>
        <v xml:space="preserve"> </v>
      </c>
    </row>
    <row r="681" spans="28:40" ht="14" x14ac:dyDescent="0.25">
      <c r="AB681" s="230" t="e">
        <f>T681-HLOOKUP(V681,Minimas!$C$3:$CD$12,2,FALSE)</f>
        <v>#N/A</v>
      </c>
      <c r="AC681" s="230" t="e">
        <f>T681-HLOOKUP(V681,Minimas!$C$3:$CD$12,3,FALSE)</f>
        <v>#N/A</v>
      </c>
      <c r="AD681" s="230" t="e">
        <f>T681-HLOOKUP(V681,Minimas!$C$3:$CD$12,4,FALSE)</f>
        <v>#N/A</v>
      </c>
      <c r="AE681" s="230" t="e">
        <f>T681-HLOOKUP(V681,Minimas!$C$3:$CD$12,5,FALSE)</f>
        <v>#N/A</v>
      </c>
      <c r="AF681" s="230" t="e">
        <f>T681-HLOOKUP(V681,Minimas!$C$3:$CD$12,6,FALSE)</f>
        <v>#N/A</v>
      </c>
      <c r="AG681" s="230" t="e">
        <f>T681-HLOOKUP(V681,Minimas!$C$3:$CD$12,7,FALSE)</f>
        <v>#N/A</v>
      </c>
      <c r="AH681" s="230" t="e">
        <f>T681-HLOOKUP(V681,Minimas!$C$3:$CD$12,8,FALSE)</f>
        <v>#N/A</v>
      </c>
      <c r="AI681" s="230" t="e">
        <f>T681-HLOOKUP(V681,Minimas!$C$3:$CD$12,9,FALSE)</f>
        <v>#N/A</v>
      </c>
      <c r="AJ681" s="230" t="e">
        <f>T681-HLOOKUP(V681,Minimas!$C$3:$CD$12,10,FALSE)</f>
        <v>#N/A</v>
      </c>
      <c r="AK681" s="231" t="str">
        <f t="shared" si="124"/>
        <v xml:space="preserve"> </v>
      </c>
      <c r="AL681" s="232"/>
      <c r="AM681" s="232" t="str">
        <f t="shared" si="125"/>
        <v xml:space="preserve"> </v>
      </c>
      <c r="AN681" s="232" t="str">
        <f t="shared" si="126"/>
        <v xml:space="preserve"> </v>
      </c>
    </row>
    <row r="682" spans="28:40" ht="14" x14ac:dyDescent="0.25">
      <c r="AB682" s="230" t="e">
        <f>T682-HLOOKUP(V682,Minimas!$C$3:$CD$12,2,FALSE)</f>
        <v>#N/A</v>
      </c>
      <c r="AC682" s="230" t="e">
        <f>T682-HLOOKUP(V682,Minimas!$C$3:$CD$12,3,FALSE)</f>
        <v>#N/A</v>
      </c>
      <c r="AD682" s="230" t="e">
        <f>T682-HLOOKUP(V682,Minimas!$C$3:$CD$12,4,FALSE)</f>
        <v>#N/A</v>
      </c>
      <c r="AE682" s="230" t="e">
        <f>T682-HLOOKUP(V682,Minimas!$C$3:$CD$12,5,FALSE)</f>
        <v>#N/A</v>
      </c>
      <c r="AF682" s="230" t="e">
        <f>T682-HLOOKUP(V682,Minimas!$C$3:$CD$12,6,FALSE)</f>
        <v>#N/A</v>
      </c>
      <c r="AG682" s="230" t="e">
        <f>T682-HLOOKUP(V682,Minimas!$C$3:$CD$12,7,FALSE)</f>
        <v>#N/A</v>
      </c>
      <c r="AH682" s="230" t="e">
        <f>T682-HLOOKUP(V682,Minimas!$C$3:$CD$12,8,FALSE)</f>
        <v>#N/A</v>
      </c>
      <c r="AI682" s="230" t="e">
        <f>T682-HLOOKUP(V682,Minimas!$C$3:$CD$12,9,FALSE)</f>
        <v>#N/A</v>
      </c>
      <c r="AJ682" s="230" t="e">
        <f>T682-HLOOKUP(V682,Minimas!$C$3:$CD$12,10,FALSE)</f>
        <v>#N/A</v>
      </c>
      <c r="AK682" s="231" t="str">
        <f t="shared" si="124"/>
        <v xml:space="preserve"> </v>
      </c>
      <c r="AL682" s="232"/>
      <c r="AM682" s="232" t="str">
        <f t="shared" si="125"/>
        <v xml:space="preserve"> </v>
      </c>
      <c r="AN682" s="232" t="str">
        <f t="shared" si="126"/>
        <v xml:space="preserve"> </v>
      </c>
    </row>
    <row r="683" spans="28:40" ht="14" x14ac:dyDescent="0.25">
      <c r="AB683" s="230" t="e">
        <f>T683-HLOOKUP(V683,Minimas!$C$3:$CD$12,2,FALSE)</f>
        <v>#N/A</v>
      </c>
      <c r="AC683" s="230" t="e">
        <f>T683-HLOOKUP(V683,Minimas!$C$3:$CD$12,3,FALSE)</f>
        <v>#N/A</v>
      </c>
      <c r="AD683" s="230" t="e">
        <f>T683-HLOOKUP(V683,Minimas!$C$3:$CD$12,4,FALSE)</f>
        <v>#N/A</v>
      </c>
      <c r="AE683" s="230" t="e">
        <f>T683-HLOOKUP(V683,Minimas!$C$3:$CD$12,5,FALSE)</f>
        <v>#N/A</v>
      </c>
      <c r="AF683" s="230" t="e">
        <f>T683-HLOOKUP(V683,Minimas!$C$3:$CD$12,6,FALSE)</f>
        <v>#N/A</v>
      </c>
      <c r="AG683" s="230" t="e">
        <f>T683-HLOOKUP(V683,Minimas!$C$3:$CD$12,7,FALSE)</f>
        <v>#N/A</v>
      </c>
      <c r="AH683" s="230" t="e">
        <f>T683-HLOOKUP(V683,Minimas!$C$3:$CD$12,8,FALSE)</f>
        <v>#N/A</v>
      </c>
      <c r="AI683" s="230" t="e">
        <f>T683-HLOOKUP(V683,Minimas!$C$3:$CD$12,9,FALSE)</f>
        <v>#N/A</v>
      </c>
      <c r="AJ683" s="230" t="e">
        <f>T683-HLOOKUP(V683,Minimas!$C$3:$CD$12,10,FALSE)</f>
        <v>#N/A</v>
      </c>
      <c r="AK683" s="231" t="str">
        <f t="shared" si="124"/>
        <v xml:space="preserve"> </v>
      </c>
      <c r="AL683" s="232"/>
      <c r="AM683" s="232" t="str">
        <f t="shared" si="125"/>
        <v xml:space="preserve"> </v>
      </c>
      <c r="AN683" s="232" t="str">
        <f t="shared" si="126"/>
        <v xml:space="preserve"> </v>
      </c>
    </row>
    <row r="684" spans="28:40" ht="14" x14ac:dyDescent="0.25">
      <c r="AB684" s="230" t="e">
        <f>T684-HLOOKUP(V684,Minimas!$C$3:$CD$12,2,FALSE)</f>
        <v>#N/A</v>
      </c>
      <c r="AC684" s="230" t="e">
        <f>T684-HLOOKUP(V684,Minimas!$C$3:$CD$12,3,FALSE)</f>
        <v>#N/A</v>
      </c>
      <c r="AD684" s="230" t="e">
        <f>T684-HLOOKUP(V684,Minimas!$C$3:$CD$12,4,FALSE)</f>
        <v>#N/A</v>
      </c>
      <c r="AE684" s="230" t="e">
        <f>T684-HLOOKUP(V684,Minimas!$C$3:$CD$12,5,FALSE)</f>
        <v>#N/A</v>
      </c>
      <c r="AF684" s="230" t="e">
        <f>T684-HLOOKUP(V684,Minimas!$C$3:$CD$12,6,FALSE)</f>
        <v>#N/A</v>
      </c>
      <c r="AG684" s="230" t="e">
        <f>T684-HLOOKUP(V684,Minimas!$C$3:$CD$12,7,FALSE)</f>
        <v>#N/A</v>
      </c>
      <c r="AH684" s="230" t="e">
        <f>T684-HLOOKUP(V684,Minimas!$C$3:$CD$12,8,FALSE)</f>
        <v>#N/A</v>
      </c>
      <c r="AI684" s="230" t="e">
        <f>T684-HLOOKUP(V684,Minimas!$C$3:$CD$12,9,FALSE)</f>
        <v>#N/A</v>
      </c>
      <c r="AJ684" s="230" t="e">
        <f>T684-HLOOKUP(V684,Minimas!$C$3:$CD$12,10,FALSE)</f>
        <v>#N/A</v>
      </c>
      <c r="AK684" s="231" t="str">
        <f t="shared" si="124"/>
        <v xml:space="preserve"> </v>
      </c>
      <c r="AL684" s="232"/>
      <c r="AM684" s="232" t="str">
        <f t="shared" si="125"/>
        <v xml:space="preserve"> </v>
      </c>
      <c r="AN684" s="232" t="str">
        <f t="shared" si="126"/>
        <v xml:space="preserve"> </v>
      </c>
    </row>
    <row r="685" spans="28:40" ht="14" x14ac:dyDescent="0.25">
      <c r="AB685" s="230" t="e">
        <f>T685-HLOOKUP(V685,Minimas!$C$3:$CD$12,2,FALSE)</f>
        <v>#N/A</v>
      </c>
      <c r="AC685" s="230" t="e">
        <f>T685-HLOOKUP(V685,Minimas!$C$3:$CD$12,3,FALSE)</f>
        <v>#N/A</v>
      </c>
      <c r="AD685" s="230" t="e">
        <f>T685-HLOOKUP(V685,Minimas!$C$3:$CD$12,4,FALSE)</f>
        <v>#N/A</v>
      </c>
      <c r="AE685" s="230" t="e">
        <f>T685-HLOOKUP(V685,Minimas!$C$3:$CD$12,5,FALSE)</f>
        <v>#N/A</v>
      </c>
      <c r="AF685" s="230" t="e">
        <f>T685-HLOOKUP(V685,Minimas!$C$3:$CD$12,6,FALSE)</f>
        <v>#N/A</v>
      </c>
      <c r="AG685" s="230" t="e">
        <f>T685-HLOOKUP(V685,Minimas!$C$3:$CD$12,7,FALSE)</f>
        <v>#N/A</v>
      </c>
      <c r="AH685" s="230" t="e">
        <f>T685-HLOOKUP(V685,Minimas!$C$3:$CD$12,8,FALSE)</f>
        <v>#N/A</v>
      </c>
      <c r="AI685" s="230" t="e">
        <f>T685-HLOOKUP(V685,Minimas!$C$3:$CD$12,9,FALSE)</f>
        <v>#N/A</v>
      </c>
      <c r="AJ685" s="230" t="e">
        <f>T685-HLOOKUP(V685,Minimas!$C$3:$CD$12,10,FALSE)</f>
        <v>#N/A</v>
      </c>
      <c r="AK685" s="231" t="str">
        <f t="shared" si="124"/>
        <v xml:space="preserve"> </v>
      </c>
      <c r="AL685" s="232"/>
      <c r="AM685" s="232" t="str">
        <f t="shared" si="125"/>
        <v xml:space="preserve"> </v>
      </c>
      <c r="AN685" s="232" t="str">
        <f t="shared" si="126"/>
        <v xml:space="preserve"> </v>
      </c>
    </row>
    <row r="686" spans="28:40" ht="14" x14ac:dyDescent="0.25">
      <c r="AB686" s="230" t="e">
        <f>T686-HLOOKUP(V686,Minimas!$C$3:$CD$12,2,FALSE)</f>
        <v>#N/A</v>
      </c>
      <c r="AC686" s="230" t="e">
        <f>T686-HLOOKUP(V686,Minimas!$C$3:$CD$12,3,FALSE)</f>
        <v>#N/A</v>
      </c>
      <c r="AD686" s="230" t="e">
        <f>T686-HLOOKUP(V686,Minimas!$C$3:$CD$12,4,FALSE)</f>
        <v>#N/A</v>
      </c>
      <c r="AE686" s="230" t="e">
        <f>T686-HLOOKUP(V686,Minimas!$C$3:$CD$12,5,FALSE)</f>
        <v>#N/A</v>
      </c>
      <c r="AF686" s="230" t="e">
        <f>T686-HLOOKUP(V686,Minimas!$C$3:$CD$12,6,FALSE)</f>
        <v>#N/A</v>
      </c>
      <c r="AG686" s="230" t="e">
        <f>T686-HLOOKUP(V686,Minimas!$C$3:$CD$12,7,FALSE)</f>
        <v>#N/A</v>
      </c>
      <c r="AH686" s="230" t="e">
        <f>T686-HLOOKUP(V686,Minimas!$C$3:$CD$12,8,FALSE)</f>
        <v>#N/A</v>
      </c>
      <c r="AI686" s="230" t="e">
        <f>T686-HLOOKUP(V686,Minimas!$C$3:$CD$12,9,FALSE)</f>
        <v>#N/A</v>
      </c>
      <c r="AJ686" s="230" t="e">
        <f>T686-HLOOKUP(V686,Minimas!$C$3:$CD$12,10,FALSE)</f>
        <v>#N/A</v>
      </c>
      <c r="AK686" s="231" t="str">
        <f t="shared" si="124"/>
        <v xml:space="preserve"> </v>
      </c>
      <c r="AL686" s="232"/>
      <c r="AM686" s="232" t="str">
        <f t="shared" si="125"/>
        <v xml:space="preserve"> </v>
      </c>
      <c r="AN686" s="232" t="str">
        <f t="shared" si="126"/>
        <v xml:space="preserve"> </v>
      </c>
    </row>
    <row r="687" spans="28:40" ht="14" x14ac:dyDescent="0.25">
      <c r="AB687" s="230" t="e">
        <f>T687-HLOOKUP(V687,Minimas!$C$3:$CD$12,2,FALSE)</f>
        <v>#N/A</v>
      </c>
      <c r="AC687" s="230" t="e">
        <f>T687-HLOOKUP(V687,Minimas!$C$3:$CD$12,3,FALSE)</f>
        <v>#N/A</v>
      </c>
      <c r="AD687" s="230" t="e">
        <f>T687-HLOOKUP(V687,Minimas!$C$3:$CD$12,4,FALSE)</f>
        <v>#N/A</v>
      </c>
      <c r="AE687" s="230" t="e">
        <f>T687-HLOOKUP(V687,Minimas!$C$3:$CD$12,5,FALSE)</f>
        <v>#N/A</v>
      </c>
      <c r="AF687" s="230" t="e">
        <f>T687-HLOOKUP(V687,Minimas!$C$3:$CD$12,6,FALSE)</f>
        <v>#N/A</v>
      </c>
      <c r="AG687" s="230" t="e">
        <f>T687-HLOOKUP(V687,Minimas!$C$3:$CD$12,7,FALSE)</f>
        <v>#N/A</v>
      </c>
      <c r="AH687" s="230" t="e">
        <f>T687-HLOOKUP(V687,Minimas!$C$3:$CD$12,8,FALSE)</f>
        <v>#N/A</v>
      </c>
      <c r="AI687" s="230" t="e">
        <f>T687-HLOOKUP(V687,Minimas!$C$3:$CD$12,9,FALSE)</f>
        <v>#N/A</v>
      </c>
      <c r="AJ687" s="230" t="e">
        <f>T687-HLOOKUP(V687,Minimas!$C$3:$CD$12,10,FALSE)</f>
        <v>#N/A</v>
      </c>
      <c r="AK687" s="231" t="str">
        <f t="shared" si="124"/>
        <v xml:space="preserve"> </v>
      </c>
      <c r="AL687" s="232"/>
      <c r="AM687" s="232" t="str">
        <f t="shared" si="125"/>
        <v xml:space="preserve"> </v>
      </c>
      <c r="AN687" s="232" t="str">
        <f t="shared" si="126"/>
        <v xml:space="preserve"> </v>
      </c>
    </row>
    <row r="688" spans="28:40" ht="14" x14ac:dyDescent="0.25">
      <c r="AB688" s="230" t="e">
        <f>T688-HLOOKUP(V688,Minimas!$C$3:$CD$12,2,FALSE)</f>
        <v>#N/A</v>
      </c>
      <c r="AC688" s="230" t="e">
        <f>T688-HLOOKUP(V688,Minimas!$C$3:$CD$12,3,FALSE)</f>
        <v>#N/A</v>
      </c>
      <c r="AD688" s="230" t="e">
        <f>T688-HLOOKUP(V688,Minimas!$C$3:$CD$12,4,FALSE)</f>
        <v>#N/A</v>
      </c>
      <c r="AE688" s="230" t="e">
        <f>T688-HLOOKUP(V688,Minimas!$C$3:$CD$12,5,FALSE)</f>
        <v>#N/A</v>
      </c>
      <c r="AF688" s="230" t="e">
        <f>T688-HLOOKUP(V688,Minimas!$C$3:$CD$12,6,FALSE)</f>
        <v>#N/A</v>
      </c>
      <c r="AG688" s="230" t="e">
        <f>T688-HLOOKUP(V688,Minimas!$C$3:$CD$12,7,FALSE)</f>
        <v>#N/A</v>
      </c>
      <c r="AH688" s="230" t="e">
        <f>T688-HLOOKUP(V688,Minimas!$C$3:$CD$12,8,FALSE)</f>
        <v>#N/A</v>
      </c>
      <c r="AI688" s="230" t="e">
        <f>T688-HLOOKUP(V688,Minimas!$C$3:$CD$12,9,FALSE)</f>
        <v>#N/A</v>
      </c>
      <c r="AJ688" s="230" t="e">
        <f>T688-HLOOKUP(V688,Minimas!$C$3:$CD$12,10,FALSE)</f>
        <v>#N/A</v>
      </c>
      <c r="AK688" s="231" t="str">
        <f t="shared" si="124"/>
        <v xml:space="preserve"> </v>
      </c>
      <c r="AL688" s="232"/>
      <c r="AM688" s="232" t="str">
        <f t="shared" si="125"/>
        <v xml:space="preserve"> </v>
      </c>
      <c r="AN688" s="232" t="str">
        <f t="shared" si="126"/>
        <v xml:space="preserve"> </v>
      </c>
    </row>
    <row r="689" spans="28:40" ht="14" x14ac:dyDescent="0.25">
      <c r="AB689" s="230" t="e">
        <f>T689-HLOOKUP(V689,Minimas!$C$3:$CD$12,2,FALSE)</f>
        <v>#N/A</v>
      </c>
      <c r="AC689" s="230" t="e">
        <f>T689-HLOOKUP(V689,Minimas!$C$3:$CD$12,3,FALSE)</f>
        <v>#N/A</v>
      </c>
      <c r="AD689" s="230" t="e">
        <f>T689-HLOOKUP(V689,Minimas!$C$3:$CD$12,4,FALSE)</f>
        <v>#N/A</v>
      </c>
      <c r="AE689" s="230" t="e">
        <f>T689-HLOOKUP(V689,Minimas!$C$3:$CD$12,5,FALSE)</f>
        <v>#N/A</v>
      </c>
      <c r="AF689" s="230" t="e">
        <f>T689-HLOOKUP(V689,Minimas!$C$3:$CD$12,6,FALSE)</f>
        <v>#N/A</v>
      </c>
      <c r="AG689" s="230" t="e">
        <f>T689-HLOOKUP(V689,Minimas!$C$3:$CD$12,7,FALSE)</f>
        <v>#N/A</v>
      </c>
      <c r="AH689" s="230" t="e">
        <f>T689-HLOOKUP(V689,Minimas!$C$3:$CD$12,8,FALSE)</f>
        <v>#N/A</v>
      </c>
      <c r="AI689" s="230" t="e">
        <f>T689-HLOOKUP(V689,Minimas!$C$3:$CD$12,9,FALSE)</f>
        <v>#N/A</v>
      </c>
      <c r="AJ689" s="230" t="e">
        <f>T689-HLOOKUP(V689,Minimas!$C$3:$CD$12,10,FALSE)</f>
        <v>#N/A</v>
      </c>
      <c r="AK689" s="231" t="str">
        <f t="shared" si="124"/>
        <v xml:space="preserve"> </v>
      </c>
      <c r="AL689" s="232"/>
      <c r="AM689" s="232" t="str">
        <f t="shared" si="125"/>
        <v xml:space="preserve"> </v>
      </c>
      <c r="AN689" s="232" t="str">
        <f t="shared" si="126"/>
        <v xml:space="preserve"> </v>
      </c>
    </row>
    <row r="690" spans="28:40" ht="14" x14ac:dyDescent="0.25">
      <c r="AB690" s="230" t="e">
        <f>T690-HLOOKUP(V690,Minimas!$C$3:$CD$12,2,FALSE)</f>
        <v>#N/A</v>
      </c>
      <c r="AC690" s="230" t="e">
        <f>T690-HLOOKUP(V690,Minimas!$C$3:$CD$12,3,FALSE)</f>
        <v>#N/A</v>
      </c>
      <c r="AD690" s="230" t="e">
        <f>T690-HLOOKUP(V690,Minimas!$C$3:$CD$12,4,FALSE)</f>
        <v>#N/A</v>
      </c>
      <c r="AE690" s="230" t="e">
        <f>T690-HLOOKUP(V690,Minimas!$C$3:$CD$12,5,FALSE)</f>
        <v>#N/A</v>
      </c>
      <c r="AF690" s="230" t="e">
        <f>T690-HLOOKUP(V690,Minimas!$C$3:$CD$12,6,FALSE)</f>
        <v>#N/A</v>
      </c>
      <c r="AG690" s="230" t="e">
        <f>T690-HLOOKUP(V690,Minimas!$C$3:$CD$12,7,FALSE)</f>
        <v>#N/A</v>
      </c>
      <c r="AH690" s="230" t="e">
        <f>T690-HLOOKUP(V690,Minimas!$C$3:$CD$12,8,FALSE)</f>
        <v>#N/A</v>
      </c>
      <c r="AI690" s="230" t="e">
        <f>T690-HLOOKUP(V690,Minimas!$C$3:$CD$12,9,FALSE)</f>
        <v>#N/A</v>
      </c>
      <c r="AJ690" s="230" t="e">
        <f>T690-HLOOKUP(V690,Minimas!$C$3:$CD$12,10,FALSE)</f>
        <v>#N/A</v>
      </c>
      <c r="AK690" s="231" t="str">
        <f t="shared" si="124"/>
        <v xml:space="preserve"> </v>
      </c>
      <c r="AL690" s="232"/>
      <c r="AM690" s="232" t="str">
        <f t="shared" si="125"/>
        <v xml:space="preserve"> </v>
      </c>
      <c r="AN690" s="232" t="str">
        <f t="shared" si="126"/>
        <v xml:space="preserve"> </v>
      </c>
    </row>
    <row r="691" spans="28:40" ht="14" x14ac:dyDescent="0.25">
      <c r="AB691" s="230" t="e">
        <f>T691-HLOOKUP(V691,Minimas!$C$3:$CD$12,2,FALSE)</f>
        <v>#N/A</v>
      </c>
      <c r="AC691" s="230" t="e">
        <f>T691-HLOOKUP(V691,Minimas!$C$3:$CD$12,3,FALSE)</f>
        <v>#N/A</v>
      </c>
      <c r="AD691" s="230" t="e">
        <f>T691-HLOOKUP(V691,Minimas!$C$3:$CD$12,4,FALSE)</f>
        <v>#N/A</v>
      </c>
      <c r="AE691" s="230" t="e">
        <f>T691-HLOOKUP(V691,Minimas!$C$3:$CD$12,5,FALSE)</f>
        <v>#N/A</v>
      </c>
      <c r="AF691" s="230" t="e">
        <f>T691-HLOOKUP(V691,Minimas!$C$3:$CD$12,6,FALSE)</f>
        <v>#N/A</v>
      </c>
      <c r="AG691" s="230" t="e">
        <f>T691-HLOOKUP(V691,Minimas!$C$3:$CD$12,7,FALSE)</f>
        <v>#N/A</v>
      </c>
      <c r="AH691" s="230" t="e">
        <f>T691-HLOOKUP(V691,Minimas!$C$3:$CD$12,8,FALSE)</f>
        <v>#N/A</v>
      </c>
      <c r="AI691" s="230" t="e">
        <f>T691-HLOOKUP(V691,Minimas!$C$3:$CD$12,9,FALSE)</f>
        <v>#N/A</v>
      </c>
      <c r="AJ691" s="230" t="e">
        <f>T691-HLOOKUP(V691,Minimas!$C$3:$CD$12,10,FALSE)</f>
        <v>#N/A</v>
      </c>
      <c r="AK691" s="231" t="str">
        <f t="shared" si="124"/>
        <v xml:space="preserve"> </v>
      </c>
      <c r="AL691" s="232"/>
      <c r="AM691" s="232" t="str">
        <f t="shared" si="125"/>
        <v xml:space="preserve"> </v>
      </c>
      <c r="AN691" s="232" t="str">
        <f t="shared" si="126"/>
        <v xml:space="preserve"> </v>
      </c>
    </row>
    <row r="692" spans="28:40" ht="14" x14ac:dyDescent="0.25">
      <c r="AB692" s="230" t="e">
        <f>T692-HLOOKUP(V692,Minimas!$C$3:$CD$12,2,FALSE)</f>
        <v>#N/A</v>
      </c>
      <c r="AC692" s="230" t="e">
        <f>T692-HLOOKUP(V692,Minimas!$C$3:$CD$12,3,FALSE)</f>
        <v>#N/A</v>
      </c>
      <c r="AD692" s="230" t="e">
        <f>T692-HLOOKUP(V692,Minimas!$C$3:$CD$12,4,FALSE)</f>
        <v>#N/A</v>
      </c>
      <c r="AE692" s="230" t="e">
        <f>T692-HLOOKUP(V692,Minimas!$C$3:$CD$12,5,FALSE)</f>
        <v>#N/A</v>
      </c>
      <c r="AF692" s="230" t="e">
        <f>T692-HLOOKUP(V692,Minimas!$C$3:$CD$12,6,FALSE)</f>
        <v>#N/A</v>
      </c>
      <c r="AG692" s="230" t="e">
        <f>T692-HLOOKUP(V692,Minimas!$C$3:$CD$12,7,FALSE)</f>
        <v>#N/A</v>
      </c>
      <c r="AH692" s="230" t="e">
        <f>T692-HLOOKUP(V692,Minimas!$C$3:$CD$12,8,FALSE)</f>
        <v>#N/A</v>
      </c>
      <c r="AI692" s="230" t="e">
        <f>T692-HLOOKUP(V692,Minimas!$C$3:$CD$12,9,FALSE)</f>
        <v>#N/A</v>
      </c>
      <c r="AJ692" s="230" t="e">
        <f>T692-HLOOKUP(V692,Minimas!$C$3:$CD$12,10,FALSE)</f>
        <v>#N/A</v>
      </c>
      <c r="AK692" s="231" t="str">
        <f t="shared" si="124"/>
        <v xml:space="preserve"> </v>
      </c>
      <c r="AL692" s="232"/>
      <c r="AM692" s="232" t="str">
        <f t="shared" si="125"/>
        <v xml:space="preserve"> </v>
      </c>
      <c r="AN692" s="232" t="str">
        <f t="shared" si="126"/>
        <v xml:space="preserve"> </v>
      </c>
    </row>
    <row r="693" spans="28:40" ht="14" x14ac:dyDescent="0.25">
      <c r="AB693" s="230" t="e">
        <f>T693-HLOOKUP(V693,Minimas!$C$3:$CD$12,2,FALSE)</f>
        <v>#N/A</v>
      </c>
      <c r="AC693" s="230" t="e">
        <f>T693-HLOOKUP(V693,Minimas!$C$3:$CD$12,3,FALSE)</f>
        <v>#N/A</v>
      </c>
      <c r="AD693" s="230" t="e">
        <f>T693-HLOOKUP(V693,Minimas!$C$3:$CD$12,4,FALSE)</f>
        <v>#N/A</v>
      </c>
      <c r="AE693" s="230" t="e">
        <f>T693-HLOOKUP(V693,Minimas!$C$3:$CD$12,5,FALSE)</f>
        <v>#N/A</v>
      </c>
      <c r="AF693" s="230" t="e">
        <f>T693-HLOOKUP(V693,Minimas!$C$3:$CD$12,6,FALSE)</f>
        <v>#N/A</v>
      </c>
      <c r="AG693" s="230" t="e">
        <f>T693-HLOOKUP(V693,Minimas!$C$3:$CD$12,7,FALSE)</f>
        <v>#N/A</v>
      </c>
      <c r="AH693" s="230" t="e">
        <f>T693-HLOOKUP(V693,Minimas!$C$3:$CD$12,8,FALSE)</f>
        <v>#N/A</v>
      </c>
      <c r="AI693" s="230" t="e">
        <f>T693-HLOOKUP(V693,Minimas!$C$3:$CD$12,9,FALSE)</f>
        <v>#N/A</v>
      </c>
      <c r="AJ693" s="230" t="e">
        <f>T693-HLOOKUP(V693,Minimas!$C$3:$CD$12,10,FALSE)</f>
        <v>#N/A</v>
      </c>
      <c r="AK693" s="231" t="str">
        <f t="shared" si="124"/>
        <v xml:space="preserve"> </v>
      </c>
      <c r="AL693" s="232"/>
      <c r="AM693" s="232" t="str">
        <f t="shared" si="125"/>
        <v xml:space="preserve"> </v>
      </c>
      <c r="AN693" s="232" t="str">
        <f t="shared" si="126"/>
        <v xml:space="preserve"> </v>
      </c>
    </row>
    <row r="694" spans="28:40" ht="14" x14ac:dyDescent="0.25">
      <c r="AB694" s="230" t="e">
        <f>T694-HLOOKUP(V694,Minimas!$C$3:$CD$12,2,FALSE)</f>
        <v>#N/A</v>
      </c>
      <c r="AC694" s="230" t="e">
        <f>T694-HLOOKUP(V694,Minimas!$C$3:$CD$12,3,FALSE)</f>
        <v>#N/A</v>
      </c>
      <c r="AD694" s="230" t="e">
        <f>T694-HLOOKUP(V694,Minimas!$C$3:$CD$12,4,FALSE)</f>
        <v>#N/A</v>
      </c>
      <c r="AE694" s="230" t="e">
        <f>T694-HLOOKUP(V694,Minimas!$C$3:$CD$12,5,FALSE)</f>
        <v>#N/A</v>
      </c>
      <c r="AF694" s="230" t="e">
        <f>T694-HLOOKUP(V694,Minimas!$C$3:$CD$12,6,FALSE)</f>
        <v>#N/A</v>
      </c>
      <c r="AG694" s="230" t="e">
        <f>T694-HLOOKUP(V694,Minimas!$C$3:$CD$12,7,FALSE)</f>
        <v>#N/A</v>
      </c>
      <c r="AH694" s="230" t="e">
        <f>T694-HLOOKUP(V694,Minimas!$C$3:$CD$12,8,FALSE)</f>
        <v>#N/A</v>
      </c>
      <c r="AI694" s="230" t="e">
        <f>T694-HLOOKUP(V694,Minimas!$C$3:$CD$12,9,FALSE)</f>
        <v>#N/A</v>
      </c>
      <c r="AJ694" s="230" t="e">
        <f>T694-HLOOKUP(V694,Minimas!$C$3:$CD$12,10,FALSE)</f>
        <v>#N/A</v>
      </c>
      <c r="AK694" s="231" t="str">
        <f t="shared" si="124"/>
        <v xml:space="preserve"> </v>
      </c>
      <c r="AL694" s="232"/>
      <c r="AM694" s="232" t="str">
        <f t="shared" si="125"/>
        <v xml:space="preserve"> </v>
      </c>
      <c r="AN694" s="232" t="str">
        <f t="shared" si="126"/>
        <v xml:space="preserve"> </v>
      </c>
    </row>
    <row r="695" spans="28:40" ht="14" x14ac:dyDescent="0.25">
      <c r="AB695" s="230" t="e">
        <f>T695-HLOOKUP(V695,Minimas!$C$3:$CD$12,2,FALSE)</f>
        <v>#N/A</v>
      </c>
      <c r="AC695" s="230" t="e">
        <f>T695-HLOOKUP(V695,Minimas!$C$3:$CD$12,3,FALSE)</f>
        <v>#N/A</v>
      </c>
      <c r="AD695" s="230" t="e">
        <f>T695-HLOOKUP(V695,Minimas!$C$3:$CD$12,4,FALSE)</f>
        <v>#N/A</v>
      </c>
      <c r="AE695" s="230" t="e">
        <f>T695-HLOOKUP(V695,Minimas!$C$3:$CD$12,5,FALSE)</f>
        <v>#N/A</v>
      </c>
      <c r="AF695" s="230" t="e">
        <f>T695-HLOOKUP(V695,Minimas!$C$3:$CD$12,6,FALSE)</f>
        <v>#N/A</v>
      </c>
      <c r="AG695" s="230" t="e">
        <f>T695-HLOOKUP(V695,Minimas!$C$3:$CD$12,7,FALSE)</f>
        <v>#N/A</v>
      </c>
      <c r="AH695" s="230" t="e">
        <f>T695-HLOOKUP(V695,Minimas!$C$3:$CD$12,8,FALSE)</f>
        <v>#N/A</v>
      </c>
      <c r="AI695" s="230" t="e">
        <f>T695-HLOOKUP(V695,Minimas!$C$3:$CD$12,9,FALSE)</f>
        <v>#N/A</v>
      </c>
      <c r="AJ695" s="230" t="e">
        <f>T695-HLOOKUP(V695,Minimas!$C$3:$CD$12,10,FALSE)</f>
        <v>#N/A</v>
      </c>
      <c r="AK695" s="231" t="str">
        <f t="shared" si="124"/>
        <v xml:space="preserve"> </v>
      </c>
      <c r="AL695" s="232"/>
      <c r="AM695" s="232" t="str">
        <f t="shared" si="125"/>
        <v xml:space="preserve"> </v>
      </c>
      <c r="AN695" s="232" t="str">
        <f t="shared" si="126"/>
        <v xml:space="preserve"> </v>
      </c>
    </row>
    <row r="696" spans="28:40" ht="14" x14ac:dyDescent="0.25">
      <c r="AB696" s="230" t="e">
        <f>T696-HLOOKUP(V696,Minimas!$C$3:$CD$12,2,FALSE)</f>
        <v>#N/A</v>
      </c>
      <c r="AC696" s="230" t="e">
        <f>T696-HLOOKUP(V696,Minimas!$C$3:$CD$12,3,FALSE)</f>
        <v>#N/A</v>
      </c>
      <c r="AD696" s="230" t="e">
        <f>T696-HLOOKUP(V696,Minimas!$C$3:$CD$12,4,FALSE)</f>
        <v>#N/A</v>
      </c>
      <c r="AE696" s="230" t="e">
        <f>T696-HLOOKUP(V696,Minimas!$C$3:$CD$12,5,FALSE)</f>
        <v>#N/A</v>
      </c>
      <c r="AF696" s="230" t="e">
        <f>T696-HLOOKUP(V696,Minimas!$C$3:$CD$12,6,FALSE)</f>
        <v>#N/A</v>
      </c>
      <c r="AG696" s="230" t="e">
        <f>T696-HLOOKUP(V696,Minimas!$C$3:$CD$12,7,FALSE)</f>
        <v>#N/A</v>
      </c>
      <c r="AH696" s="230" t="e">
        <f>T696-HLOOKUP(V696,Minimas!$C$3:$CD$12,8,FALSE)</f>
        <v>#N/A</v>
      </c>
      <c r="AI696" s="230" t="e">
        <f>T696-HLOOKUP(V696,Minimas!$C$3:$CD$12,9,FALSE)</f>
        <v>#N/A</v>
      </c>
      <c r="AJ696" s="230" t="e">
        <f>T696-HLOOKUP(V696,Minimas!$C$3:$CD$12,10,FALSE)</f>
        <v>#N/A</v>
      </c>
      <c r="AK696" s="231" t="str">
        <f t="shared" si="124"/>
        <v xml:space="preserve"> </v>
      </c>
      <c r="AL696" s="232"/>
      <c r="AM696" s="232" t="str">
        <f t="shared" si="125"/>
        <v xml:space="preserve"> </v>
      </c>
      <c r="AN696" s="232" t="str">
        <f t="shared" si="126"/>
        <v xml:space="preserve"> </v>
      </c>
    </row>
    <row r="697" spans="28:40" ht="14" x14ac:dyDescent="0.25">
      <c r="AB697" s="230" t="e">
        <f>T697-HLOOKUP(V697,Minimas!$C$3:$CD$12,2,FALSE)</f>
        <v>#N/A</v>
      </c>
      <c r="AC697" s="230" t="e">
        <f>T697-HLOOKUP(V697,Minimas!$C$3:$CD$12,3,FALSE)</f>
        <v>#N/A</v>
      </c>
      <c r="AD697" s="230" t="e">
        <f>T697-HLOOKUP(V697,Minimas!$C$3:$CD$12,4,FALSE)</f>
        <v>#N/A</v>
      </c>
      <c r="AE697" s="230" t="e">
        <f>T697-HLOOKUP(V697,Minimas!$C$3:$CD$12,5,FALSE)</f>
        <v>#N/A</v>
      </c>
      <c r="AF697" s="230" t="e">
        <f>T697-HLOOKUP(V697,Minimas!$C$3:$CD$12,6,FALSE)</f>
        <v>#N/A</v>
      </c>
      <c r="AG697" s="230" t="e">
        <f>T697-HLOOKUP(V697,Minimas!$C$3:$CD$12,7,FALSE)</f>
        <v>#N/A</v>
      </c>
      <c r="AH697" s="230" t="e">
        <f>T697-HLOOKUP(V697,Minimas!$C$3:$CD$12,8,FALSE)</f>
        <v>#N/A</v>
      </c>
      <c r="AI697" s="230" t="e">
        <f>T697-HLOOKUP(V697,Minimas!$C$3:$CD$12,9,FALSE)</f>
        <v>#N/A</v>
      </c>
      <c r="AJ697" s="230" t="e">
        <f>T697-HLOOKUP(V697,Minimas!$C$3:$CD$12,10,FALSE)</f>
        <v>#N/A</v>
      </c>
      <c r="AK697" s="231" t="str">
        <f t="shared" si="124"/>
        <v xml:space="preserve"> </v>
      </c>
      <c r="AL697" s="232"/>
      <c r="AM697" s="232" t="str">
        <f t="shared" si="125"/>
        <v xml:space="preserve"> </v>
      </c>
      <c r="AN697" s="232" t="str">
        <f t="shared" si="126"/>
        <v xml:space="preserve"> </v>
      </c>
    </row>
    <row r="698" spans="28:40" ht="14" x14ac:dyDescent="0.25">
      <c r="AB698" s="230" t="e">
        <f>T698-HLOOKUP(V698,Minimas!$C$3:$CD$12,2,FALSE)</f>
        <v>#N/A</v>
      </c>
      <c r="AC698" s="230" t="e">
        <f>T698-HLOOKUP(V698,Minimas!$C$3:$CD$12,3,FALSE)</f>
        <v>#N/A</v>
      </c>
      <c r="AD698" s="230" t="e">
        <f>T698-HLOOKUP(V698,Minimas!$C$3:$CD$12,4,FALSE)</f>
        <v>#N/A</v>
      </c>
      <c r="AE698" s="230" t="e">
        <f>T698-HLOOKUP(V698,Minimas!$C$3:$CD$12,5,FALSE)</f>
        <v>#N/A</v>
      </c>
      <c r="AF698" s="230" t="e">
        <f>T698-HLOOKUP(V698,Minimas!$C$3:$CD$12,6,FALSE)</f>
        <v>#N/A</v>
      </c>
      <c r="AG698" s="230" t="e">
        <f>T698-HLOOKUP(V698,Minimas!$C$3:$CD$12,7,FALSE)</f>
        <v>#N/A</v>
      </c>
      <c r="AH698" s="230" t="e">
        <f>T698-HLOOKUP(V698,Minimas!$C$3:$CD$12,8,FALSE)</f>
        <v>#N/A</v>
      </c>
      <c r="AI698" s="230" t="e">
        <f>T698-HLOOKUP(V698,Minimas!$C$3:$CD$12,9,FALSE)</f>
        <v>#N/A</v>
      </c>
      <c r="AJ698" s="230" t="e">
        <f>T698-HLOOKUP(V698,Minimas!$C$3:$CD$12,10,FALSE)</f>
        <v>#N/A</v>
      </c>
      <c r="AK698" s="231" t="str">
        <f t="shared" si="124"/>
        <v xml:space="preserve"> </v>
      </c>
      <c r="AL698" s="232"/>
      <c r="AM698" s="232" t="str">
        <f t="shared" si="125"/>
        <v xml:space="preserve"> </v>
      </c>
      <c r="AN698" s="232" t="str">
        <f t="shared" si="126"/>
        <v xml:space="preserve"> </v>
      </c>
    </row>
    <row r="699" spans="28:40" ht="14" x14ac:dyDescent="0.25">
      <c r="AB699" s="230" t="e">
        <f>T699-HLOOKUP(V699,Minimas!$C$3:$CD$12,2,FALSE)</f>
        <v>#N/A</v>
      </c>
      <c r="AC699" s="230" t="e">
        <f>T699-HLOOKUP(V699,Minimas!$C$3:$CD$12,3,FALSE)</f>
        <v>#N/A</v>
      </c>
      <c r="AD699" s="230" t="e">
        <f>T699-HLOOKUP(V699,Minimas!$C$3:$CD$12,4,FALSE)</f>
        <v>#N/A</v>
      </c>
      <c r="AE699" s="230" t="e">
        <f>T699-HLOOKUP(V699,Minimas!$C$3:$CD$12,5,FALSE)</f>
        <v>#N/A</v>
      </c>
      <c r="AF699" s="230" t="e">
        <f>T699-HLOOKUP(V699,Minimas!$C$3:$CD$12,6,FALSE)</f>
        <v>#N/A</v>
      </c>
      <c r="AG699" s="230" t="e">
        <f>T699-HLOOKUP(V699,Minimas!$C$3:$CD$12,7,FALSE)</f>
        <v>#N/A</v>
      </c>
      <c r="AH699" s="230" t="e">
        <f>T699-HLOOKUP(V699,Minimas!$C$3:$CD$12,8,FALSE)</f>
        <v>#N/A</v>
      </c>
      <c r="AI699" s="230" t="e">
        <f>T699-HLOOKUP(V699,Minimas!$C$3:$CD$12,9,FALSE)</f>
        <v>#N/A</v>
      </c>
      <c r="AJ699" s="230" t="e">
        <f>T699-HLOOKUP(V699,Minimas!$C$3:$CD$12,10,FALSE)</f>
        <v>#N/A</v>
      </c>
      <c r="AK699" s="231" t="str">
        <f t="shared" ref="AK699:AK703" si="127">IF(E699=0," ",IF(AJ699&gt;=0,$AJ$5,IF(AI699&gt;=0,$AI$5,IF(AH699&gt;=0,$AH$5,IF(AG699&gt;=0,$AG$5,IF(AF699&gt;=0,$AF$5,IF(AE699&gt;=0,$AE$5,IF(AD699&gt;=0,$AD$5,IF(AC699&gt;=0,$AC$5,$AB$5)))))))))</f>
        <v xml:space="preserve"> </v>
      </c>
      <c r="AL699" s="232"/>
      <c r="AM699" s="232" t="str">
        <f t="shared" ref="AM699:AM703" si="128">IF(AK699="","",AK699)</f>
        <v xml:space="preserve"> </v>
      </c>
      <c r="AN699" s="232" t="str">
        <f t="shared" ref="AN699:AN703" si="129">IF(E699=0," ",IF(AJ699&gt;=0,AJ699,IF(AI699&gt;=0,AI699,IF(AH699&gt;=0,AH699,IF(AG699&gt;=0,AG699,IF(AF699&gt;=0,AF699,IF(AE699&gt;=0,AE699,IF(AD699&gt;=0,AD699,IF(AC699&gt;=0,AC699,AB699)))))))))</f>
        <v xml:space="preserve"> </v>
      </c>
    </row>
    <row r="700" spans="28:40" ht="14" x14ac:dyDescent="0.25">
      <c r="AB700" s="230" t="e">
        <f>T700-HLOOKUP(V700,Minimas!$C$3:$CD$12,2,FALSE)</f>
        <v>#N/A</v>
      </c>
      <c r="AC700" s="230" t="e">
        <f>T700-HLOOKUP(V700,Minimas!$C$3:$CD$12,3,FALSE)</f>
        <v>#N/A</v>
      </c>
      <c r="AD700" s="230" t="e">
        <f>T700-HLOOKUP(V700,Minimas!$C$3:$CD$12,4,FALSE)</f>
        <v>#N/A</v>
      </c>
      <c r="AE700" s="230" t="e">
        <f>T700-HLOOKUP(V700,Minimas!$C$3:$CD$12,5,FALSE)</f>
        <v>#N/A</v>
      </c>
      <c r="AF700" s="230" t="e">
        <f>T700-HLOOKUP(V700,Minimas!$C$3:$CD$12,6,FALSE)</f>
        <v>#N/A</v>
      </c>
      <c r="AG700" s="230" t="e">
        <f>T700-HLOOKUP(V700,Minimas!$C$3:$CD$12,7,FALSE)</f>
        <v>#N/A</v>
      </c>
      <c r="AH700" s="230" t="e">
        <f>T700-HLOOKUP(V700,Minimas!$C$3:$CD$12,8,FALSE)</f>
        <v>#N/A</v>
      </c>
      <c r="AI700" s="230" t="e">
        <f>T700-HLOOKUP(V700,Minimas!$C$3:$CD$12,9,FALSE)</f>
        <v>#N/A</v>
      </c>
      <c r="AJ700" s="230" t="e">
        <f>T700-HLOOKUP(V700,Minimas!$C$3:$CD$12,10,FALSE)</f>
        <v>#N/A</v>
      </c>
      <c r="AK700" s="231" t="str">
        <f t="shared" si="127"/>
        <v xml:space="preserve"> </v>
      </c>
      <c r="AL700" s="232"/>
      <c r="AM700" s="232" t="str">
        <f t="shared" si="128"/>
        <v xml:space="preserve"> </v>
      </c>
      <c r="AN700" s="232" t="str">
        <f t="shared" si="129"/>
        <v xml:space="preserve"> </v>
      </c>
    </row>
    <row r="701" spans="28:40" ht="14" x14ac:dyDescent="0.25">
      <c r="AB701" s="230" t="e">
        <f>T701-HLOOKUP(V701,Minimas!$C$3:$CD$12,2,FALSE)</f>
        <v>#N/A</v>
      </c>
      <c r="AC701" s="230" t="e">
        <f>T701-HLOOKUP(V701,Minimas!$C$3:$CD$12,3,FALSE)</f>
        <v>#N/A</v>
      </c>
      <c r="AD701" s="230" t="e">
        <f>T701-HLOOKUP(V701,Minimas!$C$3:$CD$12,4,FALSE)</f>
        <v>#N/A</v>
      </c>
      <c r="AE701" s="230" t="e">
        <f>T701-HLOOKUP(V701,Minimas!$C$3:$CD$12,5,FALSE)</f>
        <v>#N/A</v>
      </c>
      <c r="AF701" s="230" t="e">
        <f>T701-HLOOKUP(V701,Minimas!$C$3:$CD$12,6,FALSE)</f>
        <v>#N/A</v>
      </c>
      <c r="AG701" s="230" t="e">
        <f>T701-HLOOKUP(V701,Minimas!$C$3:$CD$12,7,FALSE)</f>
        <v>#N/A</v>
      </c>
      <c r="AH701" s="230" t="e">
        <f>T701-HLOOKUP(V701,Minimas!$C$3:$CD$12,8,FALSE)</f>
        <v>#N/A</v>
      </c>
      <c r="AI701" s="230" t="e">
        <f>T701-HLOOKUP(V701,Minimas!$C$3:$CD$12,9,FALSE)</f>
        <v>#N/A</v>
      </c>
      <c r="AJ701" s="230" t="e">
        <f>T701-HLOOKUP(V701,Minimas!$C$3:$CD$12,10,FALSE)</f>
        <v>#N/A</v>
      </c>
      <c r="AK701" s="231" t="str">
        <f t="shared" si="127"/>
        <v xml:space="preserve"> </v>
      </c>
      <c r="AL701" s="232"/>
      <c r="AM701" s="232" t="str">
        <f t="shared" si="128"/>
        <v xml:space="preserve"> </v>
      </c>
      <c r="AN701" s="232" t="str">
        <f t="shared" si="129"/>
        <v xml:space="preserve"> </v>
      </c>
    </row>
    <row r="702" spans="28:40" ht="14" x14ac:dyDescent="0.25">
      <c r="AB702" s="230" t="e">
        <f>T702-HLOOKUP(V702,Minimas!$C$3:$CD$12,2,FALSE)</f>
        <v>#N/A</v>
      </c>
      <c r="AC702" s="230" t="e">
        <f>T702-HLOOKUP(V702,Minimas!$C$3:$CD$12,3,FALSE)</f>
        <v>#N/A</v>
      </c>
      <c r="AD702" s="230" t="e">
        <f>T702-HLOOKUP(V702,Minimas!$C$3:$CD$12,4,FALSE)</f>
        <v>#N/A</v>
      </c>
      <c r="AE702" s="230" t="e">
        <f>T702-HLOOKUP(V702,Minimas!$C$3:$CD$12,5,FALSE)</f>
        <v>#N/A</v>
      </c>
      <c r="AF702" s="230" t="e">
        <f>T702-HLOOKUP(V702,Minimas!$C$3:$CD$12,6,FALSE)</f>
        <v>#N/A</v>
      </c>
      <c r="AG702" s="230" t="e">
        <f>T702-HLOOKUP(V702,Minimas!$C$3:$CD$12,7,FALSE)</f>
        <v>#N/A</v>
      </c>
      <c r="AH702" s="230" t="e">
        <f>T702-HLOOKUP(V702,Minimas!$C$3:$CD$12,8,FALSE)</f>
        <v>#N/A</v>
      </c>
      <c r="AI702" s="230" t="e">
        <f>T702-HLOOKUP(V702,Minimas!$C$3:$CD$12,9,FALSE)</f>
        <v>#N/A</v>
      </c>
      <c r="AJ702" s="230" t="e">
        <f>T702-HLOOKUP(V702,Minimas!$C$3:$CD$12,10,FALSE)</f>
        <v>#N/A</v>
      </c>
      <c r="AK702" s="231" t="str">
        <f t="shared" si="127"/>
        <v xml:space="preserve"> </v>
      </c>
      <c r="AL702" s="232"/>
      <c r="AM702" s="232" t="str">
        <f t="shared" si="128"/>
        <v xml:space="preserve"> </v>
      </c>
      <c r="AN702" s="232" t="str">
        <f t="shared" si="129"/>
        <v xml:space="preserve"> </v>
      </c>
    </row>
    <row r="703" spans="28:40" ht="14" x14ac:dyDescent="0.25">
      <c r="AB703" s="230" t="e">
        <f>T703-HLOOKUP(V703,Minimas!$C$3:$CD$12,2,FALSE)</f>
        <v>#N/A</v>
      </c>
      <c r="AC703" s="230" t="e">
        <f>T703-HLOOKUP(V703,Minimas!$C$3:$CD$12,3,FALSE)</f>
        <v>#N/A</v>
      </c>
      <c r="AD703" s="230" t="e">
        <f>T703-HLOOKUP(V703,Minimas!$C$3:$CD$12,4,FALSE)</f>
        <v>#N/A</v>
      </c>
      <c r="AE703" s="230" t="e">
        <f>T703-HLOOKUP(V703,Minimas!$C$3:$CD$12,5,FALSE)</f>
        <v>#N/A</v>
      </c>
      <c r="AF703" s="230" t="e">
        <f>T703-HLOOKUP(V703,Minimas!$C$3:$CD$12,6,FALSE)</f>
        <v>#N/A</v>
      </c>
      <c r="AG703" s="230" t="e">
        <f>T703-HLOOKUP(V703,Minimas!$C$3:$CD$12,7,FALSE)</f>
        <v>#N/A</v>
      </c>
      <c r="AH703" s="230" t="e">
        <f>T703-HLOOKUP(V703,Minimas!$C$3:$CD$12,8,FALSE)</f>
        <v>#N/A</v>
      </c>
      <c r="AI703" s="230" t="e">
        <f>T703-HLOOKUP(V703,Minimas!$C$3:$CD$12,9,FALSE)</f>
        <v>#N/A</v>
      </c>
      <c r="AJ703" s="230" t="e">
        <f>T703-HLOOKUP(V703,Minimas!$C$3:$CD$12,10,FALSE)</f>
        <v>#N/A</v>
      </c>
      <c r="AK703" s="231" t="str">
        <f t="shared" si="127"/>
        <v xml:space="preserve"> </v>
      </c>
      <c r="AL703" s="232"/>
      <c r="AM703" s="232" t="str">
        <f t="shared" si="128"/>
        <v xml:space="preserve"> </v>
      </c>
      <c r="AN703" s="232" t="str">
        <f t="shared" si="129"/>
        <v xml:space="preserve"> </v>
      </c>
    </row>
  </sheetData>
  <sortState xmlns:xlrd2="http://schemas.microsoft.com/office/spreadsheetml/2017/richdata2" ref="A261:DU286">
    <sortCondition descending="1" ref="T261:T286"/>
  </sortState>
  <mergeCells count="6">
    <mergeCell ref="F5:G5"/>
    <mergeCell ref="D2:K2"/>
    <mergeCell ref="N2:S3"/>
    <mergeCell ref="V2:W2"/>
    <mergeCell ref="D3:K3"/>
    <mergeCell ref="V3:W3"/>
  </mergeCells>
  <conditionalFormatting sqref="L7:N12 P7:R12 P76:R92 L76:N92 P96:R106 P110:R146 L96:N146 P148:R187 L148:N187 P189:R201 L189:N201 P209:R211 L209:N211 L299:N300 P299:R300 P291:R297 L291:N297 L215:N216 P215:R216 L221:N223 P221:R223 P227:R231 L227:N231 L234:N257 P234:R257 L261:N264 P261:R264 L271:N273 P271:R273 L282:N285 P282:R285 P14:R74 L14:N74">
    <cfRule type="cellIs" dxfId="57" priority="339" operator="lessThan">
      <formula>0</formula>
    </cfRule>
  </conditionalFormatting>
  <conditionalFormatting sqref="L188:N188 P188:R188">
    <cfRule type="cellIs" dxfId="56" priority="176" operator="lessThan">
      <formula>0</formula>
    </cfRule>
  </conditionalFormatting>
  <conditionalFormatting sqref="L202:N208 P202:R208">
    <cfRule type="cellIs" dxfId="55" priority="173" operator="lessThan">
      <formula>0</formula>
    </cfRule>
  </conditionalFormatting>
  <conditionalFormatting sqref="L202:N208 P202:R208">
    <cfRule type="cellIs" dxfId="54" priority="172" operator="lessThan">
      <formula>0</formula>
    </cfRule>
  </conditionalFormatting>
  <conditionalFormatting sqref="L210:N210">
    <cfRule type="cellIs" dxfId="53" priority="168" operator="lessThan">
      <formula>0</formula>
    </cfRule>
  </conditionalFormatting>
  <conditionalFormatting sqref="P210:R210">
    <cfRule type="cellIs" dxfId="52" priority="167" operator="lessThan">
      <formula>0</formula>
    </cfRule>
  </conditionalFormatting>
  <conditionalFormatting sqref="L211:N211">
    <cfRule type="cellIs" dxfId="51" priority="164" operator="lessThan">
      <formula>0</formula>
    </cfRule>
  </conditionalFormatting>
  <conditionalFormatting sqref="P211:R211">
    <cfRule type="cellIs" dxfId="50" priority="161" operator="lessThan">
      <formula>0</formula>
    </cfRule>
  </conditionalFormatting>
  <conditionalFormatting sqref="L212:N214 P212:R214">
    <cfRule type="cellIs" dxfId="49" priority="159" operator="lessThan">
      <formula>0</formula>
    </cfRule>
  </conditionalFormatting>
  <conditionalFormatting sqref="L212:N214">
    <cfRule type="cellIs" dxfId="48" priority="158" operator="lessThan">
      <formula>0</formula>
    </cfRule>
  </conditionalFormatting>
  <conditionalFormatting sqref="P212:R212">
    <cfRule type="cellIs" dxfId="47" priority="156" operator="lessThan">
      <formula>0</formula>
    </cfRule>
  </conditionalFormatting>
  <conditionalFormatting sqref="P213:R213">
    <cfRule type="cellIs" dxfId="46" priority="155" operator="lessThan">
      <formula>0</formula>
    </cfRule>
  </conditionalFormatting>
  <conditionalFormatting sqref="P214:R214">
    <cfRule type="cellIs" dxfId="45" priority="154" operator="lessThan">
      <formula>0</formula>
    </cfRule>
  </conditionalFormatting>
  <conditionalFormatting sqref="L215:N215">
    <cfRule type="cellIs" dxfId="44" priority="152" operator="lessThan">
      <formula>0</formula>
    </cfRule>
  </conditionalFormatting>
  <conditionalFormatting sqref="L216:N216">
    <cfRule type="cellIs" dxfId="43" priority="151" operator="lessThan">
      <formula>0</formula>
    </cfRule>
  </conditionalFormatting>
  <conditionalFormatting sqref="P215:R215">
    <cfRule type="cellIs" dxfId="42" priority="146" operator="lessThan">
      <formula>0</formula>
    </cfRule>
  </conditionalFormatting>
  <conditionalFormatting sqref="P216:R216">
    <cfRule type="cellIs" dxfId="41" priority="145" operator="lessThan">
      <formula>0</formula>
    </cfRule>
  </conditionalFormatting>
  <conditionalFormatting sqref="P217:R219 L217:N219">
    <cfRule type="cellIs" dxfId="40" priority="143" operator="lessThan">
      <formula>0</formula>
    </cfRule>
  </conditionalFormatting>
  <conditionalFormatting sqref="L220:N220 P220:R220">
    <cfRule type="cellIs" dxfId="39" priority="142" operator="lessThan">
      <formula>0</formula>
    </cfRule>
  </conditionalFormatting>
  <conditionalFormatting sqref="P224:R226 L224:N226">
    <cfRule type="cellIs" dxfId="38" priority="137" operator="lessThan">
      <formula>0</formula>
    </cfRule>
  </conditionalFormatting>
  <conditionalFormatting sqref="P233:R233 L233:N233">
    <cfRule type="cellIs" dxfId="37" priority="133" operator="lessThan">
      <formula>0</formula>
    </cfRule>
  </conditionalFormatting>
  <conditionalFormatting sqref="L258:N258 P258:R258">
    <cfRule type="cellIs" dxfId="36" priority="125" operator="lessThan">
      <formula>0</formula>
    </cfRule>
  </conditionalFormatting>
  <conditionalFormatting sqref="P259:R260 L259:N260">
    <cfRule type="cellIs" dxfId="35" priority="124" operator="lessThan">
      <formula>0</formula>
    </cfRule>
  </conditionalFormatting>
  <conditionalFormatting sqref="P265:R266 L265:N266">
    <cfRule type="cellIs" dxfId="34" priority="122" operator="lessThan">
      <formula>0</formula>
    </cfRule>
  </conditionalFormatting>
  <conditionalFormatting sqref="L269:N270 P269:R270">
    <cfRule type="cellIs" dxfId="33" priority="121" operator="lessThan">
      <formula>0</formula>
    </cfRule>
  </conditionalFormatting>
  <conditionalFormatting sqref="L274:N274 P274:R274">
    <cfRule type="cellIs" dxfId="32" priority="115" operator="lessThan">
      <formula>0</formula>
    </cfRule>
  </conditionalFormatting>
  <conditionalFormatting sqref="L267:N267">
    <cfRule type="cellIs" dxfId="31" priority="109" stopIfTrue="1" operator="lessThan">
      <formula>1</formula>
    </cfRule>
    <cfRule type="cellIs" dxfId="30" priority="110" stopIfTrue="1" operator="greaterThan">
      <formula>0</formula>
    </cfRule>
  </conditionalFormatting>
  <conditionalFormatting sqref="P267:R267">
    <cfRule type="cellIs" dxfId="29" priority="107" stopIfTrue="1" operator="lessThan">
      <formula>1</formula>
    </cfRule>
    <cfRule type="cellIs" dxfId="28" priority="108" stopIfTrue="1" operator="greaterThan">
      <formula>0</formula>
    </cfRule>
  </conditionalFormatting>
  <conditionalFormatting sqref="L268:N268">
    <cfRule type="cellIs" dxfId="27" priority="105" stopIfTrue="1" operator="lessThan">
      <formula>1</formula>
    </cfRule>
    <cfRule type="cellIs" dxfId="26" priority="106" stopIfTrue="1" operator="greaterThan">
      <formula>0</formula>
    </cfRule>
  </conditionalFormatting>
  <conditionalFormatting sqref="P268:R268">
    <cfRule type="cellIs" dxfId="25" priority="103" stopIfTrue="1" operator="lessThan">
      <formula>1</formula>
    </cfRule>
    <cfRule type="cellIs" dxfId="24" priority="104" stopIfTrue="1" operator="greaterThan">
      <formula>0</formula>
    </cfRule>
  </conditionalFormatting>
  <conditionalFormatting sqref="L232:N232 P232:R232">
    <cfRule type="cellIs" dxfId="23" priority="94" operator="lessThan">
      <formula>0</formula>
    </cfRule>
  </conditionalFormatting>
  <conditionalFormatting sqref="L75:N75 P75:R75">
    <cfRule type="cellIs" dxfId="22" priority="93" operator="lessThan">
      <formula>0</formula>
    </cfRule>
  </conditionalFormatting>
  <conditionalFormatting sqref="P147:R147 L147:N147">
    <cfRule type="cellIs" dxfId="21" priority="92" operator="lessThan">
      <formula>0</formula>
    </cfRule>
  </conditionalFormatting>
  <conditionalFormatting sqref="L275:N275 P275:R275">
    <cfRule type="cellIs" dxfId="20" priority="90" operator="lessThan">
      <formula>0</formula>
    </cfRule>
  </conditionalFormatting>
  <conditionalFormatting sqref="L276:N276 P276:R276">
    <cfRule type="cellIs" dxfId="19" priority="89" operator="lessThan">
      <formula>0</formula>
    </cfRule>
  </conditionalFormatting>
  <conditionalFormatting sqref="L277:N277 P277:R277">
    <cfRule type="cellIs" dxfId="18" priority="87" operator="lessThan">
      <formula>0</formula>
    </cfRule>
  </conditionalFormatting>
  <conditionalFormatting sqref="L279:N279 P279:R279">
    <cfRule type="cellIs" dxfId="17" priority="82" operator="lessThan">
      <formula>0</formula>
    </cfRule>
  </conditionalFormatting>
  <conditionalFormatting sqref="L278:N278 P278:R278">
    <cfRule type="cellIs" dxfId="16" priority="83" operator="lessThan">
      <formula>0</formula>
    </cfRule>
  </conditionalFormatting>
  <conditionalFormatting sqref="L281:N281 P281:R281">
    <cfRule type="cellIs" dxfId="15" priority="79" operator="lessThan">
      <formula>0</formula>
    </cfRule>
  </conditionalFormatting>
  <conditionalFormatting sqref="L280:N280 P280:R280">
    <cfRule type="cellIs" dxfId="14" priority="81" operator="lessThan">
      <formula>0</formula>
    </cfRule>
  </conditionalFormatting>
  <conditionalFormatting sqref="L286:N288 P286:R288">
    <cfRule type="cellIs" dxfId="13" priority="73" operator="lessThan">
      <formula>0</formula>
    </cfRule>
  </conditionalFormatting>
  <conditionalFormatting sqref="L289:N289 P289:R289">
    <cfRule type="cellIs" dxfId="12" priority="69" operator="lessThan">
      <formula>0</formula>
    </cfRule>
  </conditionalFormatting>
  <conditionalFormatting sqref="L287:N287 P287:R287">
    <cfRule type="cellIs" dxfId="11" priority="68" operator="lessThan">
      <formula>0</formula>
    </cfRule>
  </conditionalFormatting>
  <conditionalFormatting sqref="L288:N288 P288:R288">
    <cfRule type="cellIs" dxfId="10" priority="67" operator="lessThan">
      <formula>0</formula>
    </cfRule>
  </conditionalFormatting>
  <conditionalFormatting sqref="L290:N290 P290:R290">
    <cfRule type="cellIs" dxfId="9" priority="66" operator="lessThan">
      <formula>0</formula>
    </cfRule>
  </conditionalFormatting>
  <conditionalFormatting sqref="L305:N305 P305:R305">
    <cfRule type="cellIs" dxfId="8" priority="58" operator="lessThan">
      <formula>0</formula>
    </cfRule>
  </conditionalFormatting>
  <conditionalFormatting sqref="L306:N306 P306:R306">
    <cfRule type="cellIs" dxfId="7" priority="39" operator="lessThan">
      <formula>0</formula>
    </cfRule>
  </conditionalFormatting>
  <conditionalFormatting sqref="L307:N307 P307:R307">
    <cfRule type="cellIs" dxfId="6" priority="37" operator="lessThan">
      <formula>0</formula>
    </cfRule>
  </conditionalFormatting>
  <conditionalFormatting sqref="L308:N308 P308:R308">
    <cfRule type="cellIs" dxfId="5" priority="36" operator="lessThan">
      <formula>0</formula>
    </cfRule>
  </conditionalFormatting>
  <conditionalFormatting sqref="L309:N309 P309:R309">
    <cfRule type="cellIs" dxfId="4" priority="35" operator="lessThan">
      <formula>0</formula>
    </cfRule>
  </conditionalFormatting>
  <conditionalFormatting sqref="L298:N298 P298:R298">
    <cfRule type="cellIs" dxfId="3" priority="19" operator="lessThan">
      <formula>0</formula>
    </cfRule>
  </conditionalFormatting>
  <conditionalFormatting sqref="P301:R303 L301:N303">
    <cfRule type="cellIs" dxfId="2" priority="4" operator="lessThan">
      <formula>0</formula>
    </cfRule>
  </conditionalFormatting>
  <conditionalFormatting sqref="P304:R304 L304:N304">
    <cfRule type="cellIs" dxfId="1" priority="3" operator="lessThan">
      <formula>0</formula>
    </cfRule>
  </conditionalFormatting>
  <conditionalFormatting sqref="L13:N13 P13:R13">
    <cfRule type="cellIs" dxfId="0" priority="1" operator="lessThan">
      <formula>0</formula>
    </cfRule>
  </conditionalFormatting>
  <printOptions horizontalCentered="1"/>
  <pageMargins left="0.39370078740157483" right="0.39370078740157483" top="0.59055118110236227" bottom="0.39370078740157483" header="0.39370078740157483" footer="0.39370078740157483"/>
  <pageSetup paperSize="9" scale="58" orientation="landscape" horizontalDpi="180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CD37"/>
  <sheetViews>
    <sheetView workbookViewId="0">
      <selection activeCell="I44" sqref="I44"/>
    </sheetView>
  </sheetViews>
  <sheetFormatPr baseColWidth="10" defaultRowHeight="12.5" x14ac:dyDescent="0.25"/>
  <cols>
    <col min="3" max="5" width="10.54296875" bestFit="1" customWidth="1"/>
    <col min="6" max="68" width="9.7265625" customWidth="1"/>
  </cols>
  <sheetData>
    <row r="3" spans="1:82" x14ac:dyDescent="0.25">
      <c r="C3" s="88" t="s">
        <v>85</v>
      </c>
      <c r="D3" s="88" t="s">
        <v>86</v>
      </c>
      <c r="E3" s="88" t="s">
        <v>87</v>
      </c>
      <c r="F3" s="88" t="s">
        <v>97</v>
      </c>
      <c r="G3" s="89" t="s">
        <v>89</v>
      </c>
      <c r="H3" s="89" t="s">
        <v>90</v>
      </c>
      <c r="I3" s="89" t="s">
        <v>91</v>
      </c>
      <c r="J3" s="89" t="s">
        <v>92</v>
      </c>
      <c r="K3" s="89" t="s">
        <v>93</v>
      </c>
      <c r="L3" s="89" t="s">
        <v>94</v>
      </c>
      <c r="M3" s="88" t="s">
        <v>95</v>
      </c>
      <c r="N3" s="88" t="s">
        <v>96</v>
      </c>
      <c r="O3" s="88" t="s">
        <v>104</v>
      </c>
      <c r="P3" s="88" t="s">
        <v>88</v>
      </c>
      <c r="Q3" s="89" t="s">
        <v>98</v>
      </c>
      <c r="R3" s="89" t="s">
        <v>99</v>
      </c>
      <c r="S3" s="89" t="s">
        <v>100</v>
      </c>
      <c r="T3" s="89" t="s">
        <v>101</v>
      </c>
      <c r="U3" s="89" t="s">
        <v>102</v>
      </c>
      <c r="V3" s="89" t="s">
        <v>103</v>
      </c>
      <c r="W3" s="88" t="s">
        <v>105</v>
      </c>
      <c r="X3" s="88" t="s">
        <v>106</v>
      </c>
      <c r="Y3" s="88" t="s">
        <v>107</v>
      </c>
      <c r="Z3" s="89" t="s">
        <v>108</v>
      </c>
      <c r="AA3" s="89" t="s">
        <v>109</v>
      </c>
      <c r="AB3" s="89" t="s">
        <v>110</v>
      </c>
      <c r="AC3" s="89" t="s">
        <v>111</v>
      </c>
      <c r="AD3" s="89" t="s">
        <v>112</v>
      </c>
      <c r="AE3" s="89" t="s">
        <v>113</v>
      </c>
      <c r="AF3" s="89" t="s">
        <v>114</v>
      </c>
      <c r="AG3" s="88" t="s">
        <v>115</v>
      </c>
      <c r="AH3" s="88" t="s">
        <v>116</v>
      </c>
      <c r="AI3" s="88" t="s">
        <v>117</v>
      </c>
      <c r="AJ3" s="89" t="s">
        <v>118</v>
      </c>
      <c r="AK3" s="89" t="s">
        <v>119</v>
      </c>
      <c r="AL3" s="89" t="s">
        <v>120</v>
      </c>
      <c r="AM3" s="89" t="s">
        <v>121</v>
      </c>
      <c r="AN3" s="89" t="s">
        <v>122</v>
      </c>
      <c r="AO3" s="89" t="s">
        <v>123</v>
      </c>
      <c r="AP3" s="89" t="s">
        <v>124</v>
      </c>
      <c r="AQ3" s="72" t="s">
        <v>45</v>
      </c>
      <c r="AR3" s="72" t="s">
        <v>46</v>
      </c>
      <c r="AS3" s="72" t="s">
        <v>47</v>
      </c>
      <c r="AT3" s="72" t="s">
        <v>48</v>
      </c>
      <c r="AU3" s="72" t="s">
        <v>49</v>
      </c>
      <c r="AV3" s="72" t="s">
        <v>50</v>
      </c>
      <c r="AW3" s="72" t="s">
        <v>51</v>
      </c>
      <c r="AX3" s="72" t="s">
        <v>52</v>
      </c>
      <c r="AY3" s="72" t="s">
        <v>53</v>
      </c>
      <c r="AZ3" s="72" t="s">
        <v>54</v>
      </c>
      <c r="BA3" s="72" t="s">
        <v>55</v>
      </c>
      <c r="BB3" s="72" t="s">
        <v>56</v>
      </c>
      <c r="BC3" s="72" t="s">
        <v>57</v>
      </c>
      <c r="BD3" s="72" t="s">
        <v>58</v>
      </c>
      <c r="BE3" s="72" t="s">
        <v>59</v>
      </c>
      <c r="BF3" s="72" t="s">
        <v>60</v>
      </c>
      <c r="BG3" s="72" t="s">
        <v>61</v>
      </c>
      <c r="BH3" s="72" t="s">
        <v>62</v>
      </c>
      <c r="BI3" s="72" t="s">
        <v>63</v>
      </c>
      <c r="BJ3" s="72" t="s">
        <v>64</v>
      </c>
      <c r="BK3" s="72" t="s">
        <v>65</v>
      </c>
      <c r="BL3" s="72" t="s">
        <v>66</v>
      </c>
      <c r="BM3" s="72" t="s">
        <v>67</v>
      </c>
      <c r="BN3" s="72" t="s">
        <v>68</v>
      </c>
      <c r="BO3" s="72" t="s">
        <v>69</v>
      </c>
      <c r="BP3" s="72" t="s">
        <v>70</v>
      </c>
      <c r="BQ3" s="72" t="s">
        <v>71</v>
      </c>
      <c r="BR3" s="72" t="s">
        <v>72</v>
      </c>
      <c r="BS3" s="72" t="s">
        <v>73</v>
      </c>
      <c r="BT3" s="72" t="s">
        <v>74</v>
      </c>
      <c r="BU3" s="72" t="s">
        <v>75</v>
      </c>
      <c r="BV3" s="72" t="s">
        <v>76</v>
      </c>
      <c r="BW3" s="72" t="s">
        <v>77</v>
      </c>
      <c r="BX3" s="72" t="s">
        <v>78</v>
      </c>
      <c r="BY3" s="72" t="s">
        <v>79</v>
      </c>
      <c r="BZ3" s="72" t="s">
        <v>80</v>
      </c>
      <c r="CA3" s="72" t="s">
        <v>81</v>
      </c>
      <c r="CB3" s="72" t="s">
        <v>82</v>
      </c>
      <c r="CC3" s="72" t="s">
        <v>83</v>
      </c>
      <c r="CD3" s="72" t="s">
        <v>84</v>
      </c>
    </row>
    <row r="4" spans="1:82" x14ac:dyDescent="0.25">
      <c r="B4" s="75" t="s">
        <v>15</v>
      </c>
      <c r="C4" s="73">
        <v>20</v>
      </c>
      <c r="D4" s="73">
        <v>25</v>
      </c>
      <c r="E4" s="73">
        <v>30</v>
      </c>
      <c r="F4" s="73">
        <v>35</v>
      </c>
      <c r="G4" s="73">
        <v>40</v>
      </c>
      <c r="H4" s="73">
        <v>45</v>
      </c>
      <c r="I4" s="73">
        <v>50</v>
      </c>
      <c r="J4" s="73">
        <v>55</v>
      </c>
      <c r="K4" s="73">
        <v>57</v>
      </c>
      <c r="L4" s="73">
        <v>60</v>
      </c>
      <c r="M4" s="74">
        <v>30</v>
      </c>
      <c r="N4" s="74">
        <v>35</v>
      </c>
      <c r="O4" s="74">
        <v>40</v>
      </c>
      <c r="P4" s="74">
        <v>45</v>
      </c>
      <c r="Q4" s="74">
        <v>50</v>
      </c>
      <c r="R4" s="74">
        <v>55</v>
      </c>
      <c r="S4" s="74">
        <v>60</v>
      </c>
      <c r="T4" s="74">
        <v>65</v>
      </c>
      <c r="U4" s="74">
        <v>67</v>
      </c>
      <c r="V4" s="74">
        <v>70</v>
      </c>
      <c r="W4" s="76">
        <v>40</v>
      </c>
      <c r="X4" s="76">
        <v>45</v>
      </c>
      <c r="Y4" s="76">
        <v>50</v>
      </c>
      <c r="Z4" s="76">
        <v>55</v>
      </c>
      <c r="AA4" s="76">
        <v>60</v>
      </c>
      <c r="AB4" s="76">
        <v>65</v>
      </c>
      <c r="AC4" s="76">
        <v>70</v>
      </c>
      <c r="AD4" s="76">
        <v>75</v>
      </c>
      <c r="AE4" s="76">
        <v>77</v>
      </c>
      <c r="AF4" s="76">
        <v>80</v>
      </c>
      <c r="AG4" s="77">
        <v>50</v>
      </c>
      <c r="AH4" s="77">
        <v>55</v>
      </c>
      <c r="AI4" s="77">
        <v>60</v>
      </c>
      <c r="AJ4" s="77">
        <v>65</v>
      </c>
      <c r="AK4" s="77">
        <v>70</v>
      </c>
      <c r="AL4" s="77">
        <v>75</v>
      </c>
      <c r="AM4" s="77">
        <v>80</v>
      </c>
      <c r="AN4" s="77">
        <v>85</v>
      </c>
      <c r="AO4" s="77">
        <v>87</v>
      </c>
      <c r="AP4" s="77">
        <v>90</v>
      </c>
      <c r="AQ4" s="78">
        <v>40</v>
      </c>
      <c r="AR4" s="78">
        <v>55</v>
      </c>
      <c r="AS4" s="78">
        <v>65</v>
      </c>
      <c r="AT4" s="78">
        <v>75</v>
      </c>
      <c r="AU4" s="78">
        <v>80</v>
      </c>
      <c r="AV4" s="78">
        <v>85</v>
      </c>
      <c r="AW4" s="78">
        <v>90</v>
      </c>
      <c r="AX4" s="78">
        <v>95</v>
      </c>
      <c r="AY4" s="78">
        <v>100</v>
      </c>
      <c r="AZ4" s="78">
        <v>105</v>
      </c>
      <c r="BA4" s="81">
        <v>50</v>
      </c>
      <c r="BB4" s="81">
        <v>65</v>
      </c>
      <c r="BC4" s="81">
        <v>80</v>
      </c>
      <c r="BD4" s="81">
        <v>90</v>
      </c>
      <c r="BE4" s="90">
        <v>100</v>
      </c>
      <c r="BF4" s="81">
        <v>110</v>
      </c>
      <c r="BG4" s="81">
        <v>115</v>
      </c>
      <c r="BH4" s="81">
        <v>120</v>
      </c>
      <c r="BI4" s="81">
        <v>125</v>
      </c>
      <c r="BJ4" s="81">
        <v>130</v>
      </c>
      <c r="BK4" s="73">
        <v>80</v>
      </c>
      <c r="BL4" s="73">
        <v>95</v>
      </c>
      <c r="BM4" s="73">
        <v>105</v>
      </c>
      <c r="BN4" s="73">
        <v>120</v>
      </c>
      <c r="BO4" s="73">
        <v>130</v>
      </c>
      <c r="BP4" s="73">
        <v>135</v>
      </c>
      <c r="BQ4" s="73">
        <v>140</v>
      </c>
      <c r="BR4" s="73">
        <v>145</v>
      </c>
      <c r="BS4" s="73">
        <v>150</v>
      </c>
      <c r="BT4" s="73">
        <v>155</v>
      </c>
      <c r="BU4" s="84">
        <v>95</v>
      </c>
      <c r="BV4" s="84">
        <v>110</v>
      </c>
      <c r="BW4" s="84">
        <v>125</v>
      </c>
      <c r="BX4" s="84">
        <v>135</v>
      </c>
      <c r="BY4" s="84">
        <v>145</v>
      </c>
      <c r="BZ4" s="84">
        <v>150</v>
      </c>
      <c r="CA4" s="84">
        <v>155</v>
      </c>
      <c r="CB4" s="84">
        <v>160</v>
      </c>
      <c r="CC4" s="84">
        <v>165</v>
      </c>
      <c r="CD4" s="84">
        <v>170</v>
      </c>
    </row>
    <row r="5" spans="1:82" x14ac:dyDescent="0.25">
      <c r="B5" s="75" t="s">
        <v>16</v>
      </c>
      <c r="C5" s="73">
        <v>25</v>
      </c>
      <c r="D5" s="73">
        <v>35</v>
      </c>
      <c r="E5" s="73">
        <v>40</v>
      </c>
      <c r="F5" s="73">
        <v>45</v>
      </c>
      <c r="G5" s="73">
        <v>50</v>
      </c>
      <c r="H5" s="73">
        <v>55</v>
      </c>
      <c r="I5" s="73">
        <v>60</v>
      </c>
      <c r="J5" s="73">
        <v>65</v>
      </c>
      <c r="K5" s="73">
        <v>67</v>
      </c>
      <c r="L5" s="73">
        <v>70</v>
      </c>
      <c r="M5" s="74">
        <v>35</v>
      </c>
      <c r="N5" s="74">
        <v>42</v>
      </c>
      <c r="O5" s="74">
        <v>50</v>
      </c>
      <c r="P5" s="74">
        <v>55</v>
      </c>
      <c r="Q5" s="74">
        <v>60</v>
      </c>
      <c r="R5" s="74">
        <v>65</v>
      </c>
      <c r="S5" s="74">
        <v>70</v>
      </c>
      <c r="T5" s="74">
        <v>75</v>
      </c>
      <c r="U5" s="74">
        <v>77</v>
      </c>
      <c r="V5" s="74">
        <v>80</v>
      </c>
      <c r="W5" s="76">
        <v>50</v>
      </c>
      <c r="X5" s="76">
        <v>55</v>
      </c>
      <c r="Y5" s="76">
        <v>62</v>
      </c>
      <c r="Z5" s="76">
        <v>70</v>
      </c>
      <c r="AA5" s="76">
        <v>75</v>
      </c>
      <c r="AB5" s="76">
        <v>80</v>
      </c>
      <c r="AC5" s="76">
        <v>85</v>
      </c>
      <c r="AD5" s="76">
        <v>90</v>
      </c>
      <c r="AE5" s="76">
        <v>92</v>
      </c>
      <c r="AF5" s="76">
        <v>95</v>
      </c>
      <c r="AG5" s="77">
        <v>60</v>
      </c>
      <c r="AH5" s="77">
        <v>67</v>
      </c>
      <c r="AI5" s="77">
        <v>75</v>
      </c>
      <c r="AJ5" s="77">
        <v>80</v>
      </c>
      <c r="AK5" s="77">
        <v>85</v>
      </c>
      <c r="AL5" s="77">
        <v>90</v>
      </c>
      <c r="AM5" s="77">
        <v>95</v>
      </c>
      <c r="AN5" s="77">
        <v>100</v>
      </c>
      <c r="AO5" s="77">
        <v>102</v>
      </c>
      <c r="AP5" s="77">
        <v>105</v>
      </c>
      <c r="AQ5" s="79">
        <v>55</v>
      </c>
      <c r="AR5" s="79">
        <v>70</v>
      </c>
      <c r="AS5" s="79">
        <v>80</v>
      </c>
      <c r="AT5" s="79">
        <v>95</v>
      </c>
      <c r="AU5" s="79">
        <v>100</v>
      </c>
      <c r="AV5" s="79">
        <v>105</v>
      </c>
      <c r="AW5" s="79">
        <v>110</v>
      </c>
      <c r="AX5" s="79">
        <v>115</v>
      </c>
      <c r="AY5" s="79">
        <v>120</v>
      </c>
      <c r="AZ5" s="79">
        <v>125</v>
      </c>
      <c r="BA5" s="82">
        <v>65</v>
      </c>
      <c r="BB5" s="82">
        <v>85</v>
      </c>
      <c r="BC5" s="82">
        <v>100</v>
      </c>
      <c r="BD5" s="82">
        <v>110</v>
      </c>
      <c r="BE5" s="82">
        <v>120</v>
      </c>
      <c r="BF5" s="82">
        <v>130</v>
      </c>
      <c r="BG5" s="82">
        <v>135</v>
      </c>
      <c r="BH5" s="82">
        <v>140</v>
      </c>
      <c r="BI5" s="82">
        <v>145</v>
      </c>
      <c r="BJ5" s="82">
        <v>150</v>
      </c>
      <c r="BK5" s="85">
        <v>100</v>
      </c>
      <c r="BL5" s="85">
        <v>115</v>
      </c>
      <c r="BM5" s="85">
        <v>125</v>
      </c>
      <c r="BN5" s="85">
        <v>140</v>
      </c>
      <c r="BO5" s="85">
        <v>150</v>
      </c>
      <c r="BP5" s="85">
        <v>160</v>
      </c>
      <c r="BQ5" s="85">
        <v>165</v>
      </c>
      <c r="BR5" s="85">
        <v>170</v>
      </c>
      <c r="BS5" s="85">
        <v>175</v>
      </c>
      <c r="BT5" s="85">
        <v>180</v>
      </c>
      <c r="BU5" s="83">
        <v>115</v>
      </c>
      <c r="BV5" s="83">
        <v>130</v>
      </c>
      <c r="BW5" s="83">
        <v>145</v>
      </c>
      <c r="BX5" s="83">
        <v>160</v>
      </c>
      <c r="BY5" s="83">
        <v>170</v>
      </c>
      <c r="BZ5" s="83">
        <v>175</v>
      </c>
      <c r="CA5" s="83">
        <v>180</v>
      </c>
      <c r="CB5" s="83">
        <v>185</v>
      </c>
      <c r="CC5" s="83">
        <v>190</v>
      </c>
      <c r="CD5" s="83">
        <v>195</v>
      </c>
    </row>
    <row r="6" spans="1:82" x14ac:dyDescent="0.25">
      <c r="B6" s="75" t="s">
        <v>17</v>
      </c>
      <c r="C6" s="73">
        <v>35</v>
      </c>
      <c r="D6" s="73">
        <v>45</v>
      </c>
      <c r="E6" s="73">
        <v>50</v>
      </c>
      <c r="F6" s="73">
        <v>57</v>
      </c>
      <c r="G6" s="73">
        <v>62</v>
      </c>
      <c r="H6" s="73">
        <v>67</v>
      </c>
      <c r="I6" s="73">
        <v>72</v>
      </c>
      <c r="J6" s="73">
        <v>75</v>
      </c>
      <c r="K6" s="73">
        <v>77</v>
      </c>
      <c r="L6" s="73">
        <v>80</v>
      </c>
      <c r="M6" s="74">
        <v>45</v>
      </c>
      <c r="N6" s="74">
        <v>50</v>
      </c>
      <c r="O6" s="74">
        <v>57</v>
      </c>
      <c r="P6" s="74">
        <v>65</v>
      </c>
      <c r="Q6" s="74">
        <v>70</v>
      </c>
      <c r="R6" s="74">
        <v>75</v>
      </c>
      <c r="S6" s="74">
        <v>80</v>
      </c>
      <c r="T6" s="74">
        <v>85</v>
      </c>
      <c r="U6" s="74">
        <v>90</v>
      </c>
      <c r="V6" s="74">
        <v>95</v>
      </c>
      <c r="W6" s="76">
        <v>60</v>
      </c>
      <c r="X6" s="76">
        <v>65</v>
      </c>
      <c r="Y6" s="76">
        <v>75</v>
      </c>
      <c r="Z6" s="76">
        <v>82</v>
      </c>
      <c r="AA6" s="76">
        <v>90</v>
      </c>
      <c r="AB6" s="76">
        <v>95</v>
      </c>
      <c r="AC6" s="76">
        <v>100</v>
      </c>
      <c r="AD6" s="76">
        <v>105</v>
      </c>
      <c r="AE6" s="76">
        <v>107</v>
      </c>
      <c r="AF6" s="76">
        <v>110</v>
      </c>
      <c r="AG6" s="77">
        <v>70</v>
      </c>
      <c r="AH6" s="77">
        <v>80</v>
      </c>
      <c r="AI6" s="77">
        <v>87</v>
      </c>
      <c r="AJ6" s="77">
        <v>92</v>
      </c>
      <c r="AK6" s="77">
        <v>100</v>
      </c>
      <c r="AL6" s="77">
        <v>107</v>
      </c>
      <c r="AM6" s="77">
        <v>115</v>
      </c>
      <c r="AN6" s="77">
        <v>120</v>
      </c>
      <c r="AO6" s="77">
        <v>122</v>
      </c>
      <c r="AP6" s="77">
        <v>125</v>
      </c>
      <c r="AQ6" s="79">
        <v>70</v>
      </c>
      <c r="AR6" s="79">
        <v>85</v>
      </c>
      <c r="AS6" s="79">
        <v>100</v>
      </c>
      <c r="AT6" s="79">
        <v>110</v>
      </c>
      <c r="AU6" s="79">
        <v>120</v>
      </c>
      <c r="AV6" s="79">
        <v>130</v>
      </c>
      <c r="AW6" s="79">
        <v>135</v>
      </c>
      <c r="AX6" s="79">
        <v>140</v>
      </c>
      <c r="AY6" s="79">
        <v>145</v>
      </c>
      <c r="AZ6" s="79">
        <v>150</v>
      </c>
      <c r="BA6" s="82">
        <v>80</v>
      </c>
      <c r="BB6" s="82">
        <v>100</v>
      </c>
      <c r="BC6" s="82">
        <v>120</v>
      </c>
      <c r="BD6" s="82">
        <v>130</v>
      </c>
      <c r="BE6" s="82">
        <v>140</v>
      </c>
      <c r="BF6" s="82">
        <v>150</v>
      </c>
      <c r="BG6" s="82">
        <v>160</v>
      </c>
      <c r="BH6" s="82">
        <v>165</v>
      </c>
      <c r="BI6" s="82">
        <v>170</v>
      </c>
      <c r="BJ6" s="82">
        <v>175</v>
      </c>
      <c r="BK6" s="85">
        <v>115</v>
      </c>
      <c r="BL6" s="85">
        <v>130</v>
      </c>
      <c r="BM6" s="85">
        <v>150</v>
      </c>
      <c r="BN6" s="85">
        <v>160</v>
      </c>
      <c r="BO6" s="85">
        <v>170</v>
      </c>
      <c r="BP6" s="85">
        <v>180</v>
      </c>
      <c r="BQ6" s="85">
        <v>185</v>
      </c>
      <c r="BR6" s="85">
        <v>190</v>
      </c>
      <c r="BS6" s="85">
        <v>195</v>
      </c>
      <c r="BT6" s="85">
        <v>200</v>
      </c>
      <c r="BU6" s="83">
        <v>130</v>
      </c>
      <c r="BV6" s="83">
        <v>150</v>
      </c>
      <c r="BW6" s="83">
        <v>170</v>
      </c>
      <c r="BX6" s="83">
        <v>185</v>
      </c>
      <c r="BY6" s="83">
        <v>195</v>
      </c>
      <c r="BZ6" s="83">
        <v>200</v>
      </c>
      <c r="CA6" s="83">
        <v>205</v>
      </c>
      <c r="CB6" s="83">
        <v>210</v>
      </c>
      <c r="CC6" s="83">
        <v>215</v>
      </c>
      <c r="CD6" s="83">
        <v>220</v>
      </c>
    </row>
    <row r="7" spans="1:82" x14ac:dyDescent="0.25">
      <c r="B7" s="75" t="s">
        <v>18</v>
      </c>
      <c r="C7" s="73">
        <v>45</v>
      </c>
      <c r="D7" s="73">
        <v>55</v>
      </c>
      <c r="E7" s="73">
        <v>60</v>
      </c>
      <c r="F7" s="73">
        <v>67</v>
      </c>
      <c r="G7" s="73">
        <v>72</v>
      </c>
      <c r="H7" s="73">
        <v>77</v>
      </c>
      <c r="I7" s="73">
        <v>82</v>
      </c>
      <c r="J7" s="73">
        <v>85</v>
      </c>
      <c r="K7" s="73">
        <v>87</v>
      </c>
      <c r="L7" s="73">
        <v>90</v>
      </c>
      <c r="M7" s="74">
        <v>55</v>
      </c>
      <c r="N7" s="74">
        <v>60</v>
      </c>
      <c r="O7" s="74">
        <v>67</v>
      </c>
      <c r="P7" s="74">
        <v>77</v>
      </c>
      <c r="Q7" s="74">
        <v>82</v>
      </c>
      <c r="R7" s="74">
        <v>87</v>
      </c>
      <c r="S7" s="74">
        <v>92</v>
      </c>
      <c r="T7" s="74">
        <v>97</v>
      </c>
      <c r="U7" s="74">
        <v>100</v>
      </c>
      <c r="V7" s="74">
        <v>105</v>
      </c>
      <c r="W7" s="76">
        <v>70</v>
      </c>
      <c r="X7" s="76">
        <v>77</v>
      </c>
      <c r="Y7" s="76">
        <v>87</v>
      </c>
      <c r="Z7" s="76">
        <v>95</v>
      </c>
      <c r="AA7" s="76">
        <v>105</v>
      </c>
      <c r="AB7" s="76">
        <v>110</v>
      </c>
      <c r="AC7" s="76">
        <v>115</v>
      </c>
      <c r="AD7" s="76">
        <v>120</v>
      </c>
      <c r="AE7" s="76">
        <v>122</v>
      </c>
      <c r="AF7" s="76">
        <v>125</v>
      </c>
      <c r="AG7" s="77">
        <v>82</v>
      </c>
      <c r="AH7" s="77">
        <v>92</v>
      </c>
      <c r="AI7" s="77">
        <v>102</v>
      </c>
      <c r="AJ7" s="77">
        <v>107</v>
      </c>
      <c r="AK7" s="77">
        <v>117</v>
      </c>
      <c r="AL7" s="77">
        <v>122</v>
      </c>
      <c r="AM7" s="77">
        <v>130</v>
      </c>
      <c r="AN7" s="77">
        <v>135</v>
      </c>
      <c r="AO7" s="77">
        <v>137</v>
      </c>
      <c r="AP7" s="77">
        <v>140</v>
      </c>
      <c r="AQ7" s="79">
        <v>85</v>
      </c>
      <c r="AR7" s="79">
        <v>100</v>
      </c>
      <c r="AS7" s="79">
        <v>115</v>
      </c>
      <c r="AT7" s="79">
        <v>130</v>
      </c>
      <c r="AU7" s="79">
        <v>140</v>
      </c>
      <c r="AV7" s="79">
        <v>150</v>
      </c>
      <c r="AW7" s="79">
        <v>155</v>
      </c>
      <c r="AX7" s="79">
        <v>160</v>
      </c>
      <c r="AY7" s="79">
        <v>165</v>
      </c>
      <c r="AZ7" s="79">
        <v>170</v>
      </c>
      <c r="BA7" s="82">
        <v>95</v>
      </c>
      <c r="BB7" s="82">
        <v>115</v>
      </c>
      <c r="BC7" s="82">
        <v>135</v>
      </c>
      <c r="BD7" s="82">
        <v>150</v>
      </c>
      <c r="BE7" s="82">
        <v>160</v>
      </c>
      <c r="BF7" s="82">
        <v>170</v>
      </c>
      <c r="BG7" s="82">
        <v>180</v>
      </c>
      <c r="BH7" s="82">
        <v>185</v>
      </c>
      <c r="BI7" s="82">
        <v>190</v>
      </c>
      <c r="BJ7" s="82">
        <v>195</v>
      </c>
      <c r="BK7" s="85">
        <v>130</v>
      </c>
      <c r="BL7" s="85">
        <v>150</v>
      </c>
      <c r="BM7" s="85">
        <v>170</v>
      </c>
      <c r="BN7" s="85">
        <v>180</v>
      </c>
      <c r="BO7" s="85">
        <v>190</v>
      </c>
      <c r="BP7" s="85">
        <v>200</v>
      </c>
      <c r="BQ7" s="85">
        <v>210</v>
      </c>
      <c r="BR7" s="85">
        <v>215</v>
      </c>
      <c r="BS7" s="85">
        <v>220</v>
      </c>
      <c r="BT7" s="85">
        <v>225</v>
      </c>
      <c r="BU7" s="83">
        <v>145</v>
      </c>
      <c r="BV7" s="83">
        <v>170</v>
      </c>
      <c r="BW7" s="83">
        <v>195</v>
      </c>
      <c r="BX7" s="83">
        <v>210</v>
      </c>
      <c r="BY7" s="83">
        <v>220</v>
      </c>
      <c r="BZ7" s="83">
        <v>230</v>
      </c>
      <c r="CA7" s="83">
        <v>235</v>
      </c>
      <c r="CB7" s="83">
        <v>240</v>
      </c>
      <c r="CC7" s="83">
        <v>245</v>
      </c>
      <c r="CD7" s="83">
        <v>250</v>
      </c>
    </row>
    <row r="8" spans="1:82" x14ac:dyDescent="0.25">
      <c r="B8" s="75" t="s">
        <v>19</v>
      </c>
      <c r="C8" s="73">
        <v>55</v>
      </c>
      <c r="D8" s="73">
        <v>65</v>
      </c>
      <c r="E8" s="73">
        <v>72</v>
      </c>
      <c r="F8" s="73">
        <v>82</v>
      </c>
      <c r="G8" s="73">
        <v>87</v>
      </c>
      <c r="H8" s="73">
        <v>92</v>
      </c>
      <c r="I8" s="73">
        <v>97</v>
      </c>
      <c r="J8" s="73">
        <v>100</v>
      </c>
      <c r="K8" s="73">
        <v>102</v>
      </c>
      <c r="L8" s="73">
        <v>105</v>
      </c>
      <c r="M8" s="74">
        <v>68</v>
      </c>
      <c r="N8" s="74">
        <v>75</v>
      </c>
      <c r="O8" s="74">
        <v>82</v>
      </c>
      <c r="P8" s="74">
        <v>92</v>
      </c>
      <c r="Q8" s="74">
        <v>97</v>
      </c>
      <c r="R8" s="74">
        <v>102</v>
      </c>
      <c r="S8" s="74">
        <v>107</v>
      </c>
      <c r="T8" s="74">
        <v>110</v>
      </c>
      <c r="U8" s="74">
        <v>112</v>
      </c>
      <c r="V8" s="74">
        <v>115</v>
      </c>
      <c r="W8" s="76">
        <v>83</v>
      </c>
      <c r="X8" s="76">
        <v>90</v>
      </c>
      <c r="Y8" s="76">
        <v>103</v>
      </c>
      <c r="Z8" s="76">
        <v>110</v>
      </c>
      <c r="AA8" s="76">
        <v>118</v>
      </c>
      <c r="AB8" s="76">
        <v>123</v>
      </c>
      <c r="AC8" s="76">
        <v>127</v>
      </c>
      <c r="AD8" s="76">
        <v>132</v>
      </c>
      <c r="AE8" s="76">
        <v>135</v>
      </c>
      <c r="AF8" s="76">
        <v>140</v>
      </c>
      <c r="AG8" s="77">
        <v>95</v>
      </c>
      <c r="AH8" s="77">
        <v>107</v>
      </c>
      <c r="AI8" s="77">
        <v>123</v>
      </c>
      <c r="AJ8" s="77">
        <v>130</v>
      </c>
      <c r="AK8" s="77">
        <v>137</v>
      </c>
      <c r="AL8" s="77">
        <v>142</v>
      </c>
      <c r="AM8" s="77">
        <v>147</v>
      </c>
      <c r="AN8" s="77">
        <v>150</v>
      </c>
      <c r="AO8" s="77">
        <v>152</v>
      </c>
      <c r="AP8" s="77">
        <v>155</v>
      </c>
      <c r="AQ8" s="79">
        <v>100</v>
      </c>
      <c r="AR8" s="79">
        <v>115</v>
      </c>
      <c r="AS8" s="79">
        <v>130</v>
      </c>
      <c r="AT8" s="79">
        <v>150</v>
      </c>
      <c r="AU8" s="79">
        <v>160</v>
      </c>
      <c r="AV8" s="79">
        <v>170</v>
      </c>
      <c r="AW8" s="79">
        <v>175</v>
      </c>
      <c r="AX8" s="79">
        <v>180</v>
      </c>
      <c r="AY8" s="79">
        <v>185</v>
      </c>
      <c r="AZ8" s="79">
        <v>190</v>
      </c>
      <c r="BA8" s="82">
        <v>110</v>
      </c>
      <c r="BB8" s="82">
        <v>130</v>
      </c>
      <c r="BC8" s="82">
        <v>150</v>
      </c>
      <c r="BD8" s="82">
        <v>170</v>
      </c>
      <c r="BE8" s="82">
        <v>180</v>
      </c>
      <c r="BF8" s="82">
        <v>190</v>
      </c>
      <c r="BG8" s="82">
        <v>200</v>
      </c>
      <c r="BH8" s="82">
        <v>205</v>
      </c>
      <c r="BI8" s="82">
        <v>210</v>
      </c>
      <c r="BJ8" s="82">
        <v>215</v>
      </c>
      <c r="BK8" s="85">
        <v>145</v>
      </c>
      <c r="BL8" s="85">
        <v>170</v>
      </c>
      <c r="BM8" s="85">
        <v>190</v>
      </c>
      <c r="BN8" s="85">
        <v>200</v>
      </c>
      <c r="BO8" s="85">
        <v>215</v>
      </c>
      <c r="BP8" s="85">
        <v>225</v>
      </c>
      <c r="BQ8" s="85">
        <v>230</v>
      </c>
      <c r="BR8" s="85">
        <v>240</v>
      </c>
      <c r="BS8" s="85">
        <v>245</v>
      </c>
      <c r="BT8" s="85">
        <v>250</v>
      </c>
      <c r="BU8" s="83">
        <v>170</v>
      </c>
      <c r="BV8" s="83">
        <v>195</v>
      </c>
      <c r="BW8" s="83">
        <v>225</v>
      </c>
      <c r="BX8" s="83">
        <v>240</v>
      </c>
      <c r="BY8" s="83">
        <v>250</v>
      </c>
      <c r="BZ8" s="83">
        <v>260</v>
      </c>
      <c r="CA8" s="83">
        <v>265</v>
      </c>
      <c r="CB8" s="83">
        <v>270</v>
      </c>
      <c r="CC8" s="83">
        <v>275</v>
      </c>
      <c r="CD8" s="83">
        <v>280</v>
      </c>
    </row>
    <row r="9" spans="1:82" x14ac:dyDescent="0.25">
      <c r="B9" s="75" t="s">
        <v>20</v>
      </c>
      <c r="C9" s="73">
        <v>68</v>
      </c>
      <c r="D9" s="73">
        <v>78</v>
      </c>
      <c r="E9" s="73">
        <v>85</v>
      </c>
      <c r="F9" s="73">
        <v>95</v>
      </c>
      <c r="G9" s="73">
        <v>100</v>
      </c>
      <c r="H9" s="73">
        <v>105</v>
      </c>
      <c r="I9" s="73">
        <v>110</v>
      </c>
      <c r="J9" s="73">
        <v>115</v>
      </c>
      <c r="K9" s="73">
        <v>117</v>
      </c>
      <c r="L9" s="73">
        <v>120</v>
      </c>
      <c r="M9" s="74">
        <v>80</v>
      </c>
      <c r="N9" s="74">
        <v>88</v>
      </c>
      <c r="O9" s="74">
        <v>95</v>
      </c>
      <c r="P9" s="74">
        <v>105</v>
      </c>
      <c r="Q9" s="74">
        <v>110</v>
      </c>
      <c r="R9" s="74">
        <v>115</v>
      </c>
      <c r="S9" s="74">
        <v>120</v>
      </c>
      <c r="T9" s="74">
        <v>125</v>
      </c>
      <c r="U9" s="74">
        <v>130</v>
      </c>
      <c r="V9" s="74">
        <v>135</v>
      </c>
      <c r="W9" s="76">
        <v>97</v>
      </c>
      <c r="X9" s="76">
        <v>105</v>
      </c>
      <c r="Y9" s="76">
        <v>118</v>
      </c>
      <c r="Z9" s="76">
        <v>125</v>
      </c>
      <c r="AA9" s="76">
        <v>135</v>
      </c>
      <c r="AB9" s="76">
        <v>142</v>
      </c>
      <c r="AC9" s="76">
        <v>147</v>
      </c>
      <c r="AD9" s="76">
        <v>152</v>
      </c>
      <c r="AE9" s="76">
        <v>155</v>
      </c>
      <c r="AF9" s="76">
        <v>160</v>
      </c>
      <c r="AG9" s="77">
        <v>110</v>
      </c>
      <c r="AH9" s="77">
        <v>122</v>
      </c>
      <c r="AI9" s="77">
        <v>138</v>
      </c>
      <c r="AJ9" s="77">
        <v>145</v>
      </c>
      <c r="AK9" s="77">
        <v>155</v>
      </c>
      <c r="AL9" s="77">
        <v>165</v>
      </c>
      <c r="AM9" s="77">
        <v>170</v>
      </c>
      <c r="AN9" s="77">
        <v>172</v>
      </c>
      <c r="AO9" s="77">
        <v>175</v>
      </c>
      <c r="AP9" s="77">
        <v>180</v>
      </c>
      <c r="AQ9" s="79">
        <v>115</v>
      </c>
      <c r="AR9" s="79">
        <v>130</v>
      </c>
      <c r="AS9" s="79">
        <v>150</v>
      </c>
      <c r="AT9" s="79">
        <v>170</v>
      </c>
      <c r="AU9" s="79">
        <v>180</v>
      </c>
      <c r="AV9" s="79">
        <v>190</v>
      </c>
      <c r="AW9" s="79">
        <v>200</v>
      </c>
      <c r="AX9" s="79">
        <v>205</v>
      </c>
      <c r="AY9" s="79">
        <v>210</v>
      </c>
      <c r="AZ9" s="79">
        <v>215</v>
      </c>
      <c r="BA9" s="82">
        <v>125</v>
      </c>
      <c r="BB9" s="82">
        <v>145</v>
      </c>
      <c r="BC9" s="82">
        <v>170</v>
      </c>
      <c r="BD9" s="82">
        <v>190</v>
      </c>
      <c r="BE9" s="82">
        <v>200</v>
      </c>
      <c r="BF9" s="82">
        <v>210</v>
      </c>
      <c r="BG9" s="82">
        <v>220</v>
      </c>
      <c r="BH9" s="82">
        <v>225</v>
      </c>
      <c r="BI9" s="82">
        <v>230</v>
      </c>
      <c r="BJ9" s="82">
        <v>235</v>
      </c>
      <c r="BK9" s="85">
        <v>170</v>
      </c>
      <c r="BL9" s="85">
        <v>190</v>
      </c>
      <c r="BM9" s="85">
        <v>218</v>
      </c>
      <c r="BN9" s="85">
        <v>230</v>
      </c>
      <c r="BO9" s="85">
        <v>245</v>
      </c>
      <c r="BP9" s="85">
        <v>255</v>
      </c>
      <c r="BQ9" s="85">
        <v>260</v>
      </c>
      <c r="BR9" s="85">
        <v>270</v>
      </c>
      <c r="BS9" s="85">
        <v>275</v>
      </c>
      <c r="BT9" s="85">
        <v>280</v>
      </c>
      <c r="BU9" s="83">
        <v>190</v>
      </c>
      <c r="BV9" s="83">
        <v>215</v>
      </c>
      <c r="BW9" s="83">
        <v>240</v>
      </c>
      <c r="BX9" s="83">
        <v>260</v>
      </c>
      <c r="BY9" s="83">
        <v>275</v>
      </c>
      <c r="BZ9" s="83">
        <v>287</v>
      </c>
      <c r="CA9" s="83">
        <v>295</v>
      </c>
      <c r="CB9" s="83">
        <v>302</v>
      </c>
      <c r="CC9" s="83">
        <v>310</v>
      </c>
      <c r="CD9" s="83">
        <v>315</v>
      </c>
    </row>
    <row r="10" spans="1:82" x14ac:dyDescent="0.25">
      <c r="B10" s="75" t="s">
        <v>21</v>
      </c>
      <c r="C10" s="73">
        <v>80</v>
      </c>
      <c r="D10" s="73">
        <v>90</v>
      </c>
      <c r="E10" s="73">
        <v>100</v>
      </c>
      <c r="F10" s="73">
        <v>110</v>
      </c>
      <c r="G10" s="73">
        <v>115</v>
      </c>
      <c r="H10" s="73">
        <v>120</v>
      </c>
      <c r="I10" s="73">
        <v>125</v>
      </c>
      <c r="J10" s="73">
        <v>130</v>
      </c>
      <c r="K10" s="73">
        <v>132</v>
      </c>
      <c r="L10" s="73">
        <v>135</v>
      </c>
      <c r="M10" s="74">
        <v>90</v>
      </c>
      <c r="N10" s="74">
        <v>100</v>
      </c>
      <c r="O10" s="74">
        <v>110</v>
      </c>
      <c r="P10" s="74">
        <v>120</v>
      </c>
      <c r="Q10" s="74">
        <v>125</v>
      </c>
      <c r="R10" s="74">
        <v>130</v>
      </c>
      <c r="S10" s="74">
        <v>135</v>
      </c>
      <c r="T10" s="74">
        <v>140</v>
      </c>
      <c r="U10" s="74">
        <v>145</v>
      </c>
      <c r="V10" s="74">
        <v>150</v>
      </c>
      <c r="W10" s="76">
        <v>110</v>
      </c>
      <c r="X10" s="76">
        <v>120</v>
      </c>
      <c r="Y10" s="76">
        <v>138</v>
      </c>
      <c r="Z10" s="76">
        <v>145</v>
      </c>
      <c r="AA10" s="76">
        <v>155</v>
      </c>
      <c r="AB10" s="76">
        <v>162</v>
      </c>
      <c r="AC10" s="76">
        <v>167</v>
      </c>
      <c r="AD10" s="76">
        <v>172</v>
      </c>
      <c r="AE10" s="76">
        <v>175</v>
      </c>
      <c r="AF10" s="76">
        <v>180</v>
      </c>
      <c r="AG10" s="77">
        <v>125</v>
      </c>
      <c r="AH10" s="77">
        <v>140</v>
      </c>
      <c r="AI10" s="77">
        <v>155</v>
      </c>
      <c r="AJ10" s="77">
        <v>165</v>
      </c>
      <c r="AK10" s="77">
        <v>175</v>
      </c>
      <c r="AL10" s="77">
        <v>185</v>
      </c>
      <c r="AM10" s="77">
        <v>190</v>
      </c>
      <c r="AN10" s="77">
        <v>192</v>
      </c>
      <c r="AO10" s="77">
        <v>195</v>
      </c>
      <c r="AP10" s="77">
        <v>200</v>
      </c>
      <c r="AQ10" s="79">
        <v>130</v>
      </c>
      <c r="AR10" s="79">
        <v>150</v>
      </c>
      <c r="AS10" s="79">
        <v>170</v>
      </c>
      <c r="AT10" s="79">
        <v>190</v>
      </c>
      <c r="AU10" s="79">
        <v>200</v>
      </c>
      <c r="AV10" s="79">
        <v>210</v>
      </c>
      <c r="AW10" s="79">
        <v>220</v>
      </c>
      <c r="AX10" s="79">
        <v>225</v>
      </c>
      <c r="AY10" s="79">
        <v>230</v>
      </c>
      <c r="AZ10" s="79">
        <v>235</v>
      </c>
      <c r="BA10" s="82">
        <v>140</v>
      </c>
      <c r="BB10" s="82">
        <v>170</v>
      </c>
      <c r="BC10" s="82">
        <v>190</v>
      </c>
      <c r="BD10" s="82">
        <v>210</v>
      </c>
      <c r="BE10" s="82">
        <v>220</v>
      </c>
      <c r="BF10" s="82">
        <v>230</v>
      </c>
      <c r="BG10" s="82">
        <v>240</v>
      </c>
      <c r="BH10" s="82">
        <v>250</v>
      </c>
      <c r="BI10" s="82">
        <v>255</v>
      </c>
      <c r="BJ10" s="82">
        <v>260</v>
      </c>
      <c r="BK10" s="85">
        <v>190</v>
      </c>
      <c r="BL10" s="85">
        <v>210</v>
      </c>
      <c r="BM10" s="85">
        <v>240</v>
      </c>
      <c r="BN10" s="85">
        <v>250</v>
      </c>
      <c r="BO10" s="85">
        <v>270</v>
      </c>
      <c r="BP10" s="85">
        <v>285</v>
      </c>
      <c r="BQ10" s="85">
        <v>290</v>
      </c>
      <c r="BR10" s="85">
        <v>300</v>
      </c>
      <c r="BS10" s="85">
        <v>305</v>
      </c>
      <c r="BT10" s="85">
        <v>310</v>
      </c>
      <c r="BU10" s="83">
        <v>210</v>
      </c>
      <c r="BV10" s="83">
        <v>235</v>
      </c>
      <c r="BW10" s="83">
        <v>260</v>
      </c>
      <c r="BX10" s="83">
        <v>280</v>
      </c>
      <c r="BY10" s="83">
        <v>295</v>
      </c>
      <c r="BZ10" s="83">
        <v>310</v>
      </c>
      <c r="CA10" s="83">
        <v>320</v>
      </c>
      <c r="CB10" s="83">
        <v>330</v>
      </c>
      <c r="CC10" s="83">
        <v>335</v>
      </c>
      <c r="CD10" s="83">
        <v>340</v>
      </c>
    </row>
    <row r="11" spans="1:82" x14ac:dyDescent="0.25">
      <c r="B11" s="75" t="s">
        <v>22</v>
      </c>
      <c r="C11" s="73">
        <v>90</v>
      </c>
      <c r="D11" s="73">
        <v>105</v>
      </c>
      <c r="E11" s="73">
        <v>115</v>
      </c>
      <c r="F11" s="73">
        <v>125</v>
      </c>
      <c r="G11" s="73">
        <v>130</v>
      </c>
      <c r="H11" s="73">
        <v>135</v>
      </c>
      <c r="I11" s="73">
        <v>140</v>
      </c>
      <c r="J11" s="73">
        <v>145</v>
      </c>
      <c r="K11" s="73">
        <v>147</v>
      </c>
      <c r="L11" s="73">
        <v>150</v>
      </c>
      <c r="M11" s="74">
        <v>105</v>
      </c>
      <c r="N11" s="74">
        <v>115</v>
      </c>
      <c r="O11" s="74">
        <v>125</v>
      </c>
      <c r="P11" s="74">
        <v>135</v>
      </c>
      <c r="Q11" s="74">
        <v>140</v>
      </c>
      <c r="R11" s="74">
        <v>145</v>
      </c>
      <c r="S11" s="74">
        <v>150</v>
      </c>
      <c r="T11" s="74">
        <v>160</v>
      </c>
      <c r="U11" s="74">
        <v>165</v>
      </c>
      <c r="V11" s="74">
        <v>170</v>
      </c>
      <c r="W11" s="76">
        <v>130</v>
      </c>
      <c r="X11" s="76">
        <v>140</v>
      </c>
      <c r="Y11" s="76">
        <v>160</v>
      </c>
      <c r="Z11" s="76">
        <v>165</v>
      </c>
      <c r="AA11" s="76">
        <v>175</v>
      </c>
      <c r="AB11" s="76">
        <v>182</v>
      </c>
      <c r="AC11" s="76">
        <v>187</v>
      </c>
      <c r="AD11" s="76">
        <v>192</v>
      </c>
      <c r="AE11" s="76">
        <v>195</v>
      </c>
      <c r="AF11" s="76">
        <v>200</v>
      </c>
      <c r="AG11" s="77">
        <v>145</v>
      </c>
      <c r="AH11" s="77">
        <v>160</v>
      </c>
      <c r="AI11" s="77">
        <v>175</v>
      </c>
      <c r="AJ11" s="77">
        <v>185</v>
      </c>
      <c r="AK11" s="77">
        <v>195</v>
      </c>
      <c r="AL11" s="77">
        <v>205</v>
      </c>
      <c r="AM11" s="77">
        <v>210</v>
      </c>
      <c r="AN11" s="77">
        <v>212</v>
      </c>
      <c r="AO11" s="77">
        <v>215</v>
      </c>
      <c r="AP11" s="77">
        <v>220</v>
      </c>
      <c r="AQ11" s="79">
        <v>145</v>
      </c>
      <c r="AR11" s="79">
        <v>170</v>
      </c>
      <c r="AS11" s="79">
        <v>190</v>
      </c>
      <c r="AT11" s="79">
        <v>210</v>
      </c>
      <c r="AU11" s="79">
        <v>220</v>
      </c>
      <c r="AV11" s="79">
        <v>230</v>
      </c>
      <c r="AW11" s="79">
        <v>240</v>
      </c>
      <c r="AX11" s="79">
        <v>245</v>
      </c>
      <c r="AY11" s="79">
        <v>250</v>
      </c>
      <c r="AZ11" s="79">
        <v>255</v>
      </c>
      <c r="BA11" s="82">
        <v>155</v>
      </c>
      <c r="BB11" s="82">
        <v>190</v>
      </c>
      <c r="BC11" s="82">
        <v>210</v>
      </c>
      <c r="BD11" s="82">
        <v>230</v>
      </c>
      <c r="BE11" s="82">
        <v>240</v>
      </c>
      <c r="BF11" s="82">
        <v>260</v>
      </c>
      <c r="BG11" s="82">
        <v>270</v>
      </c>
      <c r="BH11" s="82">
        <v>280</v>
      </c>
      <c r="BI11" s="82">
        <v>285</v>
      </c>
      <c r="BJ11" s="82">
        <v>290</v>
      </c>
      <c r="BK11" s="85">
        <v>210</v>
      </c>
      <c r="BL11" s="85">
        <v>230</v>
      </c>
      <c r="BM11" s="85">
        <v>260</v>
      </c>
      <c r="BN11" s="85">
        <v>275</v>
      </c>
      <c r="BO11" s="85">
        <v>295</v>
      </c>
      <c r="BP11" s="85">
        <v>310</v>
      </c>
      <c r="BQ11" s="85">
        <v>315</v>
      </c>
      <c r="BR11" s="85">
        <v>325</v>
      </c>
      <c r="BS11" s="85">
        <v>330</v>
      </c>
      <c r="BT11" s="85">
        <v>335</v>
      </c>
      <c r="BU11" s="83">
        <v>230</v>
      </c>
      <c r="BV11" s="83">
        <v>260</v>
      </c>
      <c r="BW11" s="83">
        <v>280</v>
      </c>
      <c r="BX11" s="83">
        <v>300</v>
      </c>
      <c r="BY11" s="83">
        <v>320</v>
      </c>
      <c r="BZ11" s="83">
        <v>330</v>
      </c>
      <c r="CA11" s="83">
        <v>340</v>
      </c>
      <c r="CB11" s="83">
        <v>350</v>
      </c>
      <c r="CC11" s="83">
        <v>360</v>
      </c>
      <c r="CD11" s="83">
        <v>365</v>
      </c>
    </row>
    <row r="12" spans="1:82" x14ac:dyDescent="0.25">
      <c r="B12" s="75" t="s">
        <v>23</v>
      </c>
      <c r="C12" s="77">
        <v>175</v>
      </c>
      <c r="D12" s="77">
        <v>175</v>
      </c>
      <c r="E12" s="77">
        <v>175</v>
      </c>
      <c r="F12" s="77">
        <v>190</v>
      </c>
      <c r="G12" s="77">
        <v>200</v>
      </c>
      <c r="H12" s="77">
        <v>210</v>
      </c>
      <c r="I12" s="77">
        <v>225</v>
      </c>
      <c r="J12" s="77">
        <v>225</v>
      </c>
      <c r="K12" s="77">
        <v>230</v>
      </c>
      <c r="L12" s="77">
        <v>230</v>
      </c>
      <c r="M12" s="77">
        <v>175</v>
      </c>
      <c r="N12" s="77">
        <v>175</v>
      </c>
      <c r="O12" s="77">
        <v>175</v>
      </c>
      <c r="P12" s="77">
        <v>190</v>
      </c>
      <c r="Q12" s="77">
        <v>200</v>
      </c>
      <c r="R12" s="77">
        <v>210</v>
      </c>
      <c r="S12" s="77">
        <v>225</v>
      </c>
      <c r="T12" s="77">
        <v>225</v>
      </c>
      <c r="U12" s="77">
        <v>230</v>
      </c>
      <c r="V12" s="77">
        <v>230</v>
      </c>
      <c r="W12" s="77">
        <v>175</v>
      </c>
      <c r="X12" s="77">
        <v>175</v>
      </c>
      <c r="Y12" s="77">
        <v>190</v>
      </c>
      <c r="Z12" s="77">
        <v>200</v>
      </c>
      <c r="AA12" s="77">
        <v>210</v>
      </c>
      <c r="AB12" s="77">
        <v>225</v>
      </c>
      <c r="AC12" s="77">
        <v>225</v>
      </c>
      <c r="AD12" s="77">
        <v>230</v>
      </c>
      <c r="AE12" s="77">
        <v>230</v>
      </c>
      <c r="AF12" s="77">
        <v>235</v>
      </c>
      <c r="AG12" s="77">
        <v>175</v>
      </c>
      <c r="AH12" s="77">
        <v>175</v>
      </c>
      <c r="AI12" s="77">
        <v>190</v>
      </c>
      <c r="AJ12" s="77">
        <v>200</v>
      </c>
      <c r="AK12" s="77">
        <v>210</v>
      </c>
      <c r="AL12" s="77">
        <v>225</v>
      </c>
      <c r="AM12" s="77">
        <v>225</v>
      </c>
      <c r="AN12" s="77">
        <v>230</v>
      </c>
      <c r="AO12" s="77">
        <v>230</v>
      </c>
      <c r="AP12" s="77">
        <v>235</v>
      </c>
      <c r="AQ12" s="80">
        <v>275</v>
      </c>
      <c r="AR12" s="80">
        <v>275</v>
      </c>
      <c r="AS12" s="80">
        <v>275</v>
      </c>
      <c r="AT12" s="80">
        <v>295</v>
      </c>
      <c r="AU12" s="80">
        <v>315</v>
      </c>
      <c r="AV12" s="80">
        <v>335</v>
      </c>
      <c r="AW12" s="80">
        <v>360</v>
      </c>
      <c r="AX12" s="80">
        <v>360</v>
      </c>
      <c r="AY12" s="80">
        <v>380</v>
      </c>
      <c r="AZ12" s="80">
        <v>380</v>
      </c>
      <c r="BA12" s="80">
        <v>275</v>
      </c>
      <c r="BB12" s="80">
        <v>275</v>
      </c>
      <c r="BC12" s="80">
        <v>275</v>
      </c>
      <c r="BD12" s="80">
        <v>295</v>
      </c>
      <c r="BE12" s="80">
        <v>315</v>
      </c>
      <c r="BF12" s="80">
        <v>335</v>
      </c>
      <c r="BG12" s="80">
        <v>360</v>
      </c>
      <c r="BH12" s="80">
        <v>360</v>
      </c>
      <c r="BI12" s="80">
        <v>380</v>
      </c>
      <c r="BJ12" s="80">
        <v>380</v>
      </c>
      <c r="BK12" s="83">
        <v>275</v>
      </c>
      <c r="BL12" s="83">
        <v>275</v>
      </c>
      <c r="BM12" s="83">
        <v>295</v>
      </c>
      <c r="BN12" s="83">
        <v>315</v>
      </c>
      <c r="BO12" s="83">
        <v>335</v>
      </c>
      <c r="BP12" s="83">
        <v>360</v>
      </c>
      <c r="BQ12" s="83">
        <v>360</v>
      </c>
      <c r="BR12" s="83">
        <v>380</v>
      </c>
      <c r="BS12" s="83">
        <v>380</v>
      </c>
      <c r="BT12" s="83">
        <v>385</v>
      </c>
      <c r="BU12" s="83">
        <v>275</v>
      </c>
      <c r="BV12" s="83">
        <v>275</v>
      </c>
      <c r="BW12" s="83">
        <v>295</v>
      </c>
      <c r="BX12" s="83">
        <v>315</v>
      </c>
      <c r="BY12" s="83">
        <v>335</v>
      </c>
      <c r="BZ12" s="83">
        <v>360</v>
      </c>
      <c r="CA12" s="83">
        <v>360</v>
      </c>
      <c r="CB12" s="83">
        <v>380</v>
      </c>
      <c r="CC12" s="83">
        <v>380</v>
      </c>
      <c r="CD12" s="83">
        <v>385</v>
      </c>
    </row>
    <row r="13" spans="1:82" s="58" customFormat="1" x14ac:dyDescent="0.25">
      <c r="BQ13" s="59"/>
      <c r="BR13" s="59"/>
      <c r="BS13" s="59"/>
      <c r="BT13" s="59"/>
      <c r="BU13" s="59"/>
      <c r="BV13" s="59"/>
      <c r="BW13" s="59"/>
      <c r="BX13" s="59"/>
      <c r="BY13" s="59"/>
      <c r="BZ13" s="59"/>
    </row>
    <row r="14" spans="1:82" s="58" customFormat="1" x14ac:dyDescent="0.25">
      <c r="BG14" s="59"/>
      <c r="BH14" s="59"/>
      <c r="BI14" s="59"/>
      <c r="BJ14" s="59"/>
      <c r="BK14" s="59"/>
      <c r="BL14" s="59"/>
      <c r="BM14" s="59"/>
      <c r="BN14" s="59"/>
    </row>
    <row r="15" spans="1:82" x14ac:dyDescent="0.25">
      <c r="B15" t="s">
        <v>24</v>
      </c>
      <c r="C15" s="86" t="s">
        <v>25</v>
      </c>
      <c r="D15" s="86" t="s">
        <v>25</v>
      </c>
      <c r="E15" s="86" t="s">
        <v>26</v>
      </c>
      <c r="F15" s="86" t="s">
        <v>27</v>
      </c>
      <c r="G15" s="25"/>
      <c r="H15" s="26" t="s">
        <v>24</v>
      </c>
      <c r="I15" s="87" t="s">
        <v>28</v>
      </c>
      <c r="J15" s="87" t="s">
        <v>28</v>
      </c>
      <c r="K15" s="87" t="s">
        <v>26</v>
      </c>
      <c r="L15" s="87" t="s">
        <v>27</v>
      </c>
      <c r="M15" s="26"/>
      <c r="N15" s="26"/>
      <c r="O15" s="26"/>
      <c r="P15" s="26"/>
      <c r="Q15" s="26"/>
      <c r="R15" s="26"/>
      <c r="S15" s="26"/>
      <c r="T15" s="26"/>
      <c r="U15" s="26"/>
      <c r="BT15" s="86"/>
      <c r="BU15" s="58"/>
    </row>
    <row r="16" spans="1:82" x14ac:dyDescent="0.25">
      <c r="A16" s="53">
        <v>10</v>
      </c>
      <c r="B16" s="27" t="s">
        <v>29</v>
      </c>
      <c r="C16" s="72" t="s">
        <v>45</v>
      </c>
      <c r="D16" s="72" t="s">
        <v>55</v>
      </c>
      <c r="E16" s="72" t="s">
        <v>65</v>
      </c>
      <c r="F16" s="72" t="s">
        <v>75</v>
      </c>
      <c r="G16" s="54">
        <v>10</v>
      </c>
      <c r="H16" s="28" t="s">
        <v>29</v>
      </c>
      <c r="I16" s="88" t="s">
        <v>85</v>
      </c>
      <c r="J16" s="88" t="s">
        <v>95</v>
      </c>
      <c r="K16" s="88" t="s">
        <v>105</v>
      </c>
      <c r="L16" s="88" t="s">
        <v>115</v>
      </c>
      <c r="M16" s="26"/>
      <c r="R16" s="29"/>
      <c r="S16" s="29"/>
      <c r="T16" s="26"/>
      <c r="U16" s="26"/>
      <c r="BU16" s="58"/>
    </row>
    <row r="17" spans="1:73" x14ac:dyDescent="0.25">
      <c r="A17" s="53">
        <v>35.01</v>
      </c>
      <c r="B17" s="27" t="s">
        <v>29</v>
      </c>
      <c r="C17" s="72" t="s">
        <v>45</v>
      </c>
      <c r="D17" s="72" t="s">
        <v>55</v>
      </c>
      <c r="E17" s="72" t="s">
        <v>65</v>
      </c>
      <c r="F17" s="72" t="s">
        <v>75</v>
      </c>
      <c r="G17" s="25">
        <v>35.01</v>
      </c>
      <c r="H17" s="28" t="s">
        <v>29</v>
      </c>
      <c r="I17" s="88" t="s">
        <v>85</v>
      </c>
      <c r="J17" s="88" t="s">
        <v>95</v>
      </c>
      <c r="K17" s="88" t="s">
        <v>105</v>
      </c>
      <c r="L17" s="88" t="s">
        <v>115</v>
      </c>
      <c r="M17" s="26"/>
      <c r="N17" s="88"/>
      <c r="O17" s="88"/>
      <c r="R17" s="29"/>
      <c r="S17" s="29"/>
      <c r="T17" s="26"/>
      <c r="U17" s="26"/>
      <c r="AV17" s="24"/>
      <c r="AW17" s="24"/>
      <c r="BG17" s="86"/>
      <c r="BS17" s="24"/>
      <c r="BT17" s="72"/>
      <c r="BU17" s="58"/>
    </row>
    <row r="18" spans="1:73" x14ac:dyDescent="0.25">
      <c r="A18" s="53">
        <v>40.01</v>
      </c>
      <c r="B18" s="27" t="s">
        <v>29</v>
      </c>
      <c r="C18" s="72" t="s">
        <v>45</v>
      </c>
      <c r="D18" s="72" t="s">
        <v>55</v>
      </c>
      <c r="E18" s="72" t="s">
        <v>65</v>
      </c>
      <c r="F18" s="72" t="s">
        <v>75</v>
      </c>
      <c r="G18" s="30">
        <v>40.01</v>
      </c>
      <c r="H18" s="28" t="s">
        <v>29</v>
      </c>
      <c r="I18" s="88" t="s">
        <v>86</v>
      </c>
      <c r="J18" s="88" t="s">
        <v>96</v>
      </c>
      <c r="K18" s="88" t="s">
        <v>105</v>
      </c>
      <c r="L18" s="88" t="s">
        <v>115</v>
      </c>
      <c r="M18" s="26"/>
      <c r="R18" s="29"/>
      <c r="S18" s="29"/>
      <c r="T18" s="26"/>
      <c r="U18" s="26"/>
      <c r="AV18" s="24"/>
      <c r="AW18" s="24"/>
      <c r="BS18" s="24"/>
      <c r="BT18" s="72"/>
      <c r="BU18" s="58"/>
    </row>
    <row r="19" spans="1:73" x14ac:dyDescent="0.25">
      <c r="A19" s="53">
        <v>45.01</v>
      </c>
      <c r="B19" s="27" t="s">
        <v>29</v>
      </c>
      <c r="C19" s="72" t="s">
        <v>45</v>
      </c>
      <c r="D19" s="72" t="s">
        <v>55</v>
      </c>
      <c r="E19" s="72" t="s">
        <v>65</v>
      </c>
      <c r="F19" s="72" t="s">
        <v>75</v>
      </c>
      <c r="G19" s="31">
        <v>45.01</v>
      </c>
      <c r="H19" s="28" t="s">
        <v>29</v>
      </c>
      <c r="I19" s="88" t="s">
        <v>87</v>
      </c>
      <c r="J19" s="88" t="s">
        <v>104</v>
      </c>
      <c r="K19" s="88" t="s">
        <v>106</v>
      </c>
      <c r="L19" s="88" t="s">
        <v>116</v>
      </c>
      <c r="M19" s="32"/>
      <c r="R19" s="29"/>
      <c r="S19" s="29"/>
      <c r="T19" s="32"/>
      <c r="U19" s="32"/>
      <c r="AV19" s="24"/>
      <c r="AW19" s="24"/>
      <c r="BG19" s="86"/>
      <c r="BS19" s="24"/>
      <c r="BT19" s="72"/>
      <c r="BU19" s="58"/>
    </row>
    <row r="20" spans="1:73" x14ac:dyDescent="0.25">
      <c r="A20" s="53">
        <v>49.01</v>
      </c>
      <c r="B20" s="27" t="s">
        <v>29</v>
      </c>
      <c r="C20" s="72" t="s">
        <v>46</v>
      </c>
      <c r="D20" s="72" t="s">
        <v>56</v>
      </c>
      <c r="E20" s="72" t="s">
        <v>65</v>
      </c>
      <c r="F20" s="72" t="s">
        <v>75</v>
      </c>
      <c r="G20" s="31">
        <v>49.01</v>
      </c>
      <c r="H20" s="28" t="s">
        <v>29</v>
      </c>
      <c r="I20" s="88" t="s">
        <v>97</v>
      </c>
      <c r="J20" s="88" t="s">
        <v>88</v>
      </c>
      <c r="K20" s="88" t="s">
        <v>107</v>
      </c>
      <c r="L20" s="88" t="s">
        <v>117</v>
      </c>
      <c r="M20" s="32"/>
      <c r="R20" s="29"/>
      <c r="S20" s="29"/>
      <c r="T20" s="32"/>
      <c r="U20" s="32"/>
      <c r="BS20" s="24"/>
      <c r="BT20" s="72"/>
      <c r="BU20" s="58"/>
    </row>
    <row r="21" spans="1:73" x14ac:dyDescent="0.25">
      <c r="A21" s="53">
        <v>55.01</v>
      </c>
      <c r="B21" s="27" t="s">
        <v>29</v>
      </c>
      <c r="C21" s="72" t="s">
        <v>47</v>
      </c>
      <c r="D21" s="72" t="s">
        <v>57</v>
      </c>
      <c r="E21" s="72" t="s">
        <v>66</v>
      </c>
      <c r="F21" s="72" t="s">
        <v>76</v>
      </c>
      <c r="G21" s="31">
        <v>55.01</v>
      </c>
      <c r="H21" s="28" t="s">
        <v>29</v>
      </c>
      <c r="I21" s="89" t="s">
        <v>89</v>
      </c>
      <c r="J21" s="89" t="s">
        <v>98</v>
      </c>
      <c r="K21" s="89" t="s">
        <v>108</v>
      </c>
      <c r="L21" s="89" t="s">
        <v>118</v>
      </c>
      <c r="M21" s="32"/>
      <c r="R21" s="33"/>
      <c r="S21" s="33"/>
      <c r="T21" s="32"/>
      <c r="U21" s="32"/>
      <c r="BG21" s="86"/>
      <c r="BT21" s="72"/>
      <c r="BU21" s="58"/>
    </row>
    <row r="22" spans="1:73" x14ac:dyDescent="0.25">
      <c r="A22" s="53">
        <v>61.01</v>
      </c>
      <c r="B22" s="27" t="s">
        <v>29</v>
      </c>
      <c r="C22" s="72" t="s">
        <v>48</v>
      </c>
      <c r="D22" s="72" t="s">
        <v>58</v>
      </c>
      <c r="E22" s="72" t="s">
        <v>67</v>
      </c>
      <c r="F22" s="72" t="s">
        <v>77</v>
      </c>
      <c r="G22" s="31">
        <v>59.01</v>
      </c>
      <c r="H22" s="28" t="s">
        <v>29</v>
      </c>
      <c r="I22" s="89" t="s">
        <v>90</v>
      </c>
      <c r="J22" s="89" t="s">
        <v>99</v>
      </c>
      <c r="K22" s="89" t="s">
        <v>109</v>
      </c>
      <c r="L22" s="89" t="s">
        <v>119</v>
      </c>
      <c r="M22" s="32"/>
      <c r="R22" s="33"/>
      <c r="S22" s="33"/>
      <c r="T22" s="32"/>
      <c r="U22" s="32"/>
      <c r="BU22" s="58"/>
    </row>
    <row r="23" spans="1:73" x14ac:dyDescent="0.25">
      <c r="A23" s="53">
        <v>67.010000000000005</v>
      </c>
      <c r="B23" s="27" t="s">
        <v>29</v>
      </c>
      <c r="C23" s="72" t="s">
        <v>49</v>
      </c>
      <c r="D23" s="72" t="s">
        <v>59</v>
      </c>
      <c r="E23" s="72" t="s">
        <v>68</v>
      </c>
      <c r="F23" s="72" t="s">
        <v>78</v>
      </c>
      <c r="G23" s="31">
        <v>64.010000000000005</v>
      </c>
      <c r="H23" s="28" t="s">
        <v>29</v>
      </c>
      <c r="I23" s="89" t="s">
        <v>91</v>
      </c>
      <c r="J23" s="89" t="s">
        <v>100</v>
      </c>
      <c r="K23" s="89" t="s">
        <v>110</v>
      </c>
      <c r="L23" s="89" t="s">
        <v>120</v>
      </c>
      <c r="M23" s="32"/>
      <c r="R23" s="33"/>
      <c r="S23" s="33"/>
      <c r="T23" s="32"/>
      <c r="U23" s="32"/>
      <c r="BG23" s="86"/>
    </row>
    <row r="24" spans="1:73" x14ac:dyDescent="0.25">
      <c r="A24" s="53">
        <v>73.010000000000005</v>
      </c>
      <c r="B24" s="27" t="s">
        <v>29</v>
      </c>
      <c r="C24" s="72" t="s">
        <v>50</v>
      </c>
      <c r="D24" s="72" t="s">
        <v>60</v>
      </c>
      <c r="E24" s="72" t="s">
        <v>69</v>
      </c>
      <c r="F24" s="72" t="s">
        <v>79</v>
      </c>
      <c r="G24" s="31">
        <v>71.010000000000005</v>
      </c>
      <c r="H24" s="28" t="s">
        <v>29</v>
      </c>
      <c r="I24" s="89" t="s">
        <v>92</v>
      </c>
      <c r="J24" s="89" t="s">
        <v>101</v>
      </c>
      <c r="K24" s="89" t="s">
        <v>111</v>
      </c>
      <c r="L24" s="89" t="s">
        <v>121</v>
      </c>
      <c r="M24" s="32"/>
      <c r="R24" s="33"/>
      <c r="S24" s="33"/>
      <c r="T24" s="32"/>
      <c r="U24" s="32"/>
    </row>
    <row r="25" spans="1:73" x14ac:dyDescent="0.25">
      <c r="A25" s="53">
        <v>81.010000000000005</v>
      </c>
      <c r="B25" s="27" t="s">
        <v>29</v>
      </c>
      <c r="C25" s="72" t="s">
        <v>51</v>
      </c>
      <c r="D25" s="72" t="s">
        <v>61</v>
      </c>
      <c r="E25" s="72" t="s">
        <v>70</v>
      </c>
      <c r="F25" s="72" t="s">
        <v>80</v>
      </c>
      <c r="G25" s="31">
        <v>76.010000000000005</v>
      </c>
      <c r="H25" s="28" t="s">
        <v>29</v>
      </c>
      <c r="I25" s="89" t="s">
        <v>93</v>
      </c>
      <c r="J25" s="89" t="s">
        <v>102</v>
      </c>
      <c r="K25" s="89" t="s">
        <v>112</v>
      </c>
      <c r="L25" s="89" t="s">
        <v>122</v>
      </c>
      <c r="M25" s="32"/>
      <c r="R25" s="33"/>
      <c r="S25" s="33"/>
      <c r="T25" s="32"/>
      <c r="U25" s="32"/>
      <c r="BG25" s="86"/>
    </row>
    <row r="26" spans="1:73" x14ac:dyDescent="0.25">
      <c r="A26" s="53">
        <v>89.01</v>
      </c>
      <c r="B26" s="27" t="s">
        <v>29</v>
      </c>
      <c r="C26" s="72" t="s">
        <v>52</v>
      </c>
      <c r="D26" s="72" t="s">
        <v>62</v>
      </c>
      <c r="E26" s="72" t="s">
        <v>71</v>
      </c>
      <c r="F26" s="72" t="s">
        <v>81</v>
      </c>
      <c r="G26" s="31">
        <v>81.010000000000005</v>
      </c>
      <c r="H26" s="28" t="s">
        <v>29</v>
      </c>
      <c r="I26" s="89" t="s">
        <v>94</v>
      </c>
      <c r="J26" s="89" t="s">
        <v>103</v>
      </c>
      <c r="K26" s="89" t="s">
        <v>113</v>
      </c>
      <c r="L26" s="89" t="s">
        <v>123</v>
      </c>
      <c r="M26" s="32"/>
      <c r="R26" s="33"/>
      <c r="S26" s="33"/>
      <c r="T26" s="32"/>
      <c r="U26" s="32"/>
    </row>
    <row r="27" spans="1:73" x14ac:dyDescent="0.25">
      <c r="A27" s="53">
        <v>96.01</v>
      </c>
      <c r="B27" s="27" t="s">
        <v>29</v>
      </c>
      <c r="C27" s="72" t="s">
        <v>53</v>
      </c>
      <c r="D27" s="72" t="s">
        <v>63</v>
      </c>
      <c r="E27" s="72" t="s">
        <v>72</v>
      </c>
      <c r="F27" s="72" t="s">
        <v>82</v>
      </c>
      <c r="G27" s="31">
        <v>87.01</v>
      </c>
      <c r="H27" s="28" t="s">
        <v>29</v>
      </c>
      <c r="I27" s="89" t="s">
        <v>94</v>
      </c>
      <c r="J27" s="89" t="s">
        <v>103</v>
      </c>
      <c r="K27" s="89" t="s">
        <v>114</v>
      </c>
      <c r="L27" s="89" t="s">
        <v>124</v>
      </c>
      <c r="M27" s="32"/>
      <c r="R27" s="33"/>
      <c r="S27" s="33"/>
      <c r="T27" s="32"/>
      <c r="U27" s="32"/>
      <c r="BG27" s="86"/>
    </row>
    <row r="28" spans="1:73" x14ac:dyDescent="0.25">
      <c r="A28" s="53">
        <v>102.01</v>
      </c>
      <c r="B28" s="27" t="s">
        <v>29</v>
      </c>
      <c r="C28" s="72" t="s">
        <v>54</v>
      </c>
      <c r="D28" s="72" t="s">
        <v>64</v>
      </c>
      <c r="E28" s="72" t="s">
        <v>73</v>
      </c>
      <c r="F28" s="72" t="s">
        <v>83</v>
      </c>
      <c r="G28" s="31"/>
      <c r="H28" s="28"/>
      <c r="I28" s="33"/>
      <c r="J28" s="33"/>
      <c r="K28" s="33"/>
      <c r="L28" s="33"/>
      <c r="M28" s="32"/>
      <c r="P28" s="33"/>
      <c r="Q28" s="33"/>
      <c r="R28" s="33"/>
      <c r="S28" s="33"/>
      <c r="T28" s="32"/>
      <c r="U28" s="32"/>
    </row>
    <row r="29" spans="1:73" x14ac:dyDescent="0.25">
      <c r="A29" s="53">
        <v>109.1</v>
      </c>
      <c r="B29" s="27" t="s">
        <v>29</v>
      </c>
      <c r="C29" s="72" t="s">
        <v>54</v>
      </c>
      <c r="D29" s="72" t="s">
        <v>64</v>
      </c>
      <c r="E29" s="72" t="s">
        <v>74</v>
      </c>
      <c r="F29" s="72" t="s">
        <v>84</v>
      </c>
      <c r="G29" s="31"/>
      <c r="H29" s="28"/>
      <c r="I29" s="33"/>
      <c r="J29" s="33"/>
      <c r="K29" s="33"/>
      <c r="L29" s="33"/>
      <c r="M29" s="32"/>
      <c r="P29" s="33"/>
      <c r="Q29" s="33"/>
      <c r="R29" s="33"/>
      <c r="S29" s="33"/>
      <c r="T29" s="32"/>
      <c r="U29" s="32"/>
      <c r="AV29" s="24"/>
      <c r="AW29" s="24"/>
      <c r="BG29" s="86"/>
    </row>
    <row r="30" spans="1:73" x14ac:dyDescent="0.25">
      <c r="M30" s="32"/>
      <c r="O30" s="33"/>
      <c r="P30" s="33"/>
      <c r="Q30" s="33"/>
      <c r="R30" s="33"/>
      <c r="S30" s="33"/>
      <c r="T30" s="32"/>
      <c r="U30" s="32"/>
    </row>
    <row r="31" spans="1:73" x14ac:dyDescent="0.25">
      <c r="M31" s="32"/>
      <c r="N31" s="33"/>
      <c r="O31" s="33"/>
      <c r="P31" s="33"/>
      <c r="Q31" s="33"/>
      <c r="R31" s="33"/>
      <c r="S31" s="33"/>
      <c r="T31" s="32"/>
      <c r="U31" s="32"/>
      <c r="BG31" s="86"/>
    </row>
    <row r="32" spans="1:73" x14ac:dyDescent="0.25">
      <c r="M32" s="32"/>
      <c r="N32" s="33"/>
      <c r="O32" s="33"/>
      <c r="P32" s="33"/>
      <c r="Q32" s="33"/>
      <c r="R32" s="33"/>
      <c r="S32" s="33"/>
      <c r="T32" s="32"/>
      <c r="U32" s="32"/>
    </row>
    <row r="33" spans="13:59" x14ac:dyDescent="0.25">
      <c r="M33" s="32"/>
      <c r="N33" s="33"/>
      <c r="O33" s="33"/>
      <c r="P33" s="33"/>
      <c r="Q33" s="33"/>
      <c r="R33" s="33"/>
      <c r="S33" s="33"/>
      <c r="T33" s="32"/>
      <c r="U33" s="32"/>
      <c r="BG33" s="86"/>
    </row>
    <row r="35" spans="13:59" x14ac:dyDescent="0.25">
      <c r="BG35" s="86"/>
    </row>
    <row r="37" spans="13:59" x14ac:dyDescent="0.25">
      <c r="BG37" s="86"/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FEMININES</vt:lpstr>
      <vt:lpstr>MASCULINS</vt:lpstr>
      <vt:lpstr>Minimas</vt:lpstr>
      <vt:lpstr>FEMININES!Zone_d_impression</vt:lpstr>
      <vt:lpstr>MASCULINS!Zone_d_impression</vt:lpstr>
    </vt:vector>
  </TitlesOfParts>
  <Company>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FFHM</dc:creator>
  <cp:lastModifiedBy>Nicolas ALBENGA (nalbenga)</cp:lastModifiedBy>
  <cp:lastPrinted>2017-09-19T09:23:09Z</cp:lastPrinted>
  <dcterms:created xsi:type="dcterms:W3CDTF">2004-10-09T07:29:01Z</dcterms:created>
  <dcterms:modified xsi:type="dcterms:W3CDTF">2019-07-18T12:20:24Z</dcterms:modified>
</cp:coreProperties>
</file>